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5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Parks\Documents\RAM Folder Tool\RAM Work In-Progress\Costs\"/>
    </mc:Choice>
  </mc:AlternateContent>
  <bookViews>
    <workbookView xWindow="0" yWindow="0" windowWidth="16605" windowHeight="7620" activeTab="1"/>
  </bookViews>
  <sheets>
    <sheet name="Mech Summary" sheetId="12" r:id="rId1"/>
    <sheet name="Costs" sheetId="44" r:id="rId2"/>
    <sheet name="53 count" sheetId="8" r:id="rId3"/>
    <sheet name="53 hrs" sheetId="3" r:id="rId4"/>
    <sheet name="54 count" sheetId="34" r:id="rId5"/>
    <sheet name="54 hrs" sheetId="35" r:id="rId6"/>
    <sheet name="55 count" sheetId="38" r:id="rId7"/>
    <sheet name="55 hrs" sheetId="39" r:id="rId8"/>
    <sheet name="58 count" sheetId="42" r:id="rId9"/>
    <sheet name="58 hrs" sheetId="43" r:id="rId10"/>
    <sheet name="NY count" sheetId="13" r:id="rId11"/>
    <sheet name="NY hrs" sheetId="14" r:id="rId12"/>
  </sheets>
  <definedNames>
    <definedName name="_xlnm.Print_Area" localSheetId="2">'53 count'!$A$1:$F$88</definedName>
    <definedName name="_xlnm.Print_Area" localSheetId="3">'53 hrs'!$A$1:$F$63</definedName>
    <definedName name="_xlnm.Print_Area" localSheetId="4">'54 count'!$A$1:$F$88</definedName>
    <definedName name="_xlnm.Print_Area" localSheetId="5">'54 hrs'!$A$1:$F$63</definedName>
    <definedName name="_xlnm.Print_Area" localSheetId="6">'55 count'!$A$1:$F$88</definedName>
    <definedName name="_xlnm.Print_Area" localSheetId="7">'55 hrs'!$A$1:$F$63</definedName>
    <definedName name="_xlnm.Print_Area" localSheetId="8">'58 count'!$A$1:$F$88</definedName>
    <definedName name="_xlnm.Print_Area" localSheetId="9">'58 hrs'!$A$1:$F$63</definedName>
    <definedName name="_xlnm.Print_Area" localSheetId="0">'Mech Summary'!$D$3:$W$86</definedName>
    <definedName name="_xlnm.Print_Area" localSheetId="10">'NY count'!$A$1:$F$79</definedName>
    <definedName name="_xlnm.Print_Area" localSheetId="11">'NY hrs'!$A$1:$F$54</definedName>
    <definedName name="valuevx">42.314159</definedName>
    <definedName name="vertex42_copyright" hidden="1">"© 2009-2018 Vertex42 LLC"</definedName>
    <definedName name="vertex42_id" hidden="1">"pareto-chart.xlsx"</definedName>
    <definedName name="vertex42_title" hidden="1">"Pareto Chart Template"</definedName>
  </definedNames>
  <calcPr calcId="162913"/>
</workbook>
</file>

<file path=xl/calcChain.xml><?xml version="1.0" encoding="utf-8"?>
<calcChain xmlns="http://schemas.openxmlformats.org/spreadsheetml/2006/main">
  <c r="E37" i="44" l="1"/>
  <c r="F37" i="44"/>
  <c r="G37" i="44"/>
  <c r="H37" i="44"/>
  <c r="I37" i="44"/>
  <c r="D37" i="44"/>
  <c r="E36" i="44"/>
  <c r="F36" i="44"/>
  <c r="G36" i="44"/>
  <c r="H36" i="44"/>
  <c r="I36" i="44"/>
  <c r="D36" i="44"/>
  <c r="E35" i="44"/>
  <c r="F35" i="44"/>
  <c r="G35" i="44"/>
  <c r="H35" i="44"/>
  <c r="I35" i="44"/>
  <c r="D35" i="44"/>
  <c r="E34" i="44"/>
  <c r="F34" i="44"/>
  <c r="G34" i="44"/>
  <c r="H34" i="44"/>
  <c r="I34" i="44"/>
  <c r="D34" i="44"/>
  <c r="I31" i="44"/>
  <c r="H31" i="44"/>
  <c r="G31" i="44"/>
  <c r="F31" i="44"/>
  <c r="E31" i="44"/>
  <c r="D31" i="44"/>
  <c r="I30" i="44"/>
  <c r="H30" i="44"/>
  <c r="G30" i="44"/>
  <c r="E30" i="44"/>
  <c r="D30" i="44"/>
  <c r="I27" i="44"/>
  <c r="H27" i="44"/>
  <c r="G27" i="44"/>
  <c r="F27" i="44"/>
  <c r="E27" i="44"/>
  <c r="D27" i="44"/>
  <c r="I26" i="44"/>
  <c r="H26" i="44"/>
  <c r="G26" i="44"/>
  <c r="F26" i="44"/>
  <c r="E26" i="44"/>
  <c r="D26" i="44"/>
  <c r="I23" i="44"/>
  <c r="H23" i="44"/>
  <c r="G23" i="44"/>
  <c r="F23" i="44"/>
  <c r="E23" i="44"/>
  <c r="I22" i="44"/>
  <c r="H22" i="44"/>
  <c r="G22" i="44"/>
  <c r="F22" i="44"/>
  <c r="E22" i="44"/>
  <c r="D23" i="44"/>
  <c r="D22" i="44"/>
  <c r="I19" i="44"/>
  <c r="H19" i="44"/>
  <c r="G19" i="44"/>
  <c r="F19" i="44"/>
  <c r="D19" i="44"/>
  <c r="I17" i="44" l="1"/>
  <c r="H17" i="44"/>
  <c r="G17" i="44"/>
  <c r="F17" i="44"/>
  <c r="E17" i="44"/>
  <c r="D17" i="44"/>
  <c r="J9" i="44"/>
  <c r="F9" i="44"/>
  <c r="E19" i="44" s="1"/>
  <c r="M13" i="44"/>
  <c r="K13" i="44"/>
  <c r="I13" i="44"/>
  <c r="G13" i="44"/>
  <c r="I18" i="44" s="1"/>
  <c r="M12" i="44"/>
  <c r="K12" i="44"/>
  <c r="I12" i="44"/>
  <c r="G12" i="44"/>
  <c r="H18" i="44" s="1"/>
  <c r="M11" i="44"/>
  <c r="K11" i="44"/>
  <c r="I11" i="44"/>
  <c r="G11" i="44"/>
  <c r="G18" i="44" s="1"/>
  <c r="K10" i="44"/>
  <c r="I10" i="44"/>
  <c r="G10" i="44"/>
  <c r="F18" i="44" s="1"/>
  <c r="M9" i="44"/>
  <c r="K9" i="44"/>
  <c r="I9" i="44"/>
  <c r="G9" i="44"/>
  <c r="E18" i="44" s="1"/>
  <c r="M8" i="44"/>
  <c r="K8" i="44"/>
  <c r="I8" i="44"/>
  <c r="G8" i="44"/>
  <c r="D18" i="44" s="1"/>
  <c r="H33" i="39" l="1"/>
  <c r="I33" i="39" s="1"/>
  <c r="J33" i="39"/>
  <c r="H34" i="39"/>
  <c r="I34" i="39" s="1"/>
  <c r="J34" i="39"/>
  <c r="H35" i="39"/>
  <c r="I35" i="39" s="1"/>
  <c r="J35" i="39"/>
  <c r="H36" i="39"/>
  <c r="I36" i="39" s="1"/>
  <c r="J36" i="39"/>
  <c r="H37" i="39"/>
  <c r="I37" i="39" s="1"/>
  <c r="J37" i="39"/>
  <c r="H38" i="39"/>
  <c r="I38" i="39" s="1"/>
  <c r="J38" i="39"/>
  <c r="H39" i="39"/>
  <c r="I39" i="39" s="1"/>
  <c r="J39" i="39"/>
  <c r="H40" i="39"/>
  <c r="I40" i="39" s="1"/>
  <c r="J40" i="39"/>
  <c r="H41" i="39"/>
  <c r="I41" i="39" s="1"/>
  <c r="J41" i="39"/>
  <c r="H42" i="39"/>
  <c r="I42" i="39" s="1"/>
  <c r="J42" i="39"/>
  <c r="H43" i="39"/>
  <c r="I43" i="39" s="1"/>
  <c r="J43" i="39"/>
  <c r="H44" i="39"/>
  <c r="I44" i="39" s="1"/>
  <c r="J44" i="39"/>
  <c r="H45" i="39"/>
  <c r="I45" i="39" s="1"/>
  <c r="J45" i="39"/>
  <c r="H46" i="39"/>
  <c r="I46" i="39" s="1"/>
  <c r="J46" i="39"/>
  <c r="H47" i="39"/>
  <c r="I47" i="39" s="1"/>
  <c r="J47" i="39"/>
  <c r="H48" i="39"/>
  <c r="I48" i="39" s="1"/>
  <c r="J48" i="39"/>
  <c r="H49" i="39"/>
  <c r="I49" i="39" s="1"/>
  <c r="J49" i="39"/>
  <c r="H50" i="39"/>
  <c r="I50" i="39" s="1"/>
  <c r="J50" i="39"/>
  <c r="H51" i="39"/>
  <c r="I51" i="39" s="1"/>
  <c r="J51" i="39"/>
  <c r="H52" i="39"/>
  <c r="I52" i="39" s="1"/>
  <c r="J52" i="39"/>
  <c r="H53" i="39"/>
  <c r="I53" i="39" s="1"/>
  <c r="J53" i="39"/>
  <c r="H54" i="39"/>
  <c r="I54" i="39" s="1"/>
  <c r="J54" i="39"/>
  <c r="H55" i="39"/>
  <c r="I55" i="39" s="1"/>
  <c r="J55" i="39"/>
  <c r="H56" i="39"/>
  <c r="I56" i="39" s="1"/>
  <c r="J56" i="39"/>
  <c r="H57" i="39"/>
  <c r="I57" i="39" s="1"/>
  <c r="J57" i="39"/>
  <c r="H58" i="39"/>
  <c r="I58" i="39" s="1"/>
  <c r="J58" i="39"/>
  <c r="H59" i="39"/>
  <c r="I59" i="39" s="1"/>
  <c r="J59" i="39"/>
  <c r="H60" i="39"/>
  <c r="I60" i="39" s="1"/>
  <c r="J60" i="39"/>
  <c r="H61" i="39"/>
  <c r="I61" i="39" s="1"/>
  <c r="J61" i="39"/>
  <c r="J40" i="43"/>
  <c r="J41" i="43"/>
  <c r="J42" i="43"/>
  <c r="J43" i="43"/>
  <c r="J44" i="43"/>
  <c r="H45" i="43"/>
  <c r="I45" i="43" s="1"/>
  <c r="J45" i="43"/>
  <c r="J46" i="43"/>
  <c r="J47" i="43"/>
  <c r="J48" i="43"/>
  <c r="J49" i="43"/>
  <c r="J50" i="43"/>
  <c r="J51" i="43"/>
  <c r="J52" i="43"/>
  <c r="E41" i="43"/>
  <c r="E42" i="43"/>
  <c r="E43" i="43"/>
  <c r="E44" i="43"/>
  <c r="E45" i="43"/>
  <c r="F45" i="43" s="1"/>
  <c r="E46" i="43"/>
  <c r="E47" i="43"/>
  <c r="E48" i="43"/>
  <c r="E49" i="43"/>
  <c r="E50" i="43"/>
  <c r="E51" i="43"/>
  <c r="E52" i="43"/>
  <c r="E53" i="43"/>
  <c r="E54" i="43"/>
  <c r="F54" i="43"/>
  <c r="B42" i="43"/>
  <c r="H42" i="43" s="1"/>
  <c r="I42" i="43" s="1"/>
  <c r="B43" i="43"/>
  <c r="B44" i="43"/>
  <c r="B45" i="43"/>
  <c r="B46" i="43"/>
  <c r="B47" i="43"/>
  <c r="H47" i="43" s="1"/>
  <c r="I47" i="43" s="1"/>
  <c r="B48" i="43"/>
  <c r="B49" i="43"/>
  <c r="B50" i="43"/>
  <c r="B51" i="43"/>
  <c r="B52" i="43"/>
  <c r="J41" i="42"/>
  <c r="J42" i="42"/>
  <c r="J43" i="42"/>
  <c r="J44" i="42"/>
  <c r="H45" i="42"/>
  <c r="I45" i="42" s="1"/>
  <c r="J45" i="42"/>
  <c r="J46" i="42"/>
  <c r="J47" i="42"/>
  <c r="J48" i="42"/>
  <c r="J49" i="42"/>
  <c r="J50" i="42"/>
  <c r="J51" i="42"/>
  <c r="J52" i="42"/>
  <c r="E40" i="42"/>
  <c r="E41" i="42"/>
  <c r="E42" i="42"/>
  <c r="F42" i="42" s="1"/>
  <c r="E43" i="42"/>
  <c r="E44" i="42"/>
  <c r="F44" i="42" s="1"/>
  <c r="E45" i="42"/>
  <c r="F45" i="42" s="1"/>
  <c r="E46" i="42"/>
  <c r="E47" i="42"/>
  <c r="F47" i="42" s="1"/>
  <c r="E48" i="42"/>
  <c r="E49" i="42"/>
  <c r="E50" i="42"/>
  <c r="E51" i="42"/>
  <c r="E52" i="42"/>
  <c r="E53" i="42"/>
  <c r="F53" i="42" s="1"/>
  <c r="B40" i="42"/>
  <c r="B41" i="42"/>
  <c r="H41" i="42" s="1"/>
  <c r="I41" i="42" s="1"/>
  <c r="B42" i="42"/>
  <c r="B43" i="42"/>
  <c r="B44" i="42"/>
  <c r="H44" i="42" s="1"/>
  <c r="I44" i="42" s="1"/>
  <c r="B45" i="42"/>
  <c r="B46" i="42"/>
  <c r="H46" i="42" s="1"/>
  <c r="I46" i="42" s="1"/>
  <c r="B47" i="42"/>
  <c r="B48" i="42"/>
  <c r="H48" i="42" s="1"/>
  <c r="I48" i="42" s="1"/>
  <c r="B49" i="42"/>
  <c r="B50" i="42"/>
  <c r="B51" i="42"/>
  <c r="B52" i="42"/>
  <c r="B53" i="42"/>
  <c r="B54" i="42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34" i="39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34" i="35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34" i="34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34" i="8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34" i="38"/>
  <c r="F35" i="38"/>
  <c r="F36" i="38"/>
  <c r="F37" i="38"/>
  <c r="F38" i="38"/>
  <c r="F39" i="38"/>
  <c r="F40" i="38"/>
  <c r="F41" i="38"/>
  <c r="F42" i="38"/>
  <c r="F43" i="38"/>
  <c r="F44" i="38"/>
  <c r="F33" i="38"/>
  <c r="B33" i="38"/>
  <c r="H33" i="38" s="1"/>
  <c r="I33" i="38" s="1"/>
  <c r="E33" i="38"/>
  <c r="J33" i="38"/>
  <c r="B34" i="38"/>
  <c r="E34" i="38"/>
  <c r="J34" i="38"/>
  <c r="B35" i="38"/>
  <c r="E35" i="38"/>
  <c r="H35" i="38"/>
  <c r="I35" i="38" s="1"/>
  <c r="J35" i="38"/>
  <c r="B36" i="38"/>
  <c r="E36" i="38"/>
  <c r="J36" i="38"/>
  <c r="B37" i="38"/>
  <c r="H37" i="38" s="1"/>
  <c r="I37" i="38" s="1"/>
  <c r="E37" i="38"/>
  <c r="J37" i="38"/>
  <c r="B38" i="38"/>
  <c r="E38" i="38"/>
  <c r="J38" i="38"/>
  <c r="B39" i="38"/>
  <c r="E39" i="38"/>
  <c r="H39" i="38"/>
  <c r="I39" i="38" s="1"/>
  <c r="J39" i="38"/>
  <c r="B40" i="38"/>
  <c r="H40" i="38" s="1"/>
  <c r="I40" i="38" s="1"/>
  <c r="E40" i="38"/>
  <c r="J40" i="38"/>
  <c r="B41" i="38"/>
  <c r="H41" i="38" s="1"/>
  <c r="I41" i="38" s="1"/>
  <c r="E41" i="38"/>
  <c r="J41" i="38"/>
  <c r="B42" i="38"/>
  <c r="E42" i="38"/>
  <c r="J42" i="38"/>
  <c r="B43" i="38"/>
  <c r="E43" i="38"/>
  <c r="J43" i="38"/>
  <c r="B44" i="38"/>
  <c r="H44" i="38" s="1"/>
  <c r="I44" i="38" s="1"/>
  <c r="E44" i="38"/>
  <c r="J44" i="38"/>
  <c r="B45" i="38"/>
  <c r="E45" i="38"/>
  <c r="J45" i="38"/>
  <c r="B46" i="38"/>
  <c r="E46" i="38"/>
  <c r="J46" i="38"/>
  <c r="B47" i="38"/>
  <c r="E47" i="38"/>
  <c r="J47" i="38"/>
  <c r="B48" i="38"/>
  <c r="E48" i="38"/>
  <c r="H48" i="38"/>
  <c r="I48" i="38" s="1"/>
  <c r="J48" i="38"/>
  <c r="B49" i="38"/>
  <c r="E49" i="38"/>
  <c r="J49" i="38"/>
  <c r="B50" i="38"/>
  <c r="E50" i="38"/>
  <c r="H50" i="38"/>
  <c r="I50" i="38" s="1"/>
  <c r="J50" i="38"/>
  <c r="B51" i="38"/>
  <c r="H51" i="38" s="1"/>
  <c r="I51" i="38" s="1"/>
  <c r="E51" i="38"/>
  <c r="J51" i="38"/>
  <c r="B52" i="38"/>
  <c r="E52" i="38"/>
  <c r="J52" i="38"/>
  <c r="B53" i="38"/>
  <c r="H53" i="38" s="1"/>
  <c r="I53" i="38" s="1"/>
  <c r="E53" i="38"/>
  <c r="J53" i="38"/>
  <c r="B54" i="38"/>
  <c r="H54" i="38" s="1"/>
  <c r="I54" i="38" s="1"/>
  <c r="E54" i="38"/>
  <c r="J54" i="38"/>
  <c r="B55" i="38"/>
  <c r="E55" i="38"/>
  <c r="J55" i="38"/>
  <c r="B56" i="38"/>
  <c r="E56" i="38"/>
  <c r="J56" i="38"/>
  <c r="B57" i="38"/>
  <c r="E57" i="38"/>
  <c r="J57" i="38"/>
  <c r="B58" i="38"/>
  <c r="E58" i="38"/>
  <c r="J58" i="38"/>
  <c r="B59" i="38"/>
  <c r="H59" i="38" s="1"/>
  <c r="I59" i="38" s="1"/>
  <c r="E59" i="38"/>
  <c r="J59" i="38"/>
  <c r="B60" i="38"/>
  <c r="E60" i="38"/>
  <c r="J60" i="38"/>
  <c r="B61" i="38"/>
  <c r="E61" i="38"/>
  <c r="J61" i="38"/>
  <c r="H33" i="35"/>
  <c r="I33" i="35" s="1"/>
  <c r="J33" i="35"/>
  <c r="J34" i="35"/>
  <c r="H35" i="35"/>
  <c r="I35" i="35" s="1"/>
  <c r="J35" i="35"/>
  <c r="H36" i="35"/>
  <c r="I36" i="35" s="1"/>
  <c r="J36" i="35"/>
  <c r="J37" i="35"/>
  <c r="J38" i="35"/>
  <c r="H39" i="35"/>
  <c r="I39" i="35" s="1"/>
  <c r="J39" i="35"/>
  <c r="H40" i="35"/>
  <c r="I40" i="35" s="1"/>
  <c r="J40" i="35"/>
  <c r="J41" i="35"/>
  <c r="J42" i="35"/>
  <c r="J43" i="35"/>
  <c r="H44" i="35"/>
  <c r="I44" i="35" s="1"/>
  <c r="J44" i="35"/>
  <c r="J45" i="35"/>
  <c r="J46" i="35"/>
  <c r="H47" i="35"/>
  <c r="I47" i="35" s="1"/>
  <c r="J47" i="35"/>
  <c r="H48" i="35"/>
  <c r="I48" i="35" s="1"/>
  <c r="J48" i="35"/>
  <c r="J49" i="35"/>
  <c r="J50" i="35"/>
  <c r="J51" i="35"/>
  <c r="J52" i="35"/>
  <c r="J53" i="35"/>
  <c r="H54" i="35"/>
  <c r="I54" i="35" s="1"/>
  <c r="J54" i="35"/>
  <c r="J55" i="35"/>
  <c r="E34" i="35"/>
  <c r="E35" i="35"/>
  <c r="E36" i="35"/>
  <c r="E37" i="35"/>
  <c r="H38" i="35" s="1"/>
  <c r="I38" i="35" s="1"/>
  <c r="E38" i="35"/>
  <c r="E39" i="35"/>
  <c r="E40" i="35"/>
  <c r="E41" i="35"/>
  <c r="H42" i="35" s="1"/>
  <c r="I42" i="35" s="1"/>
  <c r="E42" i="35"/>
  <c r="E43" i="35"/>
  <c r="E44" i="35"/>
  <c r="E45" i="35"/>
  <c r="E46" i="35"/>
  <c r="E47" i="35"/>
  <c r="E48" i="35"/>
  <c r="E49" i="35"/>
  <c r="H50" i="35" s="1"/>
  <c r="I50" i="35" s="1"/>
  <c r="E50" i="35"/>
  <c r="E51" i="35"/>
  <c r="E52" i="35"/>
  <c r="E53" i="35"/>
  <c r="E54" i="35"/>
  <c r="E55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H52" i="34"/>
  <c r="I52" i="34" s="1"/>
  <c r="J52" i="34"/>
  <c r="J53" i="34"/>
  <c r="J54" i="34"/>
  <c r="J55" i="34"/>
  <c r="J56" i="34"/>
  <c r="E34" i="34"/>
  <c r="E35" i="34"/>
  <c r="H36" i="34" s="1"/>
  <c r="I36" i="34" s="1"/>
  <c r="E36" i="34"/>
  <c r="H37" i="34" s="1"/>
  <c r="I37" i="34" s="1"/>
  <c r="E37" i="34"/>
  <c r="E38" i="34"/>
  <c r="E39" i="34"/>
  <c r="E40" i="34"/>
  <c r="E41" i="34"/>
  <c r="E42" i="34"/>
  <c r="H43" i="34" s="1"/>
  <c r="I43" i="34" s="1"/>
  <c r="E43" i="34"/>
  <c r="H44" i="34" s="1"/>
  <c r="I44" i="34" s="1"/>
  <c r="E44" i="34"/>
  <c r="E45" i="34"/>
  <c r="H46" i="34" s="1"/>
  <c r="I46" i="34" s="1"/>
  <c r="E46" i="34"/>
  <c r="E47" i="34"/>
  <c r="E48" i="34"/>
  <c r="E49" i="34"/>
  <c r="H50" i="34" s="1"/>
  <c r="I50" i="34" s="1"/>
  <c r="E50" i="34"/>
  <c r="H51" i="34" s="1"/>
  <c r="I51" i="34" s="1"/>
  <c r="E51" i="34"/>
  <c r="E52" i="34"/>
  <c r="E53" i="34"/>
  <c r="E54" i="34"/>
  <c r="H55" i="34" s="1"/>
  <c r="I55" i="34" s="1"/>
  <c r="E55" i="34"/>
  <c r="E56" i="34"/>
  <c r="E57" i="34"/>
  <c r="E58" i="34"/>
  <c r="E59" i="34"/>
  <c r="E60" i="34"/>
  <c r="B34" i="34"/>
  <c r="B35" i="34"/>
  <c r="B36" i="34"/>
  <c r="B37" i="34"/>
  <c r="B38" i="34"/>
  <c r="B39" i="34"/>
  <c r="H39" i="34" s="1"/>
  <c r="I39" i="34" s="1"/>
  <c r="B40" i="34"/>
  <c r="B41" i="34"/>
  <c r="B42" i="34"/>
  <c r="B43" i="34"/>
  <c r="B44" i="34"/>
  <c r="B45" i="34"/>
  <c r="B46" i="34"/>
  <c r="B47" i="34"/>
  <c r="B48" i="34"/>
  <c r="B49" i="34"/>
  <c r="H49" i="34" s="1"/>
  <c r="I49" i="34" s="1"/>
  <c r="B50" i="34"/>
  <c r="B51" i="34"/>
  <c r="B52" i="34"/>
  <c r="B53" i="34"/>
  <c r="B54" i="34"/>
  <c r="B55" i="34"/>
  <c r="B56" i="34"/>
  <c r="B57" i="34"/>
  <c r="B58" i="34"/>
  <c r="E36" i="3"/>
  <c r="F36" i="3" s="1"/>
  <c r="E37" i="3"/>
  <c r="F37" i="3"/>
  <c r="E38" i="3"/>
  <c r="F38" i="3" s="1"/>
  <c r="E39" i="3"/>
  <c r="F39" i="3"/>
  <c r="E40" i="3"/>
  <c r="F40" i="3" s="1"/>
  <c r="E41" i="3"/>
  <c r="F41" i="3"/>
  <c r="E42" i="3"/>
  <c r="F42" i="3" s="1"/>
  <c r="E43" i="3"/>
  <c r="F43" i="3"/>
  <c r="E44" i="3"/>
  <c r="F44" i="3" s="1"/>
  <c r="E45" i="3"/>
  <c r="F45" i="3"/>
  <c r="E46" i="3"/>
  <c r="F46" i="3" s="1"/>
  <c r="E47" i="3"/>
  <c r="F47" i="3"/>
  <c r="E48" i="3"/>
  <c r="F48" i="3" s="1"/>
  <c r="E49" i="3"/>
  <c r="F49" i="3"/>
  <c r="E50" i="3"/>
  <c r="F50" i="3" s="1"/>
  <c r="E51" i="3"/>
  <c r="F51" i="3"/>
  <c r="E52" i="3"/>
  <c r="F52" i="3" s="1"/>
  <c r="E53" i="3"/>
  <c r="F53" i="3"/>
  <c r="E54" i="3"/>
  <c r="F54" i="3" s="1"/>
  <c r="E55" i="3"/>
  <c r="F55" i="3"/>
  <c r="E56" i="3"/>
  <c r="F56" i="3" s="1"/>
  <c r="E57" i="3"/>
  <c r="F57" i="3"/>
  <c r="E58" i="3"/>
  <c r="F58" i="3" s="1"/>
  <c r="E59" i="3"/>
  <c r="F59" i="3"/>
  <c r="E60" i="3"/>
  <c r="F60" i="3" s="1"/>
  <c r="E61" i="3"/>
  <c r="F61" i="3"/>
  <c r="E62" i="3"/>
  <c r="F62" i="3" s="1"/>
  <c r="J34" i="3"/>
  <c r="J35" i="3"/>
  <c r="J36" i="3"/>
  <c r="J37" i="3"/>
  <c r="H38" i="3"/>
  <c r="I38" i="3" s="1"/>
  <c r="J38" i="3"/>
  <c r="J39" i="3"/>
  <c r="J40" i="3"/>
  <c r="H41" i="3"/>
  <c r="I41" i="3" s="1"/>
  <c r="J41" i="3"/>
  <c r="J42" i="3"/>
  <c r="J43" i="3"/>
  <c r="H44" i="3"/>
  <c r="I44" i="3" s="1"/>
  <c r="J44" i="3"/>
  <c r="J45" i="3"/>
  <c r="J46" i="3"/>
  <c r="J47" i="3"/>
  <c r="J48" i="3"/>
  <c r="H49" i="3"/>
  <c r="I49" i="3" s="1"/>
  <c r="J49" i="3"/>
  <c r="J50" i="3"/>
  <c r="J51" i="3"/>
  <c r="J52" i="3"/>
  <c r="J53" i="3"/>
  <c r="J54" i="3"/>
  <c r="B36" i="3"/>
  <c r="B37" i="3"/>
  <c r="H37" i="3" s="1"/>
  <c r="I37" i="3" s="1"/>
  <c r="B38" i="3"/>
  <c r="B39" i="3"/>
  <c r="B40" i="3"/>
  <c r="H40" i="3" s="1"/>
  <c r="I40" i="3" s="1"/>
  <c r="B41" i="3"/>
  <c r="B42" i="3"/>
  <c r="H42" i="3" s="1"/>
  <c r="I42" i="3" s="1"/>
  <c r="B43" i="3"/>
  <c r="B44" i="3"/>
  <c r="B45" i="3"/>
  <c r="B46" i="3"/>
  <c r="H46" i="3" s="1"/>
  <c r="I46" i="3" s="1"/>
  <c r="B47" i="3"/>
  <c r="B48" i="3"/>
  <c r="H48" i="3" s="1"/>
  <c r="I48" i="3" s="1"/>
  <c r="B49" i="3"/>
  <c r="B50" i="3"/>
  <c r="H50" i="3" s="1"/>
  <c r="I50" i="3" s="1"/>
  <c r="B51" i="3"/>
  <c r="B52" i="3"/>
  <c r="B53" i="3"/>
  <c r="B54" i="3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E34" i="8"/>
  <c r="H35" i="8" s="1"/>
  <c r="I35" i="8" s="1"/>
  <c r="E35" i="8"/>
  <c r="H36" i="8" s="1"/>
  <c r="I36" i="8" s="1"/>
  <c r="E36" i="8"/>
  <c r="H37" i="8" s="1"/>
  <c r="I37" i="8" s="1"/>
  <c r="E37" i="8"/>
  <c r="H38" i="8" s="1"/>
  <c r="I38" i="8" s="1"/>
  <c r="E38" i="8"/>
  <c r="H39" i="8" s="1"/>
  <c r="I39" i="8" s="1"/>
  <c r="E39" i="8"/>
  <c r="E40" i="8"/>
  <c r="H41" i="8" s="1"/>
  <c r="I41" i="8" s="1"/>
  <c r="E41" i="8"/>
  <c r="E42" i="8"/>
  <c r="H43" i="8" s="1"/>
  <c r="I43" i="8" s="1"/>
  <c r="E43" i="8"/>
  <c r="H44" i="8" s="1"/>
  <c r="I44" i="8" s="1"/>
  <c r="E44" i="8"/>
  <c r="E45" i="8"/>
  <c r="E46" i="8"/>
  <c r="H47" i="8" s="1"/>
  <c r="I47" i="8" s="1"/>
  <c r="E47" i="8"/>
  <c r="H48" i="8" s="1"/>
  <c r="I48" i="8" s="1"/>
  <c r="E48" i="8"/>
  <c r="E49" i="8"/>
  <c r="E50" i="8"/>
  <c r="H51" i="8" s="1"/>
  <c r="I51" i="8" s="1"/>
  <c r="E51" i="8"/>
  <c r="H52" i="8" s="1"/>
  <c r="I52" i="8" s="1"/>
  <c r="E52" i="8"/>
  <c r="E53" i="8"/>
  <c r="E54" i="8"/>
  <c r="E55" i="8"/>
  <c r="E56" i="8"/>
  <c r="E57" i="8"/>
  <c r="E58" i="8"/>
  <c r="E59" i="8"/>
  <c r="E60" i="8"/>
  <c r="E61" i="8"/>
  <c r="E62" i="8"/>
  <c r="H49" i="43" l="1"/>
  <c r="I49" i="43" s="1"/>
  <c r="F46" i="43"/>
  <c r="F51" i="43"/>
  <c r="H51" i="43"/>
  <c r="I51" i="43" s="1"/>
  <c r="F42" i="43"/>
  <c r="H43" i="43"/>
  <c r="I43" i="43" s="1"/>
  <c r="F47" i="43"/>
  <c r="F53" i="43"/>
  <c r="H46" i="43"/>
  <c r="I46" i="43" s="1"/>
  <c r="H52" i="43"/>
  <c r="I52" i="43" s="1"/>
  <c r="F50" i="43"/>
  <c r="H48" i="43"/>
  <c r="I48" i="43" s="1"/>
  <c r="F43" i="43"/>
  <c r="H44" i="43"/>
  <c r="I44" i="43" s="1"/>
  <c r="F49" i="43"/>
  <c r="H50" i="43"/>
  <c r="I50" i="43" s="1"/>
  <c r="F48" i="43"/>
  <c r="F52" i="43"/>
  <c r="F44" i="43"/>
  <c r="F49" i="42"/>
  <c r="F41" i="42"/>
  <c r="H49" i="42"/>
  <c r="I49" i="42" s="1"/>
  <c r="H50" i="42"/>
  <c r="I50" i="42" s="1"/>
  <c r="F46" i="42"/>
  <c r="H47" i="42"/>
  <c r="I47" i="42" s="1"/>
  <c r="F52" i="42"/>
  <c r="H43" i="42"/>
  <c r="I43" i="42" s="1"/>
  <c r="F51" i="42"/>
  <c r="H52" i="42"/>
  <c r="I52" i="42" s="1"/>
  <c r="F50" i="42"/>
  <c r="F43" i="42"/>
  <c r="H51" i="42"/>
  <c r="I51" i="42" s="1"/>
  <c r="H42" i="42"/>
  <c r="I42" i="42" s="1"/>
  <c r="F48" i="42"/>
  <c r="H36" i="38"/>
  <c r="I36" i="38" s="1"/>
  <c r="F45" i="38"/>
  <c r="H49" i="38"/>
  <c r="I49" i="38" s="1"/>
  <c r="H45" i="38"/>
  <c r="I45" i="38" s="1"/>
  <c r="H61" i="38"/>
  <c r="I61" i="38" s="1"/>
  <c r="H42" i="38"/>
  <c r="I42" i="38" s="1"/>
  <c r="H38" i="38"/>
  <c r="I38" i="38" s="1"/>
  <c r="H34" i="38"/>
  <c r="I34" i="38" s="1"/>
  <c r="H57" i="38"/>
  <c r="I57" i="38" s="1"/>
  <c r="H52" i="38"/>
  <c r="I52" i="38" s="1"/>
  <c r="H46" i="38"/>
  <c r="I46" i="38" s="1"/>
  <c r="H60" i="38"/>
  <c r="I60" i="38" s="1"/>
  <c r="H56" i="38"/>
  <c r="I56" i="38" s="1"/>
  <c r="H58" i="38"/>
  <c r="I58" i="38" s="1"/>
  <c r="H43" i="38"/>
  <c r="I43" i="38" s="1"/>
  <c r="H55" i="38"/>
  <c r="I55" i="38" s="1"/>
  <c r="H47" i="38"/>
  <c r="I47" i="38" s="1"/>
  <c r="H43" i="35"/>
  <c r="I43" i="35" s="1"/>
  <c r="H51" i="35"/>
  <c r="I51" i="35" s="1"/>
  <c r="H53" i="35"/>
  <c r="I53" i="35" s="1"/>
  <c r="H49" i="35"/>
  <c r="I49" i="35" s="1"/>
  <c r="H46" i="35"/>
  <c r="I46" i="35" s="1"/>
  <c r="H52" i="35"/>
  <c r="I52" i="35" s="1"/>
  <c r="H45" i="35"/>
  <c r="I45" i="35" s="1"/>
  <c r="H41" i="35"/>
  <c r="I41" i="35" s="1"/>
  <c r="H55" i="35"/>
  <c r="I55" i="35" s="1"/>
  <c r="H37" i="35"/>
  <c r="I37" i="35" s="1"/>
  <c r="H54" i="34"/>
  <c r="I54" i="34" s="1"/>
  <c r="H42" i="34"/>
  <c r="I42" i="34" s="1"/>
  <c r="H40" i="34"/>
  <c r="I40" i="34" s="1"/>
  <c r="H56" i="34"/>
  <c r="I56" i="34" s="1"/>
  <c r="H45" i="34"/>
  <c r="I45" i="34" s="1"/>
  <c r="H35" i="34"/>
  <c r="I35" i="34" s="1"/>
  <c r="H48" i="34"/>
  <c r="I48" i="34" s="1"/>
  <c r="H38" i="34"/>
  <c r="I38" i="34" s="1"/>
  <c r="H41" i="34"/>
  <c r="I41" i="34" s="1"/>
  <c r="H47" i="34"/>
  <c r="I47" i="34" s="1"/>
  <c r="H53" i="34"/>
  <c r="I53" i="34" s="1"/>
  <c r="H47" i="3"/>
  <c r="I47" i="3" s="1"/>
  <c r="H39" i="3"/>
  <c r="I39" i="3" s="1"/>
  <c r="H51" i="3"/>
  <c r="I51" i="3" s="1"/>
  <c r="H45" i="3"/>
  <c r="I45" i="3" s="1"/>
  <c r="H43" i="3"/>
  <c r="I43" i="3" s="1"/>
  <c r="H40" i="8"/>
  <c r="I40" i="8" s="1"/>
  <c r="H45" i="8"/>
  <c r="I45" i="8" s="1"/>
  <c r="H50" i="8"/>
  <c r="I50" i="8" s="1"/>
  <c r="H46" i="8"/>
  <c r="I46" i="8" s="1"/>
  <c r="H42" i="8"/>
  <c r="I42" i="8" s="1"/>
  <c r="H53" i="8"/>
  <c r="I53" i="8" s="1"/>
  <c r="H49" i="8"/>
  <c r="I49" i="8" s="1"/>
  <c r="Q75" i="12"/>
  <c r="Q67" i="12"/>
  <c r="Q60" i="12"/>
  <c r="Q59" i="12"/>
  <c r="Q58" i="12"/>
  <c r="Q57" i="12"/>
  <c r="Q54" i="12"/>
  <c r="Q53" i="12"/>
  <c r="Q52" i="12"/>
  <c r="Q51" i="12"/>
  <c r="Q50" i="12"/>
  <c r="Q49" i="12"/>
  <c r="Q25" i="12"/>
  <c r="Q24" i="12"/>
  <c r="N75" i="12"/>
  <c r="N67" i="12"/>
  <c r="N60" i="12"/>
  <c r="N59" i="12"/>
  <c r="N58" i="12"/>
  <c r="N57" i="12"/>
  <c r="N54" i="12"/>
  <c r="N53" i="12"/>
  <c r="N52" i="12"/>
  <c r="N51" i="12"/>
  <c r="N50" i="12"/>
  <c r="N49" i="12"/>
  <c r="N25" i="12"/>
  <c r="N24" i="12"/>
  <c r="T64" i="12"/>
  <c r="T63" i="12"/>
  <c r="T62" i="12"/>
  <c r="T61" i="12"/>
  <c r="R46" i="12" l="1"/>
  <c r="S46" i="12"/>
  <c r="T46" i="12" s="1"/>
  <c r="R47" i="12"/>
  <c r="S47" i="12"/>
  <c r="T47" i="12" s="1"/>
  <c r="B38" i="42" l="1"/>
  <c r="B39" i="42"/>
  <c r="B55" i="42"/>
  <c r="B56" i="42"/>
  <c r="B57" i="42"/>
  <c r="B58" i="42"/>
  <c r="B59" i="42"/>
  <c r="H59" i="42" s="1"/>
  <c r="I59" i="42" s="1"/>
  <c r="B60" i="42"/>
  <c r="B61" i="42"/>
  <c r="B62" i="42"/>
  <c r="J54" i="42"/>
  <c r="J55" i="42"/>
  <c r="J56" i="42"/>
  <c r="J57" i="42"/>
  <c r="J58" i="42"/>
  <c r="J59" i="42"/>
  <c r="J60" i="42"/>
  <c r="J61" i="42"/>
  <c r="J62" i="42"/>
  <c r="E38" i="42"/>
  <c r="E39" i="42"/>
  <c r="F40" i="42" s="1"/>
  <c r="E54" i="42"/>
  <c r="E55" i="42"/>
  <c r="E56" i="42"/>
  <c r="E57" i="42"/>
  <c r="E58" i="42"/>
  <c r="E59" i="42"/>
  <c r="E60" i="42"/>
  <c r="E61" i="42"/>
  <c r="F61" i="42" s="1"/>
  <c r="E62" i="42"/>
  <c r="S43" i="12"/>
  <c r="T43" i="12" s="1"/>
  <c r="S42" i="12"/>
  <c r="T42" i="12" s="1"/>
  <c r="S37" i="12"/>
  <c r="T37" i="12" s="1"/>
  <c r="S36" i="12"/>
  <c r="T36" i="12" s="1"/>
  <c r="S33" i="12"/>
  <c r="T33" i="12" s="1"/>
  <c r="S32" i="12"/>
  <c r="T32" i="12" s="1"/>
  <c r="S23" i="12"/>
  <c r="T23" i="12" s="1"/>
  <c r="S22" i="12"/>
  <c r="T22" i="12" s="1"/>
  <c r="S21" i="12"/>
  <c r="T21" i="12" s="1"/>
  <c r="S19" i="12"/>
  <c r="T19" i="12" s="1"/>
  <c r="R43" i="12"/>
  <c r="R42" i="12"/>
  <c r="R37" i="12"/>
  <c r="R36" i="12"/>
  <c r="R33" i="12"/>
  <c r="R34" i="12" s="1"/>
  <c r="R32" i="12"/>
  <c r="R23" i="12"/>
  <c r="R22" i="12"/>
  <c r="R21" i="12"/>
  <c r="R19" i="12"/>
  <c r="J62" i="43"/>
  <c r="E62" i="43"/>
  <c r="F62" i="43" s="1"/>
  <c r="B62" i="43"/>
  <c r="J61" i="43"/>
  <c r="E61" i="43"/>
  <c r="B61" i="43"/>
  <c r="J60" i="43"/>
  <c r="E60" i="43"/>
  <c r="B60" i="43"/>
  <c r="J59" i="43"/>
  <c r="E59" i="43"/>
  <c r="B59" i="43"/>
  <c r="J58" i="43"/>
  <c r="E58" i="43"/>
  <c r="B58" i="43"/>
  <c r="J57" i="43"/>
  <c r="E57" i="43"/>
  <c r="B57" i="43"/>
  <c r="J56" i="43"/>
  <c r="E56" i="43"/>
  <c r="B56" i="43"/>
  <c r="J55" i="43"/>
  <c r="E55" i="43"/>
  <c r="B55" i="43"/>
  <c r="J54" i="43"/>
  <c r="H55" i="43"/>
  <c r="I55" i="43" s="1"/>
  <c r="B54" i="43"/>
  <c r="J53" i="43"/>
  <c r="B53" i="43"/>
  <c r="H53" i="43"/>
  <c r="I53" i="43" s="1"/>
  <c r="B41" i="43"/>
  <c r="E40" i="43"/>
  <c r="B40" i="43"/>
  <c r="J39" i="43"/>
  <c r="E39" i="43"/>
  <c r="H40" i="43" s="1"/>
  <c r="I40" i="43" s="1"/>
  <c r="B39" i="43"/>
  <c r="J38" i="43"/>
  <c r="E38" i="43"/>
  <c r="B38" i="43"/>
  <c r="J37" i="43"/>
  <c r="E37" i="43"/>
  <c r="B37" i="43"/>
  <c r="J36" i="43"/>
  <c r="E36" i="43"/>
  <c r="B36" i="43"/>
  <c r="J35" i="43"/>
  <c r="E35" i="43"/>
  <c r="H36" i="43" s="1"/>
  <c r="I36" i="43" s="1"/>
  <c r="B35" i="43"/>
  <c r="J34" i="43"/>
  <c r="E34" i="43"/>
  <c r="B34" i="43"/>
  <c r="J33" i="43"/>
  <c r="E33" i="43"/>
  <c r="F33" i="43" s="1"/>
  <c r="B33" i="43"/>
  <c r="H33" i="43" s="1"/>
  <c r="I33" i="43" s="1"/>
  <c r="Q42" i="42"/>
  <c r="Q93" i="42" s="1"/>
  <c r="J53" i="42"/>
  <c r="Q41" i="42"/>
  <c r="Q92" i="42" s="1"/>
  <c r="Q40" i="42"/>
  <c r="J40" i="42"/>
  <c r="Q39" i="42"/>
  <c r="J39" i="42"/>
  <c r="H39" i="42"/>
  <c r="I39" i="42" s="1"/>
  <c r="Q38" i="42"/>
  <c r="Q89" i="42" s="1"/>
  <c r="J38" i="42"/>
  <c r="Q37" i="42"/>
  <c r="J37" i="42"/>
  <c r="E37" i="42"/>
  <c r="B37" i="42"/>
  <c r="Q36" i="42"/>
  <c r="J36" i="42"/>
  <c r="E36" i="42"/>
  <c r="B36" i="42"/>
  <c r="Q35" i="42"/>
  <c r="Q86" i="42" s="1"/>
  <c r="J35" i="42"/>
  <c r="E35" i="42"/>
  <c r="B35" i="42"/>
  <c r="Q34" i="42"/>
  <c r="J34" i="42"/>
  <c r="E34" i="42"/>
  <c r="B34" i="42"/>
  <c r="Q33" i="42"/>
  <c r="Q84" i="42" s="1"/>
  <c r="J33" i="42"/>
  <c r="E33" i="42"/>
  <c r="F33" i="42" s="1"/>
  <c r="B33" i="42"/>
  <c r="H33" i="42" s="1"/>
  <c r="Q32" i="42"/>
  <c r="Q31" i="42"/>
  <c r="Q82" i="42" s="1"/>
  <c r="Q30" i="42"/>
  <c r="Q81" i="42" s="1"/>
  <c r="Q29" i="42"/>
  <c r="Q28" i="42"/>
  <c r="Q79" i="42" s="1"/>
  <c r="Q27" i="42"/>
  <c r="Q78" i="42" s="1"/>
  <c r="Q26" i="42"/>
  <c r="Q25" i="42"/>
  <c r="Q24" i="42"/>
  <c r="Q23" i="42"/>
  <c r="Q74" i="42" s="1"/>
  <c r="Q22" i="42"/>
  <c r="Q73" i="42" s="1"/>
  <c r="Q21" i="42"/>
  <c r="Q20" i="42"/>
  <c r="Q71" i="42" s="1"/>
  <c r="Q19" i="42"/>
  <c r="Q70" i="42" s="1"/>
  <c r="Q18" i="42"/>
  <c r="Q17" i="42"/>
  <c r="Q16" i="42"/>
  <c r="Q15" i="42"/>
  <c r="Q66" i="42" s="1"/>
  <c r="Q14" i="42"/>
  <c r="Q65" i="42" s="1"/>
  <c r="M15" i="43" s="1"/>
  <c r="Q13" i="42"/>
  <c r="Q12" i="42"/>
  <c r="Q63" i="42" s="1"/>
  <c r="Q11" i="42"/>
  <c r="Q62" i="42" s="1"/>
  <c r="Q10" i="42"/>
  <c r="Q9" i="42"/>
  <c r="Q8" i="42"/>
  <c r="Q7" i="42"/>
  <c r="Q58" i="42" s="1"/>
  <c r="Q6" i="42"/>
  <c r="Q57" i="42" s="1"/>
  <c r="Q5" i="42"/>
  <c r="Q4" i="42"/>
  <c r="Q55" i="42" s="1"/>
  <c r="Q3" i="42"/>
  <c r="Q54" i="42" s="1"/>
  <c r="M4" i="43" s="1"/>
  <c r="J62" i="39"/>
  <c r="E62" i="39"/>
  <c r="E33" i="39"/>
  <c r="F33" i="39" s="1"/>
  <c r="B33" i="39"/>
  <c r="Q42" i="38"/>
  <c r="Q93" i="38" s="1"/>
  <c r="M43" i="39" s="1"/>
  <c r="Q41" i="38"/>
  <c r="Q92" i="38" s="1"/>
  <c r="M42" i="39" s="1"/>
  <c r="Q40" i="38"/>
  <c r="Q91" i="38" s="1"/>
  <c r="M41" i="39" s="1"/>
  <c r="Q39" i="38"/>
  <c r="Q90" i="38" s="1"/>
  <c r="M40" i="39" s="1"/>
  <c r="Q38" i="38"/>
  <c r="Q89" i="38" s="1"/>
  <c r="M39" i="39" s="1"/>
  <c r="Q37" i="38"/>
  <c r="Q88" i="38" s="1"/>
  <c r="M38" i="39" s="1"/>
  <c r="Q36" i="38"/>
  <c r="Q87" i="38" s="1"/>
  <c r="M37" i="39" s="1"/>
  <c r="Q35" i="38"/>
  <c r="Q86" i="38" s="1"/>
  <c r="M36" i="39" s="1"/>
  <c r="Q34" i="38"/>
  <c r="Q85" i="38" s="1"/>
  <c r="M35" i="39" s="1"/>
  <c r="J62" i="38"/>
  <c r="E62" i="38"/>
  <c r="B62" i="38"/>
  <c r="Q33" i="38"/>
  <c r="Q84" i="38" s="1"/>
  <c r="M34" i="39" s="1"/>
  <c r="Q32" i="38"/>
  <c r="Q83" i="38" s="1"/>
  <c r="M33" i="39" s="1"/>
  <c r="Q31" i="38"/>
  <c r="Q82" i="38" s="1"/>
  <c r="M32" i="39" s="1"/>
  <c r="Q30" i="38"/>
  <c r="Q81" i="38" s="1"/>
  <c r="M31" i="39" s="1"/>
  <c r="Q29" i="38"/>
  <c r="Q80" i="38" s="1"/>
  <c r="M30" i="39" s="1"/>
  <c r="Q28" i="38"/>
  <c r="Q79" i="38" s="1"/>
  <c r="M29" i="39" s="1"/>
  <c r="Q27" i="38"/>
  <c r="Q78" i="38" s="1"/>
  <c r="M28" i="39" s="1"/>
  <c r="Q26" i="38"/>
  <c r="Q77" i="38" s="1"/>
  <c r="M27" i="39" s="1"/>
  <c r="Q25" i="38"/>
  <c r="Q76" i="38" s="1"/>
  <c r="M26" i="39" s="1"/>
  <c r="Q24" i="38"/>
  <c r="Q75" i="38" s="1"/>
  <c r="M25" i="39" s="1"/>
  <c r="Q23" i="38"/>
  <c r="Q74" i="38" s="1"/>
  <c r="M24" i="39" s="1"/>
  <c r="Q22" i="38"/>
  <c r="Q73" i="38" s="1"/>
  <c r="M23" i="39" s="1"/>
  <c r="Q21" i="38"/>
  <c r="Q72" i="38" s="1"/>
  <c r="M22" i="39" s="1"/>
  <c r="Q20" i="38"/>
  <c r="Q71" i="38" s="1"/>
  <c r="M21" i="39" s="1"/>
  <c r="Q19" i="38"/>
  <c r="Q70" i="38" s="1"/>
  <c r="M20" i="39" s="1"/>
  <c r="Q18" i="38"/>
  <c r="Q69" i="38" s="1"/>
  <c r="M19" i="39" s="1"/>
  <c r="Q17" i="38"/>
  <c r="Q68" i="38" s="1"/>
  <c r="M18" i="39" s="1"/>
  <c r="Q16" i="38"/>
  <c r="Q67" i="38" s="1"/>
  <c r="M17" i="39" s="1"/>
  <c r="Q15" i="38"/>
  <c r="Q66" i="38" s="1"/>
  <c r="M16" i="39" s="1"/>
  <c r="Q14" i="38"/>
  <c r="Q65" i="38" s="1"/>
  <c r="M15" i="39" s="1"/>
  <c r="Q13" i="38"/>
  <c r="Q64" i="38" s="1"/>
  <c r="M14" i="39" s="1"/>
  <c r="Q12" i="38"/>
  <c r="Q63" i="38" s="1"/>
  <c r="M13" i="39" s="1"/>
  <c r="Q11" i="38"/>
  <c r="Q62" i="38" s="1"/>
  <c r="M12" i="39" s="1"/>
  <c r="Q10" i="38"/>
  <c r="Q61" i="38" s="1"/>
  <c r="M11" i="39" s="1"/>
  <c r="Q9" i="38"/>
  <c r="Q60" i="38" s="1"/>
  <c r="M10" i="39" s="1"/>
  <c r="Q8" i="38"/>
  <c r="Q59" i="38" s="1"/>
  <c r="M9" i="39" s="1"/>
  <c r="Q7" i="38"/>
  <c r="Q58" i="38" s="1"/>
  <c r="M8" i="39" s="1"/>
  <c r="Q6" i="38"/>
  <c r="Q57" i="38" s="1"/>
  <c r="M7" i="39" s="1"/>
  <c r="Q5" i="38"/>
  <c r="Q56" i="38" s="1"/>
  <c r="M6" i="39" s="1"/>
  <c r="Q4" i="38"/>
  <c r="Q55" i="38" s="1"/>
  <c r="M5" i="39" s="1"/>
  <c r="Q3" i="38"/>
  <c r="Q54" i="38" s="1"/>
  <c r="M4" i="39" s="1"/>
  <c r="J64" i="35"/>
  <c r="E64" i="35"/>
  <c r="B64" i="35"/>
  <c r="J63" i="35"/>
  <c r="E63" i="35"/>
  <c r="B63" i="35"/>
  <c r="J62" i="35"/>
  <c r="E62" i="35"/>
  <c r="B62" i="35"/>
  <c r="J61" i="35"/>
  <c r="E61" i="35"/>
  <c r="B61" i="35"/>
  <c r="J60" i="35"/>
  <c r="E60" i="35"/>
  <c r="B60" i="35"/>
  <c r="J59" i="35"/>
  <c r="E59" i="35"/>
  <c r="B59" i="35"/>
  <c r="J58" i="35"/>
  <c r="E58" i="35"/>
  <c r="B58" i="35"/>
  <c r="J57" i="35"/>
  <c r="E57" i="35"/>
  <c r="B57" i="35"/>
  <c r="J56" i="35"/>
  <c r="E56" i="35"/>
  <c r="H56" i="35"/>
  <c r="I56" i="35" s="1"/>
  <c r="E33" i="35"/>
  <c r="B33" i="35"/>
  <c r="Q42" i="34"/>
  <c r="Q93" i="34" s="1"/>
  <c r="M43" i="35" s="1"/>
  <c r="J64" i="34"/>
  <c r="E64" i="34"/>
  <c r="B64" i="34"/>
  <c r="Q41" i="34"/>
  <c r="Q92" i="34" s="1"/>
  <c r="M42" i="35" s="1"/>
  <c r="J63" i="34"/>
  <c r="E63" i="34"/>
  <c r="B63" i="34"/>
  <c r="Q40" i="34"/>
  <c r="Q91" i="34" s="1"/>
  <c r="M41" i="35" s="1"/>
  <c r="J62" i="34"/>
  <c r="E62" i="34"/>
  <c r="B62" i="34"/>
  <c r="Q39" i="34"/>
  <c r="Q90" i="34" s="1"/>
  <c r="M40" i="35" s="1"/>
  <c r="J61" i="34"/>
  <c r="E61" i="34"/>
  <c r="B61" i="34"/>
  <c r="Q38" i="34"/>
  <c r="Q89" i="34" s="1"/>
  <c r="M39" i="35" s="1"/>
  <c r="J60" i="34"/>
  <c r="B60" i="34"/>
  <c r="Q37" i="34"/>
  <c r="Q88" i="34" s="1"/>
  <c r="M38" i="35" s="1"/>
  <c r="J59" i="34"/>
  <c r="B59" i="34"/>
  <c r="Q36" i="34"/>
  <c r="Q87" i="34" s="1"/>
  <c r="M37" i="35" s="1"/>
  <c r="J58" i="34"/>
  <c r="Q35" i="34"/>
  <c r="Q86" i="34" s="1"/>
  <c r="M36" i="35" s="1"/>
  <c r="J57" i="34"/>
  <c r="Q34" i="34"/>
  <c r="Q85" i="34" s="1"/>
  <c r="M35" i="35" s="1"/>
  <c r="Q33" i="34"/>
  <c r="Q84" i="34" s="1"/>
  <c r="M34" i="35" s="1"/>
  <c r="E33" i="34"/>
  <c r="B33" i="34"/>
  <c r="H33" i="34" s="1"/>
  <c r="I33" i="34" s="1"/>
  <c r="Q32" i="34"/>
  <c r="Q83" i="34" s="1"/>
  <c r="M33" i="35" s="1"/>
  <c r="Q31" i="34"/>
  <c r="Q82" i="34" s="1"/>
  <c r="M32" i="35" s="1"/>
  <c r="Q30" i="34"/>
  <c r="Q81" i="34" s="1"/>
  <c r="M31" i="35" s="1"/>
  <c r="Q29" i="34"/>
  <c r="Q80" i="34" s="1"/>
  <c r="M30" i="35" s="1"/>
  <c r="Q28" i="34"/>
  <c r="Q79" i="34" s="1"/>
  <c r="M29" i="35" s="1"/>
  <c r="Q27" i="34"/>
  <c r="Q78" i="34" s="1"/>
  <c r="M28" i="35" s="1"/>
  <c r="Q26" i="34"/>
  <c r="Q77" i="34" s="1"/>
  <c r="M27" i="35" s="1"/>
  <c r="Q25" i="34"/>
  <c r="Q76" i="34" s="1"/>
  <c r="M26" i="35" s="1"/>
  <c r="Q24" i="34"/>
  <c r="Q75" i="34" s="1"/>
  <c r="M25" i="35" s="1"/>
  <c r="Q23" i="34"/>
  <c r="Q74" i="34" s="1"/>
  <c r="M24" i="35" s="1"/>
  <c r="Q22" i="34"/>
  <c r="Q73" i="34" s="1"/>
  <c r="M23" i="35" s="1"/>
  <c r="Q21" i="34"/>
  <c r="Q72" i="34" s="1"/>
  <c r="M22" i="35" s="1"/>
  <c r="Q20" i="34"/>
  <c r="Q71" i="34" s="1"/>
  <c r="M21" i="35" s="1"/>
  <c r="Q19" i="34"/>
  <c r="Q70" i="34" s="1"/>
  <c r="M20" i="35" s="1"/>
  <c r="Q18" i="34"/>
  <c r="Q69" i="34" s="1"/>
  <c r="M19" i="35" s="1"/>
  <c r="Q17" i="34"/>
  <c r="Q68" i="34" s="1"/>
  <c r="M18" i="35" s="1"/>
  <c r="Q16" i="34"/>
  <c r="Q67" i="34" s="1"/>
  <c r="M17" i="35" s="1"/>
  <c r="Q15" i="34"/>
  <c r="Q66" i="34" s="1"/>
  <c r="M16" i="35" s="1"/>
  <c r="Q14" i="34"/>
  <c r="Q65" i="34" s="1"/>
  <c r="M15" i="35" s="1"/>
  <c r="Q13" i="34"/>
  <c r="Q64" i="34" s="1"/>
  <c r="M14" i="35" s="1"/>
  <c r="Q12" i="34"/>
  <c r="Q63" i="34" s="1"/>
  <c r="M13" i="35" s="1"/>
  <c r="Q11" i="34"/>
  <c r="Q62" i="34" s="1"/>
  <c r="M12" i="35" s="1"/>
  <c r="Q10" i="34"/>
  <c r="Q61" i="34" s="1"/>
  <c r="M11" i="35" s="1"/>
  <c r="Q9" i="34"/>
  <c r="Q60" i="34" s="1"/>
  <c r="M10" i="35" s="1"/>
  <c r="Q8" i="34"/>
  <c r="Q59" i="34" s="1"/>
  <c r="M9" i="35" s="1"/>
  <c r="Q7" i="34"/>
  <c r="Q58" i="34" s="1"/>
  <c r="M8" i="35" s="1"/>
  <c r="Q6" i="34"/>
  <c r="Q57" i="34" s="1"/>
  <c r="M7" i="35" s="1"/>
  <c r="Q5" i="34"/>
  <c r="Q56" i="34" s="1"/>
  <c r="M6" i="35" s="1"/>
  <c r="Q4" i="34"/>
  <c r="Q55" i="34" s="1"/>
  <c r="M5" i="35" s="1"/>
  <c r="Q3" i="34"/>
  <c r="Q54" i="34" s="1"/>
  <c r="M4" i="35" s="1"/>
  <c r="H38" i="43" l="1"/>
  <c r="I38" i="43" s="1"/>
  <c r="H41" i="43"/>
  <c r="I41" i="43" s="1"/>
  <c r="F41" i="43"/>
  <c r="H57" i="43"/>
  <c r="I57" i="43" s="1"/>
  <c r="H34" i="43"/>
  <c r="I34" i="43" s="1"/>
  <c r="H59" i="43"/>
  <c r="I59" i="43" s="1"/>
  <c r="F37" i="43"/>
  <c r="H37" i="42"/>
  <c r="I37" i="42" s="1"/>
  <c r="F59" i="42"/>
  <c r="F55" i="42"/>
  <c r="F57" i="42"/>
  <c r="F33" i="35"/>
  <c r="H34" i="35"/>
  <c r="I34" i="35" s="1"/>
  <c r="H60" i="35"/>
  <c r="I60" i="35" s="1"/>
  <c r="H64" i="35"/>
  <c r="I64" i="35" s="1"/>
  <c r="F33" i="34"/>
  <c r="H34" i="34"/>
  <c r="I34" i="34" s="1"/>
  <c r="H58" i="34"/>
  <c r="I58" i="34" s="1"/>
  <c r="H62" i="34"/>
  <c r="I62" i="34" s="1"/>
  <c r="H60" i="43"/>
  <c r="I60" i="43" s="1"/>
  <c r="H61" i="43"/>
  <c r="I61" i="43" s="1"/>
  <c r="F58" i="43"/>
  <c r="F39" i="43"/>
  <c r="F35" i="43"/>
  <c r="F60" i="43"/>
  <c r="Q87" i="42"/>
  <c r="M37" i="43" s="1"/>
  <c r="M11" i="43"/>
  <c r="Q85" i="42"/>
  <c r="M35" i="43" s="1"/>
  <c r="Q77" i="42"/>
  <c r="M27" i="43" s="1"/>
  <c r="Q69" i="42"/>
  <c r="M19" i="43" s="1"/>
  <c r="Q61" i="42"/>
  <c r="M12" i="43"/>
  <c r="M20" i="43"/>
  <c r="M28" i="43"/>
  <c r="Q76" i="42"/>
  <c r="M26" i="43" s="1"/>
  <c r="Q68" i="42"/>
  <c r="M18" i="43" s="1"/>
  <c r="Q60" i="42"/>
  <c r="M10" i="43" s="1"/>
  <c r="M5" i="43"/>
  <c r="M13" i="43"/>
  <c r="M21" i="43"/>
  <c r="M29" i="43"/>
  <c r="M34" i="43"/>
  <c r="M36" i="43"/>
  <c r="Q91" i="42"/>
  <c r="M41" i="43" s="1"/>
  <c r="Q83" i="42"/>
  <c r="M33" i="43" s="1"/>
  <c r="Q75" i="42"/>
  <c r="M25" i="43" s="1"/>
  <c r="Q67" i="42"/>
  <c r="M17" i="43" s="1"/>
  <c r="Q59" i="42"/>
  <c r="M9" i="43" s="1"/>
  <c r="M22" i="43"/>
  <c r="M42" i="43"/>
  <c r="Q90" i="42"/>
  <c r="M40" i="43" s="1"/>
  <c r="M8" i="43"/>
  <c r="M16" i="43"/>
  <c r="M24" i="43"/>
  <c r="M32" i="43"/>
  <c r="M43" i="43"/>
  <c r="Q88" i="42"/>
  <c r="M38" i="43" s="1"/>
  <c r="Q80" i="42"/>
  <c r="M30" i="43" s="1"/>
  <c r="Q72" i="42"/>
  <c r="Q64" i="42"/>
  <c r="M14" i="43" s="1"/>
  <c r="Q56" i="42"/>
  <c r="M6" i="43" s="1"/>
  <c r="H36" i="42"/>
  <c r="I36" i="42" s="1"/>
  <c r="F58" i="42"/>
  <c r="F39" i="42"/>
  <c r="H62" i="39"/>
  <c r="I62" i="39" s="1"/>
  <c r="H58" i="35"/>
  <c r="I58" i="35" s="1"/>
  <c r="H62" i="35"/>
  <c r="I62" i="35" s="1"/>
  <c r="H64" i="34"/>
  <c r="I64" i="34" s="1"/>
  <c r="H57" i="34"/>
  <c r="I57" i="34" s="1"/>
  <c r="H63" i="34"/>
  <c r="I63" i="34" s="1"/>
  <c r="R44" i="12"/>
  <c r="S34" i="12"/>
  <c r="T34" i="12" s="1"/>
  <c r="S44" i="12"/>
  <c r="T44" i="12" s="1"/>
  <c r="Y28" i="42"/>
  <c r="Y41" i="38"/>
  <c r="Y42" i="42"/>
  <c r="S93" i="42" s="1"/>
  <c r="H59" i="34"/>
  <c r="I59" i="34" s="1"/>
  <c r="H61" i="34"/>
  <c r="I61" i="34" s="1"/>
  <c r="H60" i="34"/>
  <c r="I60" i="34" s="1"/>
  <c r="X8" i="34"/>
  <c r="R59" i="34" s="1"/>
  <c r="X16" i="34"/>
  <c r="X24" i="34"/>
  <c r="AB36" i="34" s="1"/>
  <c r="I42" i="12" s="1"/>
  <c r="Y40" i="34"/>
  <c r="S91" i="34" s="1"/>
  <c r="O41" i="35" s="1"/>
  <c r="X34" i="34"/>
  <c r="X42" i="34"/>
  <c r="Y10" i="34"/>
  <c r="Y42" i="34"/>
  <c r="X11" i="34"/>
  <c r="X19" i="34"/>
  <c r="Y27" i="34"/>
  <c r="AC41" i="34" s="1"/>
  <c r="J47" i="12" s="1"/>
  <c r="Y35" i="34"/>
  <c r="X4" i="34"/>
  <c r="R55" i="34" s="1"/>
  <c r="X20" i="34"/>
  <c r="R71" i="34" s="1"/>
  <c r="Y28" i="34"/>
  <c r="AC42" i="34" s="1"/>
  <c r="X13" i="34"/>
  <c r="X21" i="34"/>
  <c r="Y29" i="34"/>
  <c r="Y37" i="34"/>
  <c r="X33" i="34"/>
  <c r="Y25" i="34"/>
  <c r="X6" i="34"/>
  <c r="AB6" i="34" s="1"/>
  <c r="X14" i="34"/>
  <c r="X22" i="34"/>
  <c r="X30" i="34"/>
  <c r="X38" i="34"/>
  <c r="Y30" i="34"/>
  <c r="X17" i="34"/>
  <c r="Y9" i="34"/>
  <c r="Y33" i="34"/>
  <c r="X7" i="34"/>
  <c r="R58" i="34" s="1"/>
  <c r="N8" i="35" s="1"/>
  <c r="X23" i="34"/>
  <c r="X31" i="34"/>
  <c r="X39" i="34"/>
  <c r="Y7" i="34"/>
  <c r="Y15" i="34"/>
  <c r="Y31" i="34"/>
  <c r="Y39" i="34"/>
  <c r="X6" i="38"/>
  <c r="R57" i="38" s="1"/>
  <c r="X14" i="38"/>
  <c r="R65" i="38" s="1"/>
  <c r="X22" i="38"/>
  <c r="AB32" i="38" s="1"/>
  <c r="L38" i="12" s="1"/>
  <c r="Y30" i="38"/>
  <c r="AC46" i="38" s="1"/>
  <c r="M62" i="12" s="1"/>
  <c r="Y38" i="38"/>
  <c r="X31" i="38"/>
  <c r="AB47" i="38" s="1"/>
  <c r="L63" i="12" s="1"/>
  <c r="X40" i="38"/>
  <c r="Y16" i="38"/>
  <c r="X17" i="38"/>
  <c r="AB23" i="38" s="1"/>
  <c r="L29" i="12" s="1"/>
  <c r="X33" i="38"/>
  <c r="R84" i="38" s="1"/>
  <c r="X10" i="38"/>
  <c r="R61" i="38" s="1"/>
  <c r="X42" i="38"/>
  <c r="Y18" i="38"/>
  <c r="S69" i="38" s="1"/>
  <c r="O19" i="39" s="1"/>
  <c r="Y26" i="38"/>
  <c r="S77" i="38" s="1"/>
  <c r="O27" i="39" s="1"/>
  <c r="Y34" i="38"/>
  <c r="S85" i="38" s="1"/>
  <c r="O35" i="39" s="1"/>
  <c r="X3" i="38"/>
  <c r="R54" i="38" s="1"/>
  <c r="X35" i="38"/>
  <c r="Y3" i="38"/>
  <c r="AC3" i="38" s="1"/>
  <c r="M7" i="12" s="1"/>
  <c r="Y11" i="38"/>
  <c r="S62" i="38" s="1"/>
  <c r="O12" i="39" s="1"/>
  <c r="Y40" i="38"/>
  <c r="S91" i="38" s="1"/>
  <c r="O41" i="39" s="1"/>
  <c r="X4" i="38"/>
  <c r="R55" i="38" s="1"/>
  <c r="X12" i="38"/>
  <c r="AB16" i="38" s="1"/>
  <c r="L20" i="12" s="1"/>
  <c r="Y4" i="38"/>
  <c r="S55" i="38" s="1"/>
  <c r="O5" i="39" s="1"/>
  <c r="Y20" i="38"/>
  <c r="Y28" i="38"/>
  <c r="S79" i="38" s="1"/>
  <c r="O29" i="39" s="1"/>
  <c r="Y36" i="38"/>
  <c r="AC54" i="38" s="1"/>
  <c r="M71" i="12" s="1"/>
  <c r="X5" i="38"/>
  <c r="X13" i="38"/>
  <c r="AB17" i="38" s="1"/>
  <c r="L21" i="12" s="1"/>
  <c r="X21" i="38"/>
  <c r="R72" i="38" s="1"/>
  <c r="N22" i="39" s="1"/>
  <c r="X37" i="38"/>
  <c r="Y5" i="38"/>
  <c r="S56" i="38" s="1"/>
  <c r="O6" i="39" s="1"/>
  <c r="Y21" i="38"/>
  <c r="Y37" i="38"/>
  <c r="F38" i="42"/>
  <c r="F62" i="42"/>
  <c r="F54" i="42"/>
  <c r="H55" i="42"/>
  <c r="I55" i="42" s="1"/>
  <c r="M7" i="43"/>
  <c r="M23" i="43"/>
  <c r="M31" i="43"/>
  <c r="M39" i="43"/>
  <c r="F60" i="42"/>
  <c r="F56" i="42"/>
  <c r="X3" i="42"/>
  <c r="X7" i="42"/>
  <c r="R58" i="42" s="1"/>
  <c r="X15" i="42"/>
  <c r="R66" i="42" s="1"/>
  <c r="X23" i="42"/>
  <c r="R74" i="42" s="1"/>
  <c r="X31" i="42"/>
  <c r="R82" i="42" s="1"/>
  <c r="X39" i="42"/>
  <c r="R90" i="42" s="1"/>
  <c r="Y19" i="42"/>
  <c r="S70" i="42" s="1"/>
  <c r="O20" i="43" s="1"/>
  <c r="Y27" i="42"/>
  <c r="S78" i="42" s="1"/>
  <c r="O28" i="43" s="1"/>
  <c r="Y35" i="42"/>
  <c r="S86" i="42" s="1"/>
  <c r="X17" i="42"/>
  <c r="R68" i="42" s="1"/>
  <c r="F34" i="42"/>
  <c r="X26" i="42"/>
  <c r="R77" i="42" s="1"/>
  <c r="X34" i="42"/>
  <c r="R85" i="42" s="1"/>
  <c r="X42" i="42"/>
  <c r="Y6" i="42"/>
  <c r="S57" i="42" s="1"/>
  <c r="Y22" i="42"/>
  <c r="S73" i="42" s="1"/>
  <c r="Y38" i="42"/>
  <c r="S89" i="42" s="1"/>
  <c r="X32" i="42"/>
  <c r="R83" i="42" s="1"/>
  <c r="Y36" i="42"/>
  <c r="S87" i="42" s="1"/>
  <c r="O37" i="43" s="1"/>
  <c r="Y13" i="42"/>
  <c r="S64" i="42" s="1"/>
  <c r="X19" i="42"/>
  <c r="R70" i="42" s="1"/>
  <c r="X27" i="42"/>
  <c r="R78" i="42" s="1"/>
  <c r="X35" i="42"/>
  <c r="R86" i="42" s="1"/>
  <c r="Y7" i="42"/>
  <c r="S58" i="42" s="1"/>
  <c r="Y15" i="42"/>
  <c r="S66" i="42" s="1"/>
  <c r="Y23" i="42"/>
  <c r="Y31" i="42"/>
  <c r="S82" i="42" s="1"/>
  <c r="Y39" i="42"/>
  <c r="S90" i="42" s="1"/>
  <c r="X8" i="42"/>
  <c r="R59" i="42" s="1"/>
  <c r="Y12" i="42"/>
  <c r="S63" i="42" s="1"/>
  <c r="H40" i="42"/>
  <c r="I40" i="42" s="1"/>
  <c r="X4" i="42"/>
  <c r="R55" i="42" s="1"/>
  <c r="X12" i="42"/>
  <c r="R63" i="42" s="1"/>
  <c r="X20" i="42"/>
  <c r="R71" i="42" s="1"/>
  <c r="X28" i="42"/>
  <c r="X36" i="42"/>
  <c r="R87" i="42" s="1"/>
  <c r="Y3" i="42"/>
  <c r="S54" i="42" s="1"/>
  <c r="O4" i="43" s="1"/>
  <c r="Y8" i="42"/>
  <c r="S59" i="42" s="1"/>
  <c r="Y16" i="42"/>
  <c r="S67" i="42" s="1"/>
  <c r="Y24" i="42"/>
  <c r="S75" i="42" s="1"/>
  <c r="Y32" i="42"/>
  <c r="S83" i="42" s="1"/>
  <c r="O33" i="43" s="1"/>
  <c r="Y40" i="42"/>
  <c r="S91" i="42" s="1"/>
  <c r="O41" i="43" s="1"/>
  <c r="X24" i="42"/>
  <c r="R75" i="42" s="1"/>
  <c r="Y20" i="42"/>
  <c r="AC30" i="42" s="1"/>
  <c r="P36" i="12" s="1"/>
  <c r="X25" i="42"/>
  <c r="R76" i="42" s="1"/>
  <c r="Y5" i="42"/>
  <c r="S56" i="42" s="1"/>
  <c r="X5" i="42"/>
  <c r="R56" i="42" s="1"/>
  <c r="X13" i="42"/>
  <c r="R64" i="42" s="1"/>
  <c r="X21" i="42"/>
  <c r="R72" i="42" s="1"/>
  <c r="X29" i="42"/>
  <c r="R80" i="42" s="1"/>
  <c r="X37" i="42"/>
  <c r="R88" i="42" s="1"/>
  <c r="Y9" i="42"/>
  <c r="S60" i="42" s="1"/>
  <c r="Y17" i="42"/>
  <c r="S68" i="42" s="1"/>
  <c r="Y25" i="42"/>
  <c r="S76" i="42" s="1"/>
  <c r="Y33" i="42"/>
  <c r="S84" i="42" s="1"/>
  <c r="Y41" i="42"/>
  <c r="S92" i="42" s="1"/>
  <c r="X16" i="42"/>
  <c r="R67" i="42" s="1"/>
  <c r="X9" i="42"/>
  <c r="R60" i="42" s="1"/>
  <c r="Y37" i="42"/>
  <c r="S88" i="42" s="1"/>
  <c r="X6" i="42"/>
  <c r="R57" i="42" s="1"/>
  <c r="X14" i="42"/>
  <c r="R65" i="42" s="1"/>
  <c r="X22" i="42"/>
  <c r="X30" i="42"/>
  <c r="R81" i="42" s="1"/>
  <c r="X38" i="42"/>
  <c r="R89" i="42" s="1"/>
  <c r="Y10" i="42"/>
  <c r="S61" i="42" s="1"/>
  <c r="Y18" i="42"/>
  <c r="S69" i="42" s="1"/>
  <c r="Y26" i="42"/>
  <c r="S77" i="42" s="1"/>
  <c r="Y34" i="42"/>
  <c r="S85" i="42" s="1"/>
  <c r="F35" i="42"/>
  <c r="H60" i="42"/>
  <c r="I60" i="42" s="1"/>
  <c r="H35" i="42"/>
  <c r="I35" i="42" s="1"/>
  <c r="F37" i="42"/>
  <c r="H57" i="42"/>
  <c r="I57" i="42" s="1"/>
  <c r="H62" i="42"/>
  <c r="I62" i="42" s="1"/>
  <c r="H56" i="42"/>
  <c r="I56" i="42" s="1"/>
  <c r="H61" i="42"/>
  <c r="I61" i="42" s="1"/>
  <c r="Y8" i="34"/>
  <c r="Y36" i="34"/>
  <c r="AC54" i="34" s="1"/>
  <c r="X7" i="38"/>
  <c r="Y8" i="38"/>
  <c r="X16" i="38"/>
  <c r="R67" i="38" s="1"/>
  <c r="N17" i="39" s="1"/>
  <c r="X20" i="38"/>
  <c r="R71" i="38" s="1"/>
  <c r="Y5" i="34"/>
  <c r="AC5" i="34" s="1"/>
  <c r="Y23" i="34"/>
  <c r="S74" i="34" s="1"/>
  <c r="O24" i="35" s="1"/>
  <c r="Y7" i="38"/>
  <c r="Y12" i="38"/>
  <c r="Y14" i="38"/>
  <c r="AC18" i="38" s="1"/>
  <c r="M22" i="12" s="1"/>
  <c r="N22" i="12" s="1"/>
  <c r="Y23" i="38"/>
  <c r="S74" i="38" s="1"/>
  <c r="O24" i="39" s="1"/>
  <c r="X26" i="38"/>
  <c r="R77" i="38" s="1"/>
  <c r="X29" i="38"/>
  <c r="AB45" i="38" s="1"/>
  <c r="L61" i="12" s="1"/>
  <c r="Y31" i="38"/>
  <c r="S82" i="38" s="1"/>
  <c r="O32" i="39" s="1"/>
  <c r="Y14" i="34"/>
  <c r="AC18" i="34" s="1"/>
  <c r="Y10" i="38"/>
  <c r="S61" i="38" s="1"/>
  <c r="O11" i="39" s="1"/>
  <c r="X18" i="38"/>
  <c r="R69" i="38" s="1"/>
  <c r="X3" i="34"/>
  <c r="R54" i="34" s="1"/>
  <c r="N4" i="35" s="1"/>
  <c r="X15" i="34"/>
  <c r="R66" i="34" s="1"/>
  <c r="N16" i="35" s="1"/>
  <c r="X9" i="38"/>
  <c r="R60" i="38" s="1"/>
  <c r="X11" i="38"/>
  <c r="R62" i="38" s="1"/>
  <c r="N12" i="39" s="1"/>
  <c r="X15" i="38"/>
  <c r="R66" i="38" s="1"/>
  <c r="N16" i="39" s="1"/>
  <c r="X24" i="38"/>
  <c r="R75" i="38" s="1"/>
  <c r="Y27" i="38"/>
  <c r="S78" i="38" s="1"/>
  <c r="O28" i="39" s="1"/>
  <c r="X30" i="38"/>
  <c r="AB46" i="38" s="1"/>
  <c r="L62" i="12" s="1"/>
  <c r="Y11" i="34"/>
  <c r="S62" i="34" s="1"/>
  <c r="O12" i="35" s="1"/>
  <c r="Y16" i="34"/>
  <c r="S67" i="34" s="1"/>
  <c r="O17" i="35" s="1"/>
  <c r="Y19" i="38"/>
  <c r="S70" i="38" s="1"/>
  <c r="O20" i="39" s="1"/>
  <c r="Y22" i="38"/>
  <c r="S73" i="38" s="1"/>
  <c r="O23" i="39" s="1"/>
  <c r="X25" i="38"/>
  <c r="R76" i="38" s="1"/>
  <c r="N26" i="39" s="1"/>
  <c r="X34" i="38"/>
  <c r="AB52" i="38" s="1"/>
  <c r="L69" i="12" s="1"/>
  <c r="X10" i="42"/>
  <c r="X19" i="38"/>
  <c r="R70" i="38" s="1"/>
  <c r="Y12" i="34"/>
  <c r="S63" i="34" s="1"/>
  <c r="O13" i="35" s="1"/>
  <c r="X8" i="38"/>
  <c r="R59" i="38" s="1"/>
  <c r="Y17" i="38"/>
  <c r="S68" i="38" s="1"/>
  <c r="O18" i="39" s="1"/>
  <c r="Y25" i="38"/>
  <c r="S76" i="38" s="1"/>
  <c r="O26" i="39" s="1"/>
  <c r="X18" i="42"/>
  <c r="Y3" i="34"/>
  <c r="AC3" i="34" s="1"/>
  <c r="Y6" i="38"/>
  <c r="S57" i="38" s="1"/>
  <c r="O7" i="39" s="1"/>
  <c r="Y9" i="38"/>
  <c r="Y13" i="38"/>
  <c r="S64" i="38" s="1"/>
  <c r="O14" i="39" s="1"/>
  <c r="Y15" i="38"/>
  <c r="S66" i="38" s="1"/>
  <c r="O16" i="39" s="1"/>
  <c r="I33" i="42"/>
  <c r="Y30" i="42"/>
  <c r="S81" i="42" s="1"/>
  <c r="F36" i="42"/>
  <c r="H54" i="42"/>
  <c r="I54" i="42" s="1"/>
  <c r="H58" i="42"/>
  <c r="I58" i="42" s="1"/>
  <c r="Y21" i="42"/>
  <c r="S72" i="42" s="1"/>
  <c r="X33" i="42"/>
  <c r="R84" i="42" s="1"/>
  <c r="X41" i="42"/>
  <c r="R92" i="42" s="1"/>
  <c r="X11" i="42"/>
  <c r="R62" i="42" s="1"/>
  <c r="Y29" i="42"/>
  <c r="S80" i="42" s="1"/>
  <c r="H34" i="42"/>
  <c r="I34" i="42" s="1"/>
  <c r="H38" i="42"/>
  <c r="I38" i="42" s="1"/>
  <c r="H53" i="42"/>
  <c r="I53" i="42" s="1"/>
  <c r="Y11" i="42"/>
  <c r="S62" i="42" s="1"/>
  <c r="F34" i="43"/>
  <c r="H35" i="43"/>
  <c r="I35" i="43" s="1"/>
  <c r="F36" i="43"/>
  <c r="H37" i="43"/>
  <c r="I37" i="43" s="1"/>
  <c r="F38" i="43"/>
  <c r="H39" i="43"/>
  <c r="I39" i="43" s="1"/>
  <c r="F40" i="43"/>
  <c r="H54" i="43"/>
  <c r="I54" i="43" s="1"/>
  <c r="F55" i="43"/>
  <c r="H56" i="43"/>
  <c r="I56" i="43" s="1"/>
  <c r="F56" i="43"/>
  <c r="Y4" i="42"/>
  <c r="S55" i="42" s="1"/>
  <c r="Y14" i="42"/>
  <c r="S65" i="42" s="1"/>
  <c r="X40" i="42"/>
  <c r="R91" i="42" s="1"/>
  <c r="F57" i="43"/>
  <c r="H58" i="43"/>
  <c r="I58" i="43" s="1"/>
  <c r="F59" i="43"/>
  <c r="F61" i="43"/>
  <c r="H62" i="43"/>
  <c r="I62" i="43" s="1"/>
  <c r="H62" i="38"/>
  <c r="I62" i="38" s="1"/>
  <c r="X38" i="38"/>
  <c r="Y42" i="38"/>
  <c r="Y32" i="38"/>
  <c r="X39" i="38"/>
  <c r="X41" i="38"/>
  <c r="Y29" i="38"/>
  <c r="Y33" i="38"/>
  <c r="Y35" i="38"/>
  <c r="Y39" i="38"/>
  <c r="X23" i="38"/>
  <c r="Y24" i="38"/>
  <c r="X27" i="38"/>
  <c r="X28" i="38"/>
  <c r="X32" i="38"/>
  <c r="X36" i="38"/>
  <c r="AB30" i="34"/>
  <c r="I36" i="12" s="1"/>
  <c r="X10" i="34"/>
  <c r="Y19" i="34"/>
  <c r="Y41" i="34"/>
  <c r="Y6" i="34"/>
  <c r="X5" i="34"/>
  <c r="X41" i="34"/>
  <c r="X37" i="34"/>
  <c r="X35" i="34"/>
  <c r="X29" i="34"/>
  <c r="Y21" i="34"/>
  <c r="Y17" i="34"/>
  <c r="Y13" i="34"/>
  <c r="X12" i="34"/>
  <c r="X32" i="34"/>
  <c r="X28" i="34"/>
  <c r="X27" i="34"/>
  <c r="Y24" i="34"/>
  <c r="Y20" i="34"/>
  <c r="Y4" i="34"/>
  <c r="X25" i="34"/>
  <c r="X18" i="34"/>
  <c r="X26" i="34"/>
  <c r="Y32" i="34"/>
  <c r="H63" i="35"/>
  <c r="I63" i="35" s="1"/>
  <c r="X36" i="34"/>
  <c r="X40" i="34"/>
  <c r="X9" i="34"/>
  <c r="Y18" i="34"/>
  <c r="Y22" i="34"/>
  <c r="Y26" i="34"/>
  <c r="Y34" i="34"/>
  <c r="Y38" i="34"/>
  <c r="H57" i="35"/>
  <c r="I57" i="35" s="1"/>
  <c r="H59" i="35"/>
  <c r="I59" i="35" s="1"/>
  <c r="H61" i="35"/>
  <c r="I61" i="35" s="1"/>
  <c r="Q24" i="8"/>
  <c r="AB47" i="42" l="1"/>
  <c r="O63" i="12" s="1"/>
  <c r="AB3" i="38"/>
  <c r="L7" i="12" s="1"/>
  <c r="R57" i="34"/>
  <c r="R75" i="34"/>
  <c r="AC27" i="42"/>
  <c r="P33" i="12" s="1"/>
  <c r="AC60" i="38"/>
  <c r="M78" i="12" s="1"/>
  <c r="AC54" i="42"/>
  <c r="P71" i="12" s="1"/>
  <c r="AC26" i="38"/>
  <c r="M32" i="12" s="1"/>
  <c r="AC48" i="42"/>
  <c r="P64" i="12" s="1"/>
  <c r="AB40" i="42"/>
  <c r="O46" i="12" s="1"/>
  <c r="AB15" i="38"/>
  <c r="L19" i="12" s="1"/>
  <c r="S87" i="34"/>
  <c r="O37" i="35" s="1"/>
  <c r="R63" i="38"/>
  <c r="N13" i="39" s="1"/>
  <c r="S56" i="34"/>
  <c r="O6" i="35" s="1"/>
  <c r="AB31" i="38"/>
  <c r="L37" i="12" s="1"/>
  <c r="R80" i="38"/>
  <c r="N30" i="39" s="1"/>
  <c r="AB9" i="38"/>
  <c r="L13" i="12" s="1"/>
  <c r="R73" i="38"/>
  <c r="N23" i="39" s="1"/>
  <c r="AC19" i="38"/>
  <c r="M23" i="12" s="1"/>
  <c r="N23" i="12" s="1"/>
  <c r="AB8" i="34"/>
  <c r="I12" i="12" s="1"/>
  <c r="S78" i="34"/>
  <c r="O28" i="35" s="1"/>
  <c r="AC23" i="38"/>
  <c r="M29" i="12" s="1"/>
  <c r="R85" i="38"/>
  <c r="N35" i="39" s="1"/>
  <c r="AC12" i="38"/>
  <c r="M16" i="12" s="1"/>
  <c r="R68" i="38"/>
  <c r="N18" i="39" s="1"/>
  <c r="AC42" i="38"/>
  <c r="M48" i="12" s="1"/>
  <c r="AB8" i="38"/>
  <c r="L12" i="12" s="1"/>
  <c r="S79" i="34"/>
  <c r="O29" i="35" s="1"/>
  <c r="AB4" i="34"/>
  <c r="I8" i="12" s="1"/>
  <c r="AB36" i="38"/>
  <c r="L42" i="12" s="1"/>
  <c r="AC40" i="38"/>
  <c r="M46" i="12" s="1"/>
  <c r="N46" i="12" s="1"/>
  <c r="AC60" i="34"/>
  <c r="J78" i="12" s="1"/>
  <c r="AB19" i="34"/>
  <c r="I23" i="12" s="1"/>
  <c r="AB22" i="38"/>
  <c r="L28" i="12" s="1"/>
  <c r="L30" i="12" s="1"/>
  <c r="AC5" i="38"/>
  <c r="M9" i="12" s="1"/>
  <c r="N9" i="12" s="1"/>
  <c r="AB19" i="38"/>
  <c r="L23" i="12" s="1"/>
  <c r="AC37" i="38"/>
  <c r="M43" i="12" s="1"/>
  <c r="AC60" i="42"/>
  <c r="P78" i="12" s="1"/>
  <c r="AC41" i="42"/>
  <c r="P47" i="12" s="1"/>
  <c r="AB27" i="38"/>
  <c r="L33" i="12" s="1"/>
  <c r="S65" i="38"/>
  <c r="O15" i="39" s="1"/>
  <c r="R79" i="42"/>
  <c r="N29" i="43" s="1"/>
  <c r="AB42" i="42"/>
  <c r="O48" i="12" s="1"/>
  <c r="S71" i="42"/>
  <c r="O21" i="43" s="1"/>
  <c r="AB64" i="42"/>
  <c r="O82" i="12" s="1"/>
  <c r="R93" i="42"/>
  <c r="N43" i="43" s="1"/>
  <c r="AB12" i="42"/>
  <c r="O16" i="12" s="1"/>
  <c r="O17" i="12" s="1"/>
  <c r="R61" i="42"/>
  <c r="N11" i="43" s="1"/>
  <c r="AB32" i="42"/>
  <c r="O38" i="12" s="1"/>
  <c r="R73" i="42"/>
  <c r="N23" i="43" s="1"/>
  <c r="S79" i="42"/>
  <c r="O29" i="43" s="1"/>
  <c r="AC33" i="42"/>
  <c r="P39" i="12" s="1"/>
  <c r="S74" i="42"/>
  <c r="O24" i="43" s="1"/>
  <c r="AB26" i="42"/>
  <c r="O32" i="12" s="1"/>
  <c r="R69" i="42"/>
  <c r="N19" i="43" s="1"/>
  <c r="S93" i="34"/>
  <c r="O43" i="35" s="1"/>
  <c r="AC64" i="34"/>
  <c r="J82" i="12" s="1"/>
  <c r="AB31" i="34"/>
  <c r="I37" i="12" s="1"/>
  <c r="R72" i="34"/>
  <c r="N22" i="35" s="1"/>
  <c r="R73" i="34"/>
  <c r="N23" i="35" s="1"/>
  <c r="AB32" i="34"/>
  <c r="I38" i="12" s="1"/>
  <c r="AC22" i="34"/>
  <c r="J28" i="12" s="1"/>
  <c r="AB3" i="34"/>
  <c r="I7" i="12" s="1"/>
  <c r="AB7" i="34"/>
  <c r="I11" i="12" s="1"/>
  <c r="S65" i="34"/>
  <c r="O15" i="35" s="1"/>
  <c r="AB5" i="38"/>
  <c r="L9" i="12" s="1"/>
  <c r="R56" i="38"/>
  <c r="N6" i="39" s="1"/>
  <c r="AB64" i="38"/>
  <c r="L82" i="12" s="1"/>
  <c r="R93" i="38"/>
  <c r="N43" i="39" s="1"/>
  <c r="AC33" i="38"/>
  <c r="M39" i="12" s="1"/>
  <c r="S54" i="38"/>
  <c r="O4" i="39" s="1"/>
  <c r="R81" i="38"/>
  <c r="N31" i="39" s="1"/>
  <c r="AC6" i="38"/>
  <c r="M10" i="12" s="1"/>
  <c r="N10" i="12" s="1"/>
  <c r="AC17" i="38"/>
  <c r="M21" i="12" s="1"/>
  <c r="AC32" i="38"/>
  <c r="M38" i="12" s="1"/>
  <c r="AC41" i="38"/>
  <c r="M47" i="12" s="1"/>
  <c r="AC27" i="38"/>
  <c r="M33" i="12" s="1"/>
  <c r="AC15" i="38"/>
  <c r="M19" i="12" s="1"/>
  <c r="AB6" i="38"/>
  <c r="L10" i="12" s="1"/>
  <c r="AB26" i="38"/>
  <c r="L32" i="12" s="1"/>
  <c r="AB40" i="38"/>
  <c r="L46" i="12" s="1"/>
  <c r="R82" i="38"/>
  <c r="N32" i="39" s="1"/>
  <c r="N15" i="39"/>
  <c r="AC52" i="38"/>
  <c r="M69" i="12" s="1"/>
  <c r="AB30" i="38"/>
  <c r="L36" i="12" s="1"/>
  <c r="AB37" i="38"/>
  <c r="L43" i="12" s="1"/>
  <c r="L44" i="12" s="1"/>
  <c r="AC47" i="38"/>
  <c r="M63" i="12" s="1"/>
  <c r="AB36" i="42"/>
  <c r="O42" i="12" s="1"/>
  <c r="S81" i="38"/>
  <c r="O31" i="39" s="1"/>
  <c r="AC4" i="38"/>
  <c r="M8" i="12" s="1"/>
  <c r="S87" i="38"/>
  <c r="O37" i="39" s="1"/>
  <c r="AB18" i="38"/>
  <c r="L22" i="12" s="1"/>
  <c r="R64" i="38"/>
  <c r="N14" i="39" s="1"/>
  <c r="AB12" i="38"/>
  <c r="L16" i="12" s="1"/>
  <c r="L17" i="12" s="1"/>
  <c r="AB51" i="38"/>
  <c r="L68" i="12" s="1"/>
  <c r="AC3" i="42"/>
  <c r="P7" i="12" s="1"/>
  <c r="AC42" i="42"/>
  <c r="P48" i="12" s="1"/>
  <c r="S54" i="34"/>
  <c r="O4" i="35" s="1"/>
  <c r="AB4" i="38"/>
  <c r="L8" i="12" s="1"/>
  <c r="AC16" i="34"/>
  <c r="J9" i="12"/>
  <c r="K9" i="12" s="1"/>
  <c r="J71" i="12"/>
  <c r="J48" i="12"/>
  <c r="J22" i="12"/>
  <c r="AC15" i="34"/>
  <c r="AC33" i="34"/>
  <c r="I10" i="12"/>
  <c r="J7" i="12"/>
  <c r="S60" i="38"/>
  <c r="O10" i="39" s="1"/>
  <c r="AC9" i="38"/>
  <c r="M13" i="12" s="1"/>
  <c r="N13" i="12" s="1"/>
  <c r="S67" i="38"/>
  <c r="O17" i="39" s="1"/>
  <c r="AC22" i="38"/>
  <c r="M28" i="12" s="1"/>
  <c r="S63" i="38"/>
  <c r="O13" i="39" s="1"/>
  <c r="AC16" i="38"/>
  <c r="M20" i="12" s="1"/>
  <c r="N20" i="12" s="1"/>
  <c r="S58" i="38"/>
  <c r="O8" i="39" s="1"/>
  <c r="AC7" i="38"/>
  <c r="M11" i="12" s="1"/>
  <c r="N11" i="12" s="1"/>
  <c r="S59" i="38"/>
  <c r="O9" i="39" s="1"/>
  <c r="AC8" i="38"/>
  <c r="M12" i="12" s="1"/>
  <c r="N12" i="12" s="1"/>
  <c r="R58" i="38"/>
  <c r="AB7" i="38"/>
  <c r="L11" i="12" s="1"/>
  <c r="S59" i="34"/>
  <c r="O9" i="35" s="1"/>
  <c r="AC8" i="34"/>
  <c r="AB54" i="42"/>
  <c r="O71" i="12" s="1"/>
  <c r="O25" i="43"/>
  <c r="AC36" i="42"/>
  <c r="P42" i="12" s="1"/>
  <c r="AB18" i="42"/>
  <c r="O22" i="12" s="1"/>
  <c r="O30" i="43"/>
  <c r="AC45" i="42"/>
  <c r="P61" i="12" s="1"/>
  <c r="AB53" i="42"/>
  <c r="O70" i="12" s="1"/>
  <c r="AB7" i="42"/>
  <c r="O11" i="12" s="1"/>
  <c r="O31" i="43"/>
  <c r="AC46" i="42"/>
  <c r="P62" i="12" s="1"/>
  <c r="O19" i="43"/>
  <c r="AC26" i="42"/>
  <c r="P32" i="12" s="1"/>
  <c r="AB33" i="42"/>
  <c r="O39" i="12" s="1"/>
  <c r="O12" i="43"/>
  <c r="AC15" i="42"/>
  <c r="P19" i="12" s="1"/>
  <c r="O42" i="43"/>
  <c r="AC63" i="42"/>
  <c r="P81" i="12" s="1"/>
  <c r="AB15" i="42"/>
  <c r="O19" i="12" s="1"/>
  <c r="AB51" i="42"/>
  <c r="O68" i="12" s="1"/>
  <c r="O18" i="43"/>
  <c r="AC23" i="42"/>
  <c r="P29" i="12" s="1"/>
  <c r="AB58" i="42"/>
  <c r="O76" i="12" s="1"/>
  <c r="AB23" i="42"/>
  <c r="O29" i="12" s="1"/>
  <c r="AB22" i="42"/>
  <c r="O28" i="12" s="1"/>
  <c r="AB52" i="42"/>
  <c r="O69" i="12" s="1"/>
  <c r="AB17" i="42"/>
  <c r="O21" i="12" s="1"/>
  <c r="AB45" i="42"/>
  <c r="O61" i="12" s="1"/>
  <c r="O15" i="43"/>
  <c r="AC18" i="42"/>
  <c r="P22" i="12" s="1"/>
  <c r="Q22" i="12" s="1"/>
  <c r="AB5" i="42"/>
  <c r="O9" i="12" s="1"/>
  <c r="O26" i="43"/>
  <c r="AC37" i="42"/>
  <c r="P43" i="12" s="1"/>
  <c r="AB31" i="42"/>
  <c r="O37" i="12" s="1"/>
  <c r="AC64" i="42"/>
  <c r="P82" i="12" s="1"/>
  <c r="O43" i="43"/>
  <c r="AC17" i="42"/>
  <c r="P21" i="12" s="1"/>
  <c r="O14" i="43"/>
  <c r="AC12" i="42"/>
  <c r="P16" i="12" s="1"/>
  <c r="O11" i="43"/>
  <c r="B28" i="42"/>
  <c r="AB27" i="42"/>
  <c r="O33" i="12" s="1"/>
  <c r="O40" i="43"/>
  <c r="AC59" i="42"/>
  <c r="P77" i="12" s="1"/>
  <c r="O7" i="43"/>
  <c r="AC6" i="42"/>
  <c r="P10" i="12" s="1"/>
  <c r="AB60" i="42"/>
  <c r="O78" i="12" s="1"/>
  <c r="AC4" i="42"/>
  <c r="P8" i="12" s="1"/>
  <c r="Q8" i="12" s="1"/>
  <c r="O5" i="43"/>
  <c r="O38" i="43"/>
  <c r="AC55" i="42"/>
  <c r="P72" i="12" s="1"/>
  <c r="O22" i="43"/>
  <c r="AC31" i="42"/>
  <c r="P37" i="12" s="1"/>
  <c r="Q37" i="12" s="1"/>
  <c r="AC22" i="42"/>
  <c r="P28" i="12" s="1"/>
  <c r="O17" i="43"/>
  <c r="AB16" i="42"/>
  <c r="O20" i="12" s="1"/>
  <c r="O32" i="43"/>
  <c r="AC47" i="42"/>
  <c r="P63" i="12" s="1"/>
  <c r="AB9" i="42"/>
  <c r="O13" i="12" s="1"/>
  <c r="N32" i="43"/>
  <c r="AB37" i="42"/>
  <c r="O43" i="12" s="1"/>
  <c r="AB63" i="42"/>
  <c r="O81" i="12" s="1"/>
  <c r="O16" i="43"/>
  <c r="AC19" i="42"/>
  <c r="P23" i="12" s="1"/>
  <c r="Q23" i="12" s="1"/>
  <c r="AB19" i="42"/>
  <c r="O23" i="12" s="1"/>
  <c r="O39" i="43"/>
  <c r="AC58" i="42"/>
  <c r="P76" i="12" s="1"/>
  <c r="AC9" i="42"/>
  <c r="P13" i="12" s="1"/>
  <c r="Q13" i="12" s="1"/>
  <c r="O10" i="43"/>
  <c r="AB46" i="42"/>
  <c r="O62" i="12" s="1"/>
  <c r="N27" i="43"/>
  <c r="B28" i="43"/>
  <c r="AB4" i="42"/>
  <c r="O8" i="12" s="1"/>
  <c r="AB48" i="42"/>
  <c r="O64" i="12" s="1"/>
  <c r="AB59" i="42"/>
  <c r="O77" i="12" s="1"/>
  <c r="O8" i="43"/>
  <c r="AC7" i="42"/>
  <c r="P11" i="12" s="1"/>
  <c r="O13" i="43"/>
  <c r="AC16" i="42"/>
  <c r="P20" i="12" s="1"/>
  <c r="Q20" i="12" s="1"/>
  <c r="AB8" i="42"/>
  <c r="O12" i="12" s="1"/>
  <c r="AC40" i="42"/>
  <c r="P46" i="12" s="1"/>
  <c r="O27" i="43"/>
  <c r="O6" i="43"/>
  <c r="AC5" i="42"/>
  <c r="P9" i="12" s="1"/>
  <c r="Q9" i="12" s="1"/>
  <c r="R54" i="42"/>
  <c r="AB3" i="42"/>
  <c r="O7" i="12" s="1"/>
  <c r="AC53" i="42"/>
  <c r="P70" i="12" s="1"/>
  <c r="O36" i="43"/>
  <c r="AB41" i="42"/>
  <c r="O47" i="12" s="1"/>
  <c r="AB30" i="42"/>
  <c r="O36" i="12" s="1"/>
  <c r="AC51" i="42"/>
  <c r="P68" i="12" s="1"/>
  <c r="Q68" i="12" s="1"/>
  <c r="O34" i="43"/>
  <c r="AB55" i="42"/>
  <c r="O72" i="12" s="1"/>
  <c r="AB6" i="42"/>
  <c r="O10" i="12" s="1"/>
  <c r="AC8" i="42"/>
  <c r="P12" i="12" s="1"/>
  <c r="Q12" i="12" s="1"/>
  <c r="O9" i="43"/>
  <c r="AC52" i="42"/>
  <c r="P69" i="12" s="1"/>
  <c r="O35" i="43"/>
  <c r="O23" i="43"/>
  <c r="AC32" i="42"/>
  <c r="P38" i="12" s="1"/>
  <c r="N25" i="43"/>
  <c r="R83" i="38"/>
  <c r="AB48" i="38"/>
  <c r="L64" i="12" s="1"/>
  <c r="L65" i="12" s="1"/>
  <c r="AC36" i="38"/>
  <c r="M42" i="12" s="1"/>
  <c r="S75" i="38"/>
  <c r="O25" i="39" s="1"/>
  <c r="S84" i="38"/>
  <c r="O34" i="39" s="1"/>
  <c r="AC51" i="38"/>
  <c r="M68" i="12" s="1"/>
  <c r="N21" i="39"/>
  <c r="R92" i="38"/>
  <c r="AB63" i="38"/>
  <c r="L81" i="12" s="1"/>
  <c r="N25" i="39"/>
  <c r="N34" i="39"/>
  <c r="R90" i="38"/>
  <c r="AB59" i="38"/>
  <c r="L77" i="12" s="1"/>
  <c r="S83" i="38"/>
  <c r="O33" i="39" s="1"/>
  <c r="AC48" i="38"/>
  <c r="M64" i="12" s="1"/>
  <c r="AC64" i="38"/>
  <c r="M82" i="12" s="1"/>
  <c r="S93" i="38"/>
  <c r="O43" i="39" s="1"/>
  <c r="S92" i="38"/>
  <c r="O42" i="39" s="1"/>
  <c r="AC63" i="38"/>
  <c r="M81" i="12" s="1"/>
  <c r="S90" i="38"/>
  <c r="O40" i="39" s="1"/>
  <c r="AC59" i="38"/>
  <c r="M77" i="12" s="1"/>
  <c r="R88" i="38"/>
  <c r="AB55" i="38"/>
  <c r="L72" i="12" s="1"/>
  <c r="R89" i="38"/>
  <c r="AB58" i="38"/>
  <c r="L76" i="12" s="1"/>
  <c r="B28" i="39"/>
  <c r="N5" i="39"/>
  <c r="N20" i="39"/>
  <c r="N27" i="39"/>
  <c r="AB42" i="38"/>
  <c r="L48" i="12" s="1"/>
  <c r="R79" i="38"/>
  <c r="S88" i="38"/>
  <c r="O38" i="39" s="1"/>
  <c r="AC55" i="38"/>
  <c r="M72" i="12" s="1"/>
  <c r="AC31" i="38"/>
  <c r="M37" i="12" s="1"/>
  <c r="N37" i="12" s="1"/>
  <c r="S72" i="38"/>
  <c r="O22" i="39" s="1"/>
  <c r="R86" i="38"/>
  <c r="AB53" i="38"/>
  <c r="L70" i="12" s="1"/>
  <c r="R91" i="38"/>
  <c r="AB60" i="38"/>
  <c r="L78" i="12" s="1"/>
  <c r="R78" i="38"/>
  <c r="AB41" i="38"/>
  <c r="L47" i="12" s="1"/>
  <c r="S86" i="38"/>
  <c r="O36" i="39" s="1"/>
  <c r="AC53" i="38"/>
  <c r="M70" i="12" s="1"/>
  <c r="B28" i="38"/>
  <c r="S71" i="38"/>
  <c r="O21" i="39" s="1"/>
  <c r="AC30" i="38"/>
  <c r="M36" i="12" s="1"/>
  <c r="N10" i="39"/>
  <c r="N4" i="39"/>
  <c r="N9" i="39"/>
  <c r="R87" i="38"/>
  <c r="AB54" i="38"/>
  <c r="L71" i="12" s="1"/>
  <c r="R74" i="38"/>
  <c r="AB33" i="38"/>
  <c r="L39" i="12" s="1"/>
  <c r="AC45" i="38"/>
  <c r="M61" i="12" s="1"/>
  <c r="S80" i="38"/>
  <c r="O30" i="39" s="1"/>
  <c r="S89" i="38"/>
  <c r="O39" i="39" s="1"/>
  <c r="AC58" i="38"/>
  <c r="M76" i="12" s="1"/>
  <c r="N7" i="39"/>
  <c r="N19" i="39"/>
  <c r="N11" i="39"/>
  <c r="R68" i="34"/>
  <c r="AB23" i="34"/>
  <c r="I29" i="12" s="1"/>
  <c r="S58" i="34"/>
  <c r="O8" i="35" s="1"/>
  <c r="AC7" i="34"/>
  <c r="S75" i="34"/>
  <c r="O25" i="35" s="1"/>
  <c r="AC36" i="34"/>
  <c r="J42" i="12" s="1"/>
  <c r="K42" i="12" s="1"/>
  <c r="S68" i="34"/>
  <c r="O18" i="35" s="1"/>
  <c r="AC23" i="34"/>
  <c r="J29" i="12" s="1"/>
  <c r="R90" i="34"/>
  <c r="AB59" i="34"/>
  <c r="AC27" i="34"/>
  <c r="J33" i="12" s="1"/>
  <c r="S70" i="34"/>
  <c r="O20" i="35" s="1"/>
  <c r="R89" i="34"/>
  <c r="AB58" i="34"/>
  <c r="AB17" i="34"/>
  <c r="R64" i="34"/>
  <c r="R93" i="34"/>
  <c r="AB64" i="34"/>
  <c r="S83" i="34"/>
  <c r="O33" i="35" s="1"/>
  <c r="AC48" i="34"/>
  <c r="S55" i="34"/>
  <c r="O5" i="35" s="1"/>
  <c r="AC4" i="34"/>
  <c r="AB41" i="34"/>
  <c r="I47" i="12" s="1"/>
  <c r="R78" i="34"/>
  <c r="AC46" i="34"/>
  <c r="S81" i="34"/>
  <c r="O31" i="35" s="1"/>
  <c r="R92" i="34"/>
  <c r="AB63" i="34"/>
  <c r="N5" i="35"/>
  <c r="AB52" i="34"/>
  <c r="I69" i="12" s="1"/>
  <c r="R85" i="34"/>
  <c r="S61" i="34"/>
  <c r="O11" i="35" s="1"/>
  <c r="AC12" i="34"/>
  <c r="R77" i="34"/>
  <c r="AB40" i="34"/>
  <c r="I46" i="12" s="1"/>
  <c r="B28" i="35"/>
  <c r="R79" i="34"/>
  <c r="AB42" i="34"/>
  <c r="AC31" i="34"/>
  <c r="J37" i="12" s="1"/>
  <c r="K37" i="12" s="1"/>
  <c r="S72" i="34"/>
  <c r="O22" i="35" s="1"/>
  <c r="AC19" i="34"/>
  <c r="S66" i="34"/>
  <c r="O16" i="35" s="1"/>
  <c r="R61" i="34"/>
  <c r="AB12" i="34"/>
  <c r="AC59" i="34"/>
  <c r="S90" i="34"/>
  <c r="O40" i="35" s="1"/>
  <c r="AC47" i="34"/>
  <c r="S82" i="34"/>
  <c r="O32" i="35" s="1"/>
  <c r="R60" i="34"/>
  <c r="AB9" i="34"/>
  <c r="R91" i="34"/>
  <c r="AB60" i="34"/>
  <c r="AB26" i="34"/>
  <c r="I32" i="12" s="1"/>
  <c r="R69" i="34"/>
  <c r="AB48" i="34"/>
  <c r="R83" i="34"/>
  <c r="S76" i="34"/>
  <c r="O26" i="35" s="1"/>
  <c r="AC37" i="34"/>
  <c r="J43" i="12" s="1"/>
  <c r="R56" i="34"/>
  <c r="AB5" i="34"/>
  <c r="N25" i="35"/>
  <c r="S88" i="34"/>
  <c r="O38" i="35" s="1"/>
  <c r="AC55" i="34"/>
  <c r="R81" i="34"/>
  <c r="AB46" i="34"/>
  <c r="R65" i="34"/>
  <c r="AB18" i="34"/>
  <c r="S60" i="34"/>
  <c r="O10" i="35" s="1"/>
  <c r="AC9" i="34"/>
  <c r="AB45" i="34"/>
  <c r="R80" i="34"/>
  <c r="S57" i="34"/>
  <c r="O7" i="35" s="1"/>
  <c r="AC6" i="34"/>
  <c r="N21" i="35"/>
  <c r="S86" i="34"/>
  <c r="O36" i="35" s="1"/>
  <c r="AC53" i="34"/>
  <c r="AC58" i="34"/>
  <c r="S89" i="34"/>
  <c r="O39" i="35" s="1"/>
  <c r="R87" i="34"/>
  <c r="AB54" i="34"/>
  <c r="R70" i="34"/>
  <c r="AB27" i="34"/>
  <c r="I33" i="12" s="1"/>
  <c r="AB16" i="34"/>
  <c r="R63" i="34"/>
  <c r="R84" i="34"/>
  <c r="AB51" i="34"/>
  <c r="I68" i="12" s="1"/>
  <c r="R62" i="34"/>
  <c r="AB15" i="34"/>
  <c r="S77" i="34"/>
  <c r="O27" i="35" s="1"/>
  <c r="AC40" i="34"/>
  <c r="J46" i="12" s="1"/>
  <c r="S84" i="34"/>
  <c r="O34" i="35" s="1"/>
  <c r="AC51" i="34"/>
  <c r="J68" i="12" s="1"/>
  <c r="S85" i="34"/>
  <c r="O35" i="35" s="1"/>
  <c r="AC52" i="34"/>
  <c r="J69" i="12" s="1"/>
  <c r="S73" i="34"/>
  <c r="O23" i="35" s="1"/>
  <c r="AC32" i="34"/>
  <c r="R82" i="34"/>
  <c r="AB47" i="34"/>
  <c r="S71" i="34"/>
  <c r="O21" i="35" s="1"/>
  <c r="AC30" i="34"/>
  <c r="J36" i="12" s="1"/>
  <c r="S64" i="34"/>
  <c r="O14" i="35" s="1"/>
  <c r="AC17" i="34"/>
  <c r="R86" i="34"/>
  <c r="AB53" i="34"/>
  <c r="S80" i="34"/>
  <c r="O30" i="35" s="1"/>
  <c r="AC45" i="34"/>
  <c r="S69" i="34"/>
  <c r="O19" i="35" s="1"/>
  <c r="AC26" i="34"/>
  <c r="J32" i="12" s="1"/>
  <c r="R76" i="34"/>
  <c r="AB37" i="34"/>
  <c r="I43" i="12" s="1"/>
  <c r="I44" i="12" s="1"/>
  <c r="R74" i="34"/>
  <c r="AB33" i="34"/>
  <c r="AB22" i="34"/>
  <c r="I28" i="12" s="1"/>
  <c r="R67" i="34"/>
  <c r="R88" i="34"/>
  <c r="AB55" i="34"/>
  <c r="B28" i="34"/>
  <c r="AC63" i="34"/>
  <c r="S92" i="34"/>
  <c r="O42" i="35" s="1"/>
  <c r="N9" i="35"/>
  <c r="N7" i="35"/>
  <c r="L26" i="12" l="1"/>
  <c r="M17" i="12"/>
  <c r="M34" i="12"/>
  <c r="L83" i="12"/>
  <c r="L34" i="12"/>
  <c r="P67" i="42"/>
  <c r="M55" i="12"/>
  <c r="O55" i="12"/>
  <c r="L40" i="12"/>
  <c r="O83" i="12"/>
  <c r="P71" i="38"/>
  <c r="O44" i="12"/>
  <c r="P60" i="42"/>
  <c r="P63" i="42"/>
  <c r="P92" i="42"/>
  <c r="P83" i="42"/>
  <c r="P68" i="42"/>
  <c r="P72" i="42"/>
  <c r="P61" i="42"/>
  <c r="P78" i="42"/>
  <c r="P64" i="42"/>
  <c r="P80" i="42"/>
  <c r="P84" i="42"/>
  <c r="P57" i="42"/>
  <c r="P89" i="42"/>
  <c r="P59" i="42"/>
  <c r="O34" i="12"/>
  <c r="P62" i="42"/>
  <c r="P88" i="42"/>
  <c r="P93" i="42"/>
  <c r="P66" i="42"/>
  <c r="P63" i="38"/>
  <c r="P91" i="42"/>
  <c r="P55" i="42"/>
  <c r="P71" i="42"/>
  <c r="P79" i="42"/>
  <c r="P76" i="42"/>
  <c r="P74" i="42"/>
  <c r="P58" i="42"/>
  <c r="P85" i="42"/>
  <c r="P87" i="42"/>
  <c r="P69" i="42"/>
  <c r="P86" i="42"/>
  <c r="P77" i="42"/>
  <c r="P90" i="42"/>
  <c r="P56" i="42"/>
  <c r="P81" i="42"/>
  <c r="P90" i="38"/>
  <c r="P82" i="42"/>
  <c r="P70" i="42"/>
  <c r="P73" i="42"/>
  <c r="P75" i="42"/>
  <c r="P65" i="42"/>
  <c r="P79" i="38"/>
  <c r="P89" i="38"/>
  <c r="P80" i="38"/>
  <c r="P82" i="38"/>
  <c r="P60" i="38"/>
  <c r="P75" i="38"/>
  <c r="P85" i="38"/>
  <c r="P81" i="38"/>
  <c r="P77" i="38"/>
  <c r="P88" i="38"/>
  <c r="P65" i="38"/>
  <c r="P93" i="38"/>
  <c r="P78" i="38"/>
  <c r="P83" i="38"/>
  <c r="P70" i="38"/>
  <c r="P76" i="38"/>
  <c r="P61" i="38"/>
  <c r="P73" i="38"/>
  <c r="P72" i="38"/>
  <c r="P56" i="38"/>
  <c r="P91" i="38"/>
  <c r="P84" i="38"/>
  <c r="P74" i="38"/>
  <c r="N8" i="39"/>
  <c r="P58" i="38"/>
  <c r="P64" i="38"/>
  <c r="P62" i="38"/>
  <c r="P55" i="38"/>
  <c r="P67" i="38"/>
  <c r="P69" i="38"/>
  <c r="P87" i="38"/>
  <c r="P86" i="38"/>
  <c r="P92" i="38"/>
  <c r="P59" i="38"/>
  <c r="P66" i="38"/>
  <c r="P68" i="38"/>
  <c r="P57" i="38"/>
  <c r="L55" i="12"/>
  <c r="O30" i="12"/>
  <c r="I30" i="12"/>
  <c r="O40" i="12"/>
  <c r="L29" i="39"/>
  <c r="P73" i="12"/>
  <c r="L14" i="12"/>
  <c r="M79" i="12"/>
  <c r="L79" i="12"/>
  <c r="P30" i="12"/>
  <c r="O79" i="12"/>
  <c r="P65" i="12"/>
  <c r="M10" i="44" s="1"/>
  <c r="F30" i="44" s="1"/>
  <c r="M44" i="12"/>
  <c r="O65" i="12"/>
  <c r="P17" i="12"/>
  <c r="P55" i="12"/>
  <c r="P40" i="12"/>
  <c r="M40" i="12"/>
  <c r="P26" i="12"/>
  <c r="O26" i="12"/>
  <c r="M26" i="12"/>
  <c r="M14" i="12"/>
  <c r="M65" i="12"/>
  <c r="P83" i="12"/>
  <c r="P34" i="12"/>
  <c r="P44" i="12"/>
  <c r="L32" i="39"/>
  <c r="M83" i="12"/>
  <c r="P79" i="12"/>
  <c r="M30" i="12"/>
  <c r="L73" i="12"/>
  <c r="M73" i="12"/>
  <c r="O14" i="12"/>
  <c r="P14" i="12"/>
  <c r="O73" i="12"/>
  <c r="J39" i="12"/>
  <c r="J55" i="12"/>
  <c r="J20" i="12"/>
  <c r="J34" i="12"/>
  <c r="I20" i="12"/>
  <c r="J13" i="12"/>
  <c r="K13" i="12" s="1"/>
  <c r="I48" i="12"/>
  <c r="I55" i="12" s="1"/>
  <c r="J64" i="12"/>
  <c r="I61" i="12"/>
  <c r="I64" i="12"/>
  <c r="J63" i="12"/>
  <c r="I72" i="12"/>
  <c r="P59" i="34"/>
  <c r="I82" i="12"/>
  <c r="J70" i="12"/>
  <c r="J72" i="12"/>
  <c r="I34" i="12"/>
  <c r="J77" i="12"/>
  <c r="J62" i="12"/>
  <c r="J19" i="12"/>
  <c r="J81" i="12"/>
  <c r="I77" i="12"/>
  <c r="J76" i="12"/>
  <c r="J61" i="12"/>
  <c r="I63" i="12"/>
  <c r="I9" i="12"/>
  <c r="I78" i="12"/>
  <c r="I16" i="12"/>
  <c r="I17" i="12" s="1"/>
  <c r="J44" i="12"/>
  <c r="J30" i="12"/>
  <c r="I19" i="12"/>
  <c r="I22" i="12"/>
  <c r="I21" i="12"/>
  <c r="J11" i="12"/>
  <c r="K11" i="12" s="1"/>
  <c r="J21" i="12"/>
  <c r="I81" i="12"/>
  <c r="I39" i="12"/>
  <c r="I40" i="12" s="1"/>
  <c r="I70" i="12"/>
  <c r="J38" i="12"/>
  <c r="J10" i="12"/>
  <c r="K10" i="12" s="1"/>
  <c r="I13" i="12"/>
  <c r="J8" i="12"/>
  <c r="I76" i="12"/>
  <c r="I71" i="12"/>
  <c r="I62" i="12"/>
  <c r="J23" i="12"/>
  <c r="K23" i="12" s="1"/>
  <c r="J16" i="12"/>
  <c r="J12" i="12"/>
  <c r="K12" i="12" s="1"/>
  <c r="L17" i="35"/>
  <c r="L28" i="35"/>
  <c r="L33" i="35"/>
  <c r="L6" i="39"/>
  <c r="L21" i="43"/>
  <c r="L37" i="43"/>
  <c r="L35" i="43"/>
  <c r="L39" i="39"/>
  <c r="N4" i="43"/>
  <c r="P54" i="42"/>
  <c r="N9" i="43"/>
  <c r="N5" i="43"/>
  <c r="L30" i="43"/>
  <c r="L23" i="43"/>
  <c r="N21" i="43"/>
  <c r="L13" i="43"/>
  <c r="N31" i="43"/>
  <c r="N26" i="43"/>
  <c r="N10" i="43"/>
  <c r="N12" i="43"/>
  <c r="N6" i="43"/>
  <c r="L8" i="43"/>
  <c r="N16" i="43"/>
  <c r="L32" i="43"/>
  <c r="L11" i="43"/>
  <c r="L20" i="43"/>
  <c r="L6" i="43"/>
  <c r="L29" i="43"/>
  <c r="L15" i="43"/>
  <c r="N35" i="43"/>
  <c r="L41" i="43"/>
  <c r="L42" i="43"/>
  <c r="N15" i="43"/>
  <c r="L10" i="43"/>
  <c r="N41" i="43"/>
  <c r="L18" i="43"/>
  <c r="N38" i="43"/>
  <c r="N28" i="43"/>
  <c r="L24" i="43"/>
  <c r="N40" i="43"/>
  <c r="L39" i="43"/>
  <c r="L16" i="43"/>
  <c r="N13" i="43"/>
  <c r="L22" i="43"/>
  <c r="L7" i="43"/>
  <c r="L14" i="43"/>
  <c r="N17" i="43"/>
  <c r="L17" i="43"/>
  <c r="N14" i="43"/>
  <c r="L34" i="43"/>
  <c r="N42" i="43"/>
  <c r="N22" i="43"/>
  <c r="N30" i="43"/>
  <c r="N18" i="43"/>
  <c r="L12" i="43"/>
  <c r="L19" i="43"/>
  <c r="N8" i="43"/>
  <c r="L25" i="43"/>
  <c r="L4" i="43"/>
  <c r="L36" i="43"/>
  <c r="N33" i="43"/>
  <c r="L28" i="43"/>
  <c r="L38" i="43"/>
  <c r="L40" i="43"/>
  <c r="L43" i="43"/>
  <c r="N24" i="43"/>
  <c r="N7" i="43"/>
  <c r="L9" i="43"/>
  <c r="L27" i="43"/>
  <c r="L5" i="43"/>
  <c r="N20" i="43"/>
  <c r="L26" i="43"/>
  <c r="L33" i="43"/>
  <c r="N39" i="43"/>
  <c r="N34" i="43"/>
  <c r="L31" i="43"/>
  <c r="N36" i="43"/>
  <c r="N37" i="43"/>
  <c r="N41" i="39"/>
  <c r="L27" i="39"/>
  <c r="L26" i="39"/>
  <c r="N29" i="39"/>
  <c r="L42" i="39"/>
  <c r="L33" i="39"/>
  <c r="L7" i="39"/>
  <c r="L25" i="39"/>
  <c r="L40" i="39"/>
  <c r="L12" i="39"/>
  <c r="N36" i="39"/>
  <c r="L5" i="39"/>
  <c r="L16" i="39"/>
  <c r="L30" i="39"/>
  <c r="L41" i="39"/>
  <c r="L22" i="39"/>
  <c r="L4" i="39"/>
  <c r="N42" i="39"/>
  <c r="L18" i="39"/>
  <c r="L38" i="39"/>
  <c r="L31" i="39"/>
  <c r="L15" i="39"/>
  <c r="L23" i="39"/>
  <c r="L36" i="39"/>
  <c r="N39" i="39"/>
  <c r="L20" i="39"/>
  <c r="L11" i="39"/>
  <c r="N33" i="39"/>
  <c r="N24" i="39"/>
  <c r="P54" i="38"/>
  <c r="L21" i="39"/>
  <c r="L9" i="39"/>
  <c r="L13" i="39"/>
  <c r="L8" i="39"/>
  <c r="L10" i="39"/>
  <c r="L28" i="39"/>
  <c r="L14" i="39"/>
  <c r="N28" i="39"/>
  <c r="N38" i="39"/>
  <c r="N40" i="39"/>
  <c r="L37" i="39"/>
  <c r="L35" i="39"/>
  <c r="L43" i="39"/>
  <c r="L17" i="39"/>
  <c r="N37" i="39"/>
  <c r="L19" i="39"/>
  <c r="L34" i="39"/>
  <c r="L24" i="39"/>
  <c r="L37" i="35"/>
  <c r="P90" i="34"/>
  <c r="N40" i="35"/>
  <c r="P56" i="34"/>
  <c r="N6" i="35"/>
  <c r="P54" i="34"/>
  <c r="P73" i="34"/>
  <c r="P58" i="34"/>
  <c r="N41" i="35"/>
  <c r="P91" i="34"/>
  <c r="P61" i="34"/>
  <c r="N11" i="35"/>
  <c r="P76" i="34"/>
  <c r="N26" i="35"/>
  <c r="L27" i="35"/>
  <c r="N12" i="35"/>
  <c r="P62" i="34"/>
  <c r="L36" i="35"/>
  <c r="N31" i="35"/>
  <c r="P81" i="34"/>
  <c r="L16" i="35"/>
  <c r="N27" i="35"/>
  <c r="P77" i="34"/>
  <c r="P78" i="34"/>
  <c r="N28" i="35"/>
  <c r="N43" i="35"/>
  <c r="P93" i="34"/>
  <c r="L18" i="35"/>
  <c r="L39" i="35"/>
  <c r="N36" i="35"/>
  <c r="P86" i="34"/>
  <c r="L24" i="35"/>
  <c r="L14" i="35"/>
  <c r="L35" i="35"/>
  <c r="L29" i="35"/>
  <c r="P71" i="34"/>
  <c r="L10" i="35"/>
  <c r="L26" i="35"/>
  <c r="P60" i="34"/>
  <c r="N10" i="35"/>
  <c r="N14" i="35"/>
  <c r="P64" i="34"/>
  <c r="P84" i="34"/>
  <c r="N34" i="35"/>
  <c r="N33" i="35"/>
  <c r="P83" i="34"/>
  <c r="L32" i="35"/>
  <c r="L22" i="35"/>
  <c r="L11" i="35"/>
  <c r="P55" i="34"/>
  <c r="L25" i="35"/>
  <c r="L7" i="35"/>
  <c r="N29" i="35"/>
  <c r="P79" i="34"/>
  <c r="P92" i="34"/>
  <c r="N42" i="35"/>
  <c r="P74" i="34"/>
  <c r="N24" i="35"/>
  <c r="P70" i="34"/>
  <c r="N20" i="35"/>
  <c r="L31" i="35"/>
  <c r="N18" i="35"/>
  <c r="P68" i="34"/>
  <c r="L23" i="35"/>
  <c r="L19" i="35"/>
  <c r="L21" i="35"/>
  <c r="N13" i="35"/>
  <c r="P63" i="34"/>
  <c r="P66" i="34"/>
  <c r="P72" i="34"/>
  <c r="N35" i="35"/>
  <c r="P85" i="34"/>
  <c r="L5" i="35"/>
  <c r="L13" i="35"/>
  <c r="L41" i="35"/>
  <c r="L20" i="35"/>
  <c r="L30" i="35"/>
  <c r="P82" i="34"/>
  <c r="N32" i="35"/>
  <c r="L12" i="35"/>
  <c r="L6" i="35"/>
  <c r="L42" i="35"/>
  <c r="L15" i="35"/>
  <c r="P80" i="34"/>
  <c r="N30" i="35"/>
  <c r="N15" i="35"/>
  <c r="P65" i="34"/>
  <c r="P57" i="34"/>
  <c r="P88" i="34"/>
  <c r="N38" i="35"/>
  <c r="L4" i="35"/>
  <c r="N17" i="35"/>
  <c r="P67" i="34"/>
  <c r="L34" i="35"/>
  <c r="N37" i="35"/>
  <c r="P87" i="34"/>
  <c r="L43" i="35"/>
  <c r="L38" i="35"/>
  <c r="P75" i="34"/>
  <c r="N19" i="35"/>
  <c r="P69" i="34"/>
  <c r="L40" i="35"/>
  <c r="N39" i="35"/>
  <c r="P89" i="34"/>
  <c r="L8" i="35"/>
  <c r="L9" i="35"/>
  <c r="U46" i="8"/>
  <c r="V46" i="8"/>
  <c r="U47" i="8"/>
  <c r="V47" i="8"/>
  <c r="U48" i="8"/>
  <c r="V48" i="8"/>
  <c r="U49" i="8"/>
  <c r="V49" i="8"/>
  <c r="U50" i="8"/>
  <c r="V50" i="8"/>
  <c r="V45" i="8"/>
  <c r="U45" i="8"/>
  <c r="C72" i="42" l="1"/>
  <c r="E74" i="42"/>
  <c r="D77" i="42"/>
  <c r="C80" i="42"/>
  <c r="E82" i="42"/>
  <c r="D85" i="42"/>
  <c r="C88" i="42"/>
  <c r="E90" i="42"/>
  <c r="D93" i="42"/>
  <c r="C96" i="42"/>
  <c r="E98" i="42"/>
  <c r="D101" i="42"/>
  <c r="C104" i="42"/>
  <c r="E106" i="42"/>
  <c r="D109" i="42"/>
  <c r="D72" i="42"/>
  <c r="C75" i="42"/>
  <c r="E77" i="42"/>
  <c r="D80" i="42"/>
  <c r="C83" i="42"/>
  <c r="E85" i="42"/>
  <c r="D88" i="42"/>
  <c r="C91" i="42"/>
  <c r="E93" i="42"/>
  <c r="D96" i="42"/>
  <c r="C99" i="42"/>
  <c r="E101" i="42"/>
  <c r="D104" i="42"/>
  <c r="C107" i="42"/>
  <c r="E109" i="42"/>
  <c r="C74" i="42"/>
  <c r="C90" i="42"/>
  <c r="E108" i="42"/>
  <c r="E72" i="42"/>
  <c r="D75" i="42"/>
  <c r="C78" i="42"/>
  <c r="E80" i="42"/>
  <c r="D83" i="42"/>
  <c r="C86" i="42"/>
  <c r="E88" i="42"/>
  <c r="D91" i="42"/>
  <c r="C94" i="42"/>
  <c r="E96" i="42"/>
  <c r="D99" i="42"/>
  <c r="C102" i="42"/>
  <c r="E104" i="42"/>
  <c r="D107" i="42"/>
  <c r="D79" i="42"/>
  <c r="C98" i="42"/>
  <c r="C73" i="42"/>
  <c r="E75" i="42"/>
  <c r="D78" i="42"/>
  <c r="C81" i="42"/>
  <c r="E83" i="42"/>
  <c r="D86" i="42"/>
  <c r="C89" i="42"/>
  <c r="E91" i="42"/>
  <c r="D94" i="42"/>
  <c r="C97" i="42"/>
  <c r="E99" i="42"/>
  <c r="D102" i="42"/>
  <c r="C105" i="42"/>
  <c r="E107" i="42"/>
  <c r="E76" i="42"/>
  <c r="E100" i="42"/>
  <c r="D73" i="42"/>
  <c r="C76" i="42"/>
  <c r="E78" i="42"/>
  <c r="D81" i="42"/>
  <c r="C84" i="42"/>
  <c r="E86" i="42"/>
  <c r="D89" i="42"/>
  <c r="C92" i="42"/>
  <c r="E94" i="42"/>
  <c r="D97" i="42"/>
  <c r="C100" i="42"/>
  <c r="E102" i="42"/>
  <c r="D105" i="42"/>
  <c r="C108" i="42"/>
  <c r="C82" i="42"/>
  <c r="E92" i="42"/>
  <c r="C106" i="42"/>
  <c r="C71" i="42"/>
  <c r="E73" i="42"/>
  <c r="D76" i="42"/>
  <c r="C79" i="42"/>
  <c r="E81" i="42"/>
  <c r="D84" i="42"/>
  <c r="C87" i="42"/>
  <c r="E89" i="42"/>
  <c r="D92" i="42"/>
  <c r="C95" i="42"/>
  <c r="E97" i="42"/>
  <c r="D100" i="42"/>
  <c r="C103" i="42"/>
  <c r="E105" i="42"/>
  <c r="D108" i="42"/>
  <c r="E84" i="42"/>
  <c r="D95" i="42"/>
  <c r="E71" i="42"/>
  <c r="D74" i="42"/>
  <c r="C77" i="42"/>
  <c r="E79" i="42"/>
  <c r="D82" i="42"/>
  <c r="C85" i="42"/>
  <c r="E87" i="42"/>
  <c r="D90" i="42"/>
  <c r="C93" i="42"/>
  <c r="E95" i="42"/>
  <c r="D98" i="42"/>
  <c r="C101" i="42"/>
  <c r="E103" i="42"/>
  <c r="D106" i="42"/>
  <c r="C109" i="42"/>
  <c r="D71" i="42"/>
  <c r="D87" i="42"/>
  <c r="D103" i="42"/>
  <c r="I79" i="12"/>
  <c r="J14" i="12"/>
  <c r="O86" i="12"/>
  <c r="L86" i="12"/>
  <c r="P86" i="12"/>
  <c r="J73" i="12"/>
  <c r="I14" i="12"/>
  <c r="I73" i="12"/>
  <c r="M86" i="12"/>
  <c r="N68" i="12" s="1"/>
  <c r="J17" i="12"/>
  <c r="J83" i="12"/>
  <c r="I83" i="12"/>
  <c r="J26" i="12"/>
  <c r="I65" i="12"/>
  <c r="I26" i="12"/>
  <c r="J65" i="12"/>
  <c r="J40" i="12"/>
  <c r="J79" i="12"/>
  <c r="E109" i="43"/>
  <c r="E108" i="43"/>
  <c r="C106" i="43"/>
  <c r="D103" i="43"/>
  <c r="E100" i="43"/>
  <c r="C98" i="43"/>
  <c r="D95" i="43"/>
  <c r="E92" i="43"/>
  <c r="C90" i="43"/>
  <c r="D87" i="43"/>
  <c r="E84" i="43"/>
  <c r="C82" i="43"/>
  <c r="D79" i="43"/>
  <c r="E76" i="43"/>
  <c r="C74" i="43"/>
  <c r="D71" i="43"/>
  <c r="D108" i="43"/>
  <c r="E105" i="43"/>
  <c r="C103" i="43"/>
  <c r="D100" i="43"/>
  <c r="E97" i="43"/>
  <c r="C95" i="43"/>
  <c r="D92" i="43"/>
  <c r="E89" i="43"/>
  <c r="C87" i="43"/>
  <c r="D84" i="43"/>
  <c r="E81" i="43"/>
  <c r="C79" i="43"/>
  <c r="D76" i="43"/>
  <c r="E73" i="43"/>
  <c r="C71" i="43"/>
  <c r="E107" i="43"/>
  <c r="C105" i="43"/>
  <c r="D102" i="43"/>
  <c r="E99" i="43"/>
  <c r="C97" i="43"/>
  <c r="D94" i="43"/>
  <c r="E91" i="43"/>
  <c r="C89" i="43"/>
  <c r="D86" i="43"/>
  <c r="E83" i="43"/>
  <c r="C81" i="43"/>
  <c r="D78" i="43"/>
  <c r="E75" i="43"/>
  <c r="C73" i="43"/>
  <c r="D70" i="43"/>
  <c r="D107" i="43"/>
  <c r="E104" i="43"/>
  <c r="C102" i="43"/>
  <c r="D99" i="43"/>
  <c r="E96" i="43"/>
  <c r="C94" i="43"/>
  <c r="D91" i="43"/>
  <c r="E88" i="43"/>
  <c r="C86" i="43"/>
  <c r="D83" i="43"/>
  <c r="E80" i="43"/>
  <c r="C78" i="43"/>
  <c r="D75" i="43"/>
  <c r="E72" i="43"/>
  <c r="C70" i="43"/>
  <c r="C107" i="43"/>
  <c r="D104" i="43"/>
  <c r="E101" i="43"/>
  <c r="C99" i="43"/>
  <c r="D96" i="43"/>
  <c r="E93" i="43"/>
  <c r="C91" i="43"/>
  <c r="D88" i="43"/>
  <c r="E85" i="43"/>
  <c r="C83" i="43"/>
  <c r="D80" i="43"/>
  <c r="E77" i="43"/>
  <c r="C75" i="43"/>
  <c r="D72" i="43"/>
  <c r="C109" i="43"/>
  <c r="D101" i="43"/>
  <c r="E94" i="43"/>
  <c r="E87" i="43"/>
  <c r="C80" i="43"/>
  <c r="D73" i="43"/>
  <c r="C108" i="43"/>
  <c r="C101" i="43"/>
  <c r="D93" i="43"/>
  <c r="E86" i="43"/>
  <c r="E79" i="43"/>
  <c r="C72" i="43"/>
  <c r="E106" i="43"/>
  <c r="C100" i="43"/>
  <c r="C93" i="43"/>
  <c r="D85" i="43"/>
  <c r="E78" i="43"/>
  <c r="E71" i="43"/>
  <c r="D106" i="43"/>
  <c r="E98" i="43"/>
  <c r="C92" i="43"/>
  <c r="C85" i="43"/>
  <c r="D77" i="43"/>
  <c r="E70" i="43"/>
  <c r="D105" i="43"/>
  <c r="D98" i="43"/>
  <c r="E90" i="43"/>
  <c r="C84" i="43"/>
  <c r="C77" i="43"/>
  <c r="C104" i="43"/>
  <c r="D97" i="43"/>
  <c r="D90" i="43"/>
  <c r="E82" i="43"/>
  <c r="C76" i="43"/>
  <c r="D109" i="43"/>
  <c r="E102" i="43"/>
  <c r="E95" i="43"/>
  <c r="C88" i="43"/>
  <c r="D81" i="43"/>
  <c r="D82" i="43"/>
  <c r="E74" i="43"/>
  <c r="D74" i="43"/>
  <c r="E103" i="43"/>
  <c r="C96" i="43"/>
  <c r="D89" i="43"/>
  <c r="E70" i="42"/>
  <c r="C70" i="42"/>
  <c r="D70" i="42"/>
  <c r="C109" i="38"/>
  <c r="D106" i="38"/>
  <c r="E103" i="38"/>
  <c r="C101" i="38"/>
  <c r="D98" i="38"/>
  <c r="E95" i="38"/>
  <c r="E91" i="38"/>
  <c r="D90" i="38"/>
  <c r="C89" i="38"/>
  <c r="E108" i="38"/>
  <c r="C106" i="38"/>
  <c r="D103" i="38"/>
  <c r="E100" i="38"/>
  <c r="C98" i="38"/>
  <c r="D95" i="38"/>
  <c r="E92" i="38"/>
  <c r="D91" i="38"/>
  <c r="C90" i="38"/>
  <c r="E84" i="38"/>
  <c r="D83" i="38"/>
  <c r="C108" i="38"/>
  <c r="D105" i="38"/>
  <c r="E102" i="38"/>
  <c r="C100" i="38"/>
  <c r="D97" i="38"/>
  <c r="E94" i="38"/>
  <c r="D93" i="38"/>
  <c r="C92" i="38"/>
  <c r="E86" i="38"/>
  <c r="D85" i="38"/>
  <c r="E107" i="38"/>
  <c r="C105" i="38"/>
  <c r="D102" i="38"/>
  <c r="E99" i="38"/>
  <c r="C97" i="38"/>
  <c r="D94" i="38"/>
  <c r="C93" i="38"/>
  <c r="E87" i="38"/>
  <c r="D108" i="38"/>
  <c r="C103" i="38"/>
  <c r="E97" i="38"/>
  <c r="E93" i="38"/>
  <c r="C91" i="38"/>
  <c r="E85" i="38"/>
  <c r="E80" i="38"/>
  <c r="D79" i="38"/>
  <c r="C78" i="38"/>
  <c r="E72" i="38"/>
  <c r="D71" i="38"/>
  <c r="C70" i="38"/>
  <c r="D107" i="38"/>
  <c r="C102" i="38"/>
  <c r="E96" i="38"/>
  <c r="E88" i="38"/>
  <c r="C85" i="38"/>
  <c r="E81" i="38"/>
  <c r="D80" i="38"/>
  <c r="C79" i="38"/>
  <c r="E73" i="38"/>
  <c r="D72" i="38"/>
  <c r="C71" i="38"/>
  <c r="C107" i="38"/>
  <c r="E101" i="38"/>
  <c r="D96" i="38"/>
  <c r="D88" i="38"/>
  <c r="E82" i="38"/>
  <c r="D81" i="38"/>
  <c r="C80" i="38"/>
  <c r="E74" i="38"/>
  <c r="D73" i="38"/>
  <c r="C72" i="38"/>
  <c r="E106" i="38"/>
  <c r="D101" i="38"/>
  <c r="C96" i="38"/>
  <c r="E90" i="38"/>
  <c r="C88" i="38"/>
  <c r="D86" i="38"/>
  <c r="D82" i="38"/>
  <c r="C81" i="38"/>
  <c r="E75" i="38"/>
  <c r="D74" i="38"/>
  <c r="C73" i="38"/>
  <c r="E105" i="38"/>
  <c r="D100" i="38"/>
  <c r="C95" i="38"/>
  <c r="D92" i="38"/>
  <c r="C86" i="38"/>
  <c r="E83" i="38"/>
  <c r="C82" i="38"/>
  <c r="E76" i="38"/>
  <c r="D75" i="38"/>
  <c r="C74" i="38"/>
  <c r="E104" i="38"/>
  <c r="D99" i="38"/>
  <c r="C94" i="38"/>
  <c r="C83" i="38"/>
  <c r="E77" i="38"/>
  <c r="D76" i="38"/>
  <c r="C75" i="38"/>
  <c r="E109" i="38"/>
  <c r="D104" i="38"/>
  <c r="C99" i="38"/>
  <c r="E89" i="38"/>
  <c r="D87" i="38"/>
  <c r="D84" i="38"/>
  <c r="E78" i="38"/>
  <c r="D77" i="38"/>
  <c r="C76" i="38"/>
  <c r="E70" i="38"/>
  <c r="D109" i="38"/>
  <c r="C104" i="38"/>
  <c r="E98" i="38"/>
  <c r="D89" i="38"/>
  <c r="C87" i="38"/>
  <c r="C84" i="38"/>
  <c r="E79" i="38"/>
  <c r="D78" i="38"/>
  <c r="C77" i="38"/>
  <c r="E71" i="38"/>
  <c r="D70" i="38"/>
  <c r="E109" i="39"/>
  <c r="D108" i="39"/>
  <c r="E105" i="39"/>
  <c r="E107" i="39"/>
  <c r="E104" i="39"/>
  <c r="C102" i="39"/>
  <c r="D99" i="39"/>
  <c r="E96" i="39"/>
  <c r="C94" i="39"/>
  <c r="D91" i="39"/>
  <c r="E88" i="39"/>
  <c r="C86" i="39"/>
  <c r="D83" i="39"/>
  <c r="E80" i="39"/>
  <c r="C78" i="39"/>
  <c r="D75" i="39"/>
  <c r="E72" i="39"/>
  <c r="C70" i="39"/>
  <c r="D107" i="39"/>
  <c r="D104" i="39"/>
  <c r="E101" i="39"/>
  <c r="C99" i="39"/>
  <c r="D96" i="39"/>
  <c r="E93" i="39"/>
  <c r="C91" i="39"/>
  <c r="D88" i="39"/>
  <c r="E85" i="39"/>
  <c r="C83" i="39"/>
  <c r="D80" i="39"/>
  <c r="E77" i="39"/>
  <c r="C75" i="39"/>
  <c r="D72" i="39"/>
  <c r="E106" i="39"/>
  <c r="E103" i="39"/>
  <c r="C101" i="39"/>
  <c r="D98" i="39"/>
  <c r="E95" i="39"/>
  <c r="C93" i="39"/>
  <c r="D90" i="39"/>
  <c r="E87" i="39"/>
  <c r="C85" i="39"/>
  <c r="D82" i="39"/>
  <c r="E79" i="39"/>
  <c r="C77" i="39"/>
  <c r="D74" i="39"/>
  <c r="E71" i="39"/>
  <c r="D109" i="39"/>
  <c r="D106" i="39"/>
  <c r="D103" i="39"/>
  <c r="E100" i="39"/>
  <c r="C98" i="39"/>
  <c r="D95" i="39"/>
  <c r="E92" i="39"/>
  <c r="C90" i="39"/>
  <c r="D87" i="39"/>
  <c r="E84" i="39"/>
  <c r="C82" i="39"/>
  <c r="D79" i="39"/>
  <c r="E76" i="39"/>
  <c r="C74" i="39"/>
  <c r="D71" i="39"/>
  <c r="C109" i="39"/>
  <c r="C106" i="39"/>
  <c r="C103" i="39"/>
  <c r="D100" i="39"/>
  <c r="E97" i="39"/>
  <c r="C95" i="39"/>
  <c r="D92" i="39"/>
  <c r="E89" i="39"/>
  <c r="C87" i="39"/>
  <c r="D84" i="39"/>
  <c r="E81" i="39"/>
  <c r="C79" i="39"/>
  <c r="D76" i="39"/>
  <c r="E73" i="39"/>
  <c r="C71" i="39"/>
  <c r="C105" i="39"/>
  <c r="D97" i="39"/>
  <c r="E90" i="39"/>
  <c r="E83" i="39"/>
  <c r="C76" i="39"/>
  <c r="C104" i="39"/>
  <c r="C97" i="39"/>
  <c r="D89" i="39"/>
  <c r="E82" i="39"/>
  <c r="E75" i="39"/>
  <c r="E102" i="39"/>
  <c r="C96" i="39"/>
  <c r="C89" i="39"/>
  <c r="D81" i="39"/>
  <c r="E74" i="39"/>
  <c r="D102" i="39"/>
  <c r="E94" i="39"/>
  <c r="C88" i="39"/>
  <c r="C81" i="39"/>
  <c r="D73" i="39"/>
  <c r="E108" i="39"/>
  <c r="D101" i="39"/>
  <c r="D94" i="39"/>
  <c r="E86" i="39"/>
  <c r="C80" i="39"/>
  <c r="C73" i="39"/>
  <c r="C108" i="39"/>
  <c r="C100" i="39"/>
  <c r="D93" i="39"/>
  <c r="D86" i="39"/>
  <c r="E78" i="39"/>
  <c r="C72" i="39"/>
  <c r="C107" i="39"/>
  <c r="E99" i="39"/>
  <c r="C92" i="39"/>
  <c r="D85" i="39"/>
  <c r="D78" i="39"/>
  <c r="E70" i="39"/>
  <c r="D105" i="39"/>
  <c r="E98" i="39"/>
  <c r="E91" i="39"/>
  <c r="C84" i="39"/>
  <c r="D77" i="39"/>
  <c r="D70" i="39"/>
  <c r="D110" i="35"/>
  <c r="E107" i="35"/>
  <c r="E109" i="35"/>
  <c r="E106" i="35"/>
  <c r="C104" i="35"/>
  <c r="D101" i="35"/>
  <c r="E98" i="35"/>
  <c r="C96" i="35"/>
  <c r="D93" i="35"/>
  <c r="E90" i="35"/>
  <c r="C88" i="35"/>
  <c r="D85" i="35"/>
  <c r="E82" i="35"/>
  <c r="C80" i="35"/>
  <c r="D77" i="35"/>
  <c r="E74" i="35"/>
  <c r="C72" i="35"/>
  <c r="D109" i="35"/>
  <c r="D106" i="35"/>
  <c r="E103" i="35"/>
  <c r="C101" i="35"/>
  <c r="D98" i="35"/>
  <c r="E95" i="35"/>
  <c r="C93" i="35"/>
  <c r="D90" i="35"/>
  <c r="E87" i="35"/>
  <c r="C85" i="35"/>
  <c r="D82" i="35"/>
  <c r="E79" i="35"/>
  <c r="C77" i="35"/>
  <c r="D74" i="35"/>
  <c r="C109" i="35"/>
  <c r="C106" i="35"/>
  <c r="D103" i="35"/>
  <c r="E100" i="35"/>
  <c r="C98" i="35"/>
  <c r="D95" i="35"/>
  <c r="E92" i="35"/>
  <c r="C90" i="35"/>
  <c r="D87" i="35"/>
  <c r="E84" i="35"/>
  <c r="C82" i="35"/>
  <c r="D79" i="35"/>
  <c r="E76" i="35"/>
  <c r="C74" i="35"/>
  <c r="E111" i="35"/>
  <c r="E108" i="35"/>
  <c r="E105" i="35"/>
  <c r="C103" i="35"/>
  <c r="D100" i="35"/>
  <c r="E97" i="35"/>
  <c r="C95" i="35"/>
  <c r="D92" i="35"/>
  <c r="E89" i="35"/>
  <c r="C87" i="35"/>
  <c r="D111" i="35"/>
  <c r="D108" i="35"/>
  <c r="D105" i="35"/>
  <c r="E102" i="35"/>
  <c r="C100" i="35"/>
  <c r="D97" i="35"/>
  <c r="E94" i="35"/>
  <c r="C92" i="35"/>
  <c r="D89" i="35"/>
  <c r="E86" i="35"/>
  <c r="C84" i="35"/>
  <c r="D81" i="35"/>
  <c r="E78" i="35"/>
  <c r="C76" i="35"/>
  <c r="D73" i="35"/>
  <c r="C111" i="35"/>
  <c r="C108" i="35"/>
  <c r="C105" i="35"/>
  <c r="D102" i="35"/>
  <c r="E99" i="35"/>
  <c r="C97" i="35"/>
  <c r="D94" i="35"/>
  <c r="E91" i="35"/>
  <c r="C89" i="35"/>
  <c r="D86" i="35"/>
  <c r="E83" i="35"/>
  <c r="C81" i="35"/>
  <c r="D78" i="35"/>
  <c r="E75" i="35"/>
  <c r="C73" i="35"/>
  <c r="C110" i="35"/>
  <c r="C107" i="35"/>
  <c r="D104" i="35"/>
  <c r="E101" i="35"/>
  <c r="E110" i="35"/>
  <c r="C94" i="35"/>
  <c r="D84" i="35"/>
  <c r="E77" i="35"/>
  <c r="E104" i="35"/>
  <c r="D91" i="35"/>
  <c r="C83" i="35"/>
  <c r="D75" i="35"/>
  <c r="D99" i="35"/>
  <c r="E88" i="35"/>
  <c r="E80" i="35"/>
  <c r="E73" i="35"/>
  <c r="D107" i="35"/>
  <c r="C86" i="35"/>
  <c r="C75" i="35"/>
  <c r="C102" i="35"/>
  <c r="E85" i="35"/>
  <c r="E72" i="35"/>
  <c r="C99" i="35"/>
  <c r="D83" i="35"/>
  <c r="D72" i="35"/>
  <c r="E96" i="35"/>
  <c r="E81" i="35"/>
  <c r="D96" i="35"/>
  <c r="D80" i="35"/>
  <c r="E93" i="35"/>
  <c r="C79" i="35"/>
  <c r="D88" i="35"/>
  <c r="D76" i="35"/>
  <c r="C91" i="35"/>
  <c r="C78" i="35"/>
  <c r="E109" i="34"/>
  <c r="C107" i="34"/>
  <c r="D104" i="34"/>
  <c r="E101" i="34"/>
  <c r="C99" i="34"/>
  <c r="D96" i="34"/>
  <c r="C95" i="34"/>
  <c r="E89" i="34"/>
  <c r="D88" i="34"/>
  <c r="C87" i="34"/>
  <c r="E81" i="34"/>
  <c r="D80" i="34"/>
  <c r="C79" i="34"/>
  <c r="E73" i="34"/>
  <c r="D72" i="34"/>
  <c r="E111" i="34"/>
  <c r="C109" i="34"/>
  <c r="D106" i="34"/>
  <c r="E103" i="34"/>
  <c r="C101" i="34"/>
  <c r="D98" i="34"/>
  <c r="E91" i="34"/>
  <c r="D90" i="34"/>
  <c r="C89" i="34"/>
  <c r="E83" i="34"/>
  <c r="D82" i="34"/>
  <c r="C81" i="34"/>
  <c r="E75" i="34"/>
  <c r="D74" i="34"/>
  <c r="C73" i="34"/>
  <c r="C111" i="34"/>
  <c r="D108" i="34"/>
  <c r="E105" i="34"/>
  <c r="C103" i="34"/>
  <c r="D100" i="34"/>
  <c r="E97" i="34"/>
  <c r="E93" i="34"/>
  <c r="D92" i="34"/>
  <c r="C91" i="34"/>
  <c r="E85" i="34"/>
  <c r="D84" i="34"/>
  <c r="C83" i="34"/>
  <c r="C110" i="34"/>
  <c r="D105" i="34"/>
  <c r="D101" i="34"/>
  <c r="C97" i="34"/>
  <c r="D89" i="34"/>
  <c r="E87" i="34"/>
  <c r="E77" i="34"/>
  <c r="E74" i="34"/>
  <c r="D109" i="34"/>
  <c r="C105" i="34"/>
  <c r="E100" i="34"/>
  <c r="E96" i="34"/>
  <c r="E94" i="34"/>
  <c r="D87" i="34"/>
  <c r="D85" i="34"/>
  <c r="E80" i="34"/>
  <c r="D77" i="34"/>
  <c r="C74" i="34"/>
  <c r="E108" i="34"/>
  <c r="E104" i="34"/>
  <c r="C100" i="34"/>
  <c r="C96" i="34"/>
  <c r="D94" i="34"/>
  <c r="E92" i="34"/>
  <c r="C85" i="34"/>
  <c r="D83" i="34"/>
  <c r="C80" i="34"/>
  <c r="C77" i="34"/>
  <c r="C108" i="34"/>
  <c r="C104" i="34"/>
  <c r="E99" i="34"/>
  <c r="C94" i="34"/>
  <c r="C92" i="34"/>
  <c r="E90" i="34"/>
  <c r="E78" i="34"/>
  <c r="D75" i="34"/>
  <c r="E107" i="34"/>
  <c r="D103" i="34"/>
  <c r="D99" i="34"/>
  <c r="C90" i="34"/>
  <c r="E88" i="34"/>
  <c r="E86" i="34"/>
  <c r="D81" i="34"/>
  <c r="D78" i="34"/>
  <c r="C75" i="34"/>
  <c r="C72" i="34"/>
  <c r="D111" i="34"/>
  <c r="D107" i="34"/>
  <c r="E102" i="34"/>
  <c r="E98" i="34"/>
  <c r="E95" i="34"/>
  <c r="C88" i="34"/>
  <c r="D86" i="34"/>
  <c r="E84" i="34"/>
  <c r="C78" i="34"/>
  <c r="E76" i="34"/>
  <c r="D110" i="34"/>
  <c r="C106" i="34"/>
  <c r="C102" i="34"/>
  <c r="D97" i="34"/>
  <c r="C93" i="34"/>
  <c r="D91" i="34"/>
  <c r="C82" i="34"/>
  <c r="D79" i="34"/>
  <c r="C76" i="34"/>
  <c r="C98" i="34"/>
  <c r="E82" i="34"/>
  <c r="E72" i="34"/>
  <c r="D95" i="34"/>
  <c r="D93" i="34"/>
  <c r="E79" i="34"/>
  <c r="D76" i="34"/>
  <c r="E110" i="34"/>
  <c r="E106" i="34"/>
  <c r="C86" i="34"/>
  <c r="D102" i="34"/>
  <c r="C84" i="34"/>
  <c r="D73" i="34"/>
  <c r="Q46" i="12" l="1"/>
  <c r="Q10" i="12"/>
  <c r="N55" i="12"/>
  <c r="N77" i="12"/>
  <c r="N42" i="12"/>
  <c r="N39" i="12"/>
  <c r="N69" i="12"/>
  <c r="Q65" i="12"/>
  <c r="Q76" i="12"/>
  <c r="N30" i="12"/>
  <c r="N73" i="12"/>
  <c r="Q86" i="12"/>
  <c r="Q71" i="12"/>
  <c r="Q33" i="12"/>
  <c r="Q36" i="12"/>
  <c r="Q64" i="12"/>
  <c r="Q81" i="12"/>
  <c r="Q69" i="12"/>
  <c r="Q48" i="12"/>
  <c r="Q19" i="12"/>
  <c r="Q42" i="12"/>
  <c r="Q16" i="12"/>
  <c r="Q32" i="12"/>
  <c r="Q62" i="12"/>
  <c r="Q21" i="12"/>
  <c r="Q47" i="12"/>
  <c r="Q39" i="12"/>
  <c r="Q61" i="12"/>
  <c r="Q11" i="12"/>
  <c r="Q43" i="12"/>
  <c r="Q70" i="12"/>
  <c r="Q7" i="12"/>
  <c r="Q72" i="12"/>
  <c r="Q63" i="12"/>
  <c r="Q77" i="12"/>
  <c r="Q82" i="12"/>
  <c r="Q78" i="12"/>
  <c r="Q38" i="12"/>
  <c r="Q28" i="12"/>
  <c r="Q29" i="12"/>
  <c r="N83" i="12"/>
  <c r="Q30" i="12"/>
  <c r="N34" i="12"/>
  <c r="N40" i="12"/>
  <c r="Q26" i="12"/>
  <c r="N17" i="12"/>
  <c r="Q44" i="12"/>
  <c r="N86" i="12"/>
  <c r="N62" i="12"/>
  <c r="N71" i="12"/>
  <c r="N78" i="12"/>
  <c r="N7" i="12"/>
  <c r="N32" i="12"/>
  <c r="N36" i="12"/>
  <c r="N16" i="12"/>
  <c r="N81" i="12"/>
  <c r="N82" i="12"/>
  <c r="N8" i="12"/>
  <c r="N21" i="12"/>
  <c r="N28" i="12"/>
  <c r="N63" i="12"/>
  <c r="N47" i="12"/>
  <c r="N76" i="12"/>
  <c r="N48" i="12"/>
  <c r="N19" i="12"/>
  <c r="N61" i="12"/>
  <c r="N33" i="12"/>
  <c r="N70" i="12"/>
  <c r="N38" i="12"/>
  <c r="N64" i="12"/>
  <c r="N43" i="12"/>
  <c r="N72" i="12"/>
  <c r="N29" i="12"/>
  <c r="Q14" i="12"/>
  <c r="N44" i="12"/>
  <c r="N79" i="12"/>
  <c r="Q40" i="12"/>
  <c r="N26" i="12"/>
  <c r="Q73" i="12"/>
  <c r="Q17" i="12"/>
  <c r="Q55" i="12"/>
  <c r="Q34" i="12"/>
  <c r="Q79" i="12"/>
  <c r="N14" i="12"/>
  <c r="N65" i="12"/>
  <c r="Q83" i="12"/>
  <c r="I86" i="12"/>
  <c r="J86" i="12"/>
  <c r="K20" i="12" l="1"/>
  <c r="K77" i="12"/>
  <c r="K39" i="12"/>
  <c r="K61" i="12"/>
  <c r="K43" i="12"/>
  <c r="K32" i="12"/>
  <c r="K86" i="12"/>
  <c r="K47" i="12"/>
  <c r="K36" i="12"/>
  <c r="K33" i="12"/>
  <c r="K69" i="12"/>
  <c r="K82" i="12"/>
  <c r="K48" i="12"/>
  <c r="K7" i="12"/>
  <c r="K71" i="12"/>
  <c r="K29" i="12"/>
  <c r="K22" i="12"/>
  <c r="K28" i="12"/>
  <c r="K78" i="12"/>
  <c r="K46" i="12"/>
  <c r="K68" i="12"/>
  <c r="K30" i="12"/>
  <c r="K76" i="12"/>
  <c r="K70" i="12"/>
  <c r="K72" i="12"/>
  <c r="K64" i="12"/>
  <c r="K21" i="12"/>
  <c r="K44" i="12"/>
  <c r="K62" i="12"/>
  <c r="K81" i="12"/>
  <c r="K19" i="12"/>
  <c r="K63" i="12"/>
  <c r="K8" i="12"/>
  <c r="K16" i="12"/>
  <c r="K34" i="12"/>
  <c r="K55" i="12"/>
  <c r="K38" i="12"/>
  <c r="K26" i="12"/>
  <c r="K14" i="12"/>
  <c r="K65" i="12"/>
  <c r="K17" i="12"/>
  <c r="K83" i="12"/>
  <c r="K40" i="12"/>
  <c r="K79" i="12"/>
  <c r="K73" i="12"/>
  <c r="B54" i="8" l="1"/>
  <c r="H54" i="8" s="1"/>
  <c r="I54" i="8" s="1"/>
  <c r="B55" i="8"/>
  <c r="H55" i="8" s="1"/>
  <c r="I55" i="8" s="1"/>
  <c r="B56" i="8"/>
  <c r="H56" i="8" s="1"/>
  <c r="I56" i="8" s="1"/>
  <c r="B57" i="8"/>
  <c r="H57" i="8" s="1"/>
  <c r="I57" i="8" s="1"/>
  <c r="B58" i="8"/>
  <c r="H58" i="8" s="1"/>
  <c r="I58" i="8" s="1"/>
  <c r="B59" i="8"/>
  <c r="H59" i="8" s="1"/>
  <c r="I59" i="8" s="1"/>
  <c r="B60" i="8"/>
  <c r="H60" i="8" s="1"/>
  <c r="I60" i="8" s="1"/>
  <c r="B61" i="8"/>
  <c r="H61" i="8" s="1"/>
  <c r="I61" i="8" s="1"/>
  <c r="B62" i="8"/>
  <c r="H62" i="8" s="1"/>
  <c r="I62" i="8" s="1"/>
  <c r="N5" i="14" l="1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" i="14"/>
  <c r="E75" i="12" l="1"/>
  <c r="E67" i="12"/>
  <c r="E49" i="12"/>
  <c r="E50" i="12"/>
  <c r="E51" i="12"/>
  <c r="E52" i="12"/>
  <c r="E53" i="12"/>
  <c r="E54" i="12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AA65" i="13"/>
  <c r="AA66" i="13"/>
  <c r="AA67" i="13"/>
  <c r="AA64" i="13"/>
  <c r="X6" i="13"/>
  <c r="R54" i="13" s="1"/>
  <c r="Y6" i="13"/>
  <c r="S54" i="13" s="1"/>
  <c r="O7" i="14" s="1"/>
  <c r="X7" i="13"/>
  <c r="R55" i="13" s="1"/>
  <c r="Y7" i="13"/>
  <c r="S55" i="13" s="1"/>
  <c r="O8" i="14" s="1"/>
  <c r="X8" i="13"/>
  <c r="R56" i="13" s="1"/>
  <c r="Y8" i="13"/>
  <c r="S56" i="13" s="1"/>
  <c r="O9" i="14" s="1"/>
  <c r="X9" i="13"/>
  <c r="R57" i="13" s="1"/>
  <c r="Y9" i="13"/>
  <c r="S57" i="13" s="1"/>
  <c r="O10" i="14" s="1"/>
  <c r="X10" i="13"/>
  <c r="R58" i="13" s="1"/>
  <c r="Y10" i="13"/>
  <c r="S58" i="13" s="1"/>
  <c r="O11" i="14" s="1"/>
  <c r="X11" i="13"/>
  <c r="R59" i="13" s="1"/>
  <c r="Y11" i="13"/>
  <c r="S59" i="13" s="1"/>
  <c r="O12" i="14" s="1"/>
  <c r="X12" i="13"/>
  <c r="R60" i="13" s="1"/>
  <c r="Y12" i="13"/>
  <c r="S60" i="13" s="1"/>
  <c r="O13" i="14" s="1"/>
  <c r="X13" i="13"/>
  <c r="R61" i="13" s="1"/>
  <c r="Y13" i="13"/>
  <c r="S61" i="13" s="1"/>
  <c r="O14" i="14" s="1"/>
  <c r="X14" i="13"/>
  <c r="R62" i="13" s="1"/>
  <c r="Y14" i="13"/>
  <c r="S62" i="13" s="1"/>
  <c r="O15" i="14" s="1"/>
  <c r="X15" i="13"/>
  <c r="R63" i="13" s="1"/>
  <c r="Y15" i="13"/>
  <c r="S63" i="13" s="1"/>
  <c r="O16" i="14" s="1"/>
  <c r="X16" i="13"/>
  <c r="R64" i="13" s="1"/>
  <c r="Y16" i="13"/>
  <c r="S64" i="13" s="1"/>
  <c r="O17" i="14" s="1"/>
  <c r="X17" i="13"/>
  <c r="R65" i="13" s="1"/>
  <c r="Y17" i="13"/>
  <c r="S65" i="13" s="1"/>
  <c r="O18" i="14" s="1"/>
  <c r="X18" i="13"/>
  <c r="R66" i="13" s="1"/>
  <c r="Y18" i="13"/>
  <c r="S66" i="13" s="1"/>
  <c r="O19" i="14" s="1"/>
  <c r="X19" i="13"/>
  <c r="R67" i="13" s="1"/>
  <c r="Y19" i="13"/>
  <c r="S67" i="13" s="1"/>
  <c r="O20" i="14" s="1"/>
  <c r="X20" i="13"/>
  <c r="R68" i="13" s="1"/>
  <c r="Y20" i="13"/>
  <c r="S68" i="13" s="1"/>
  <c r="O21" i="14" s="1"/>
  <c r="X21" i="13"/>
  <c r="R69" i="13" s="1"/>
  <c r="Y21" i="13"/>
  <c r="S69" i="13" s="1"/>
  <c r="O22" i="14" s="1"/>
  <c r="X22" i="13"/>
  <c r="R70" i="13" s="1"/>
  <c r="Y22" i="13"/>
  <c r="S70" i="13" s="1"/>
  <c r="O23" i="14" s="1"/>
  <c r="X23" i="13"/>
  <c r="R71" i="13" s="1"/>
  <c r="Y23" i="13"/>
  <c r="S71" i="13" s="1"/>
  <c r="O24" i="14" s="1"/>
  <c r="X24" i="13"/>
  <c r="R72" i="13" s="1"/>
  <c r="Y24" i="13"/>
  <c r="S72" i="13" s="1"/>
  <c r="O25" i="14" s="1"/>
  <c r="X25" i="13"/>
  <c r="R73" i="13" s="1"/>
  <c r="Y25" i="13"/>
  <c r="S73" i="13" s="1"/>
  <c r="O26" i="14" s="1"/>
  <c r="X26" i="13"/>
  <c r="R74" i="13" s="1"/>
  <c r="Y26" i="13"/>
  <c r="S74" i="13" s="1"/>
  <c r="O27" i="14" s="1"/>
  <c r="X27" i="13"/>
  <c r="R75" i="13" s="1"/>
  <c r="Y27" i="13"/>
  <c r="S75" i="13" s="1"/>
  <c r="O28" i="14" s="1"/>
  <c r="X28" i="13"/>
  <c r="AB48" i="13" s="1"/>
  <c r="Y28" i="13"/>
  <c r="AC48" i="13" s="1"/>
  <c r="X29" i="13"/>
  <c r="R77" i="13" s="1"/>
  <c r="Y29" i="13"/>
  <c r="AC49" i="13" s="1"/>
  <c r="X30" i="13"/>
  <c r="AB50" i="13" s="1"/>
  <c r="Y30" i="13"/>
  <c r="AC50" i="13" s="1"/>
  <c r="X31" i="13"/>
  <c r="R79" i="13" s="1"/>
  <c r="Y31" i="13"/>
  <c r="S79" i="13" s="1"/>
  <c r="O32" i="14" s="1"/>
  <c r="X32" i="13"/>
  <c r="R80" i="13" s="1"/>
  <c r="Y32" i="13"/>
  <c r="S80" i="13" s="1"/>
  <c r="O33" i="14" s="1"/>
  <c r="X33" i="13"/>
  <c r="R81" i="13" s="1"/>
  <c r="Y33" i="13"/>
  <c r="S81" i="13" s="1"/>
  <c r="O34" i="14" s="1"/>
  <c r="X34" i="13"/>
  <c r="AB56" i="13" s="1"/>
  <c r="Y34" i="13"/>
  <c r="AC56" i="13" s="1"/>
  <c r="X35" i="13"/>
  <c r="R83" i="13" s="1"/>
  <c r="Y35" i="13"/>
  <c r="S83" i="13" s="1"/>
  <c r="O36" i="14" s="1"/>
  <c r="X36" i="13"/>
  <c r="R84" i="13" s="1"/>
  <c r="Y36" i="13"/>
  <c r="S84" i="13" s="1"/>
  <c r="O37" i="14" s="1"/>
  <c r="X37" i="13"/>
  <c r="R85" i="13" s="1"/>
  <c r="Y37" i="13"/>
  <c r="S85" i="13" s="1"/>
  <c r="O38" i="14" s="1"/>
  <c r="X38" i="13"/>
  <c r="R86" i="13" s="1"/>
  <c r="Y38" i="13"/>
  <c r="S86" i="13" s="1"/>
  <c r="O39" i="14" s="1"/>
  <c r="X39" i="13"/>
  <c r="R87" i="13" s="1"/>
  <c r="Y39" i="13"/>
  <c r="S87" i="13" s="1"/>
  <c r="O40" i="14" s="1"/>
  <c r="X40" i="13"/>
  <c r="R88" i="13" s="1"/>
  <c r="Y40" i="13"/>
  <c r="S88" i="13" s="1"/>
  <c r="O41" i="14" s="1"/>
  <c r="X41" i="13"/>
  <c r="R89" i="13" s="1"/>
  <c r="Y41" i="13"/>
  <c r="S89" i="13" s="1"/>
  <c r="O42" i="14" s="1"/>
  <c r="X42" i="13"/>
  <c r="AB66" i="13" s="1"/>
  <c r="R77" i="12" s="1"/>
  <c r="Y42" i="13"/>
  <c r="AC66" i="13" s="1"/>
  <c r="S77" i="12" s="1"/>
  <c r="T77" i="12" s="1"/>
  <c r="X43" i="13"/>
  <c r="AB67" i="13" s="1"/>
  <c r="R78" i="12" s="1"/>
  <c r="Y43" i="13"/>
  <c r="AC67" i="13" s="1"/>
  <c r="S78" i="12" s="1"/>
  <c r="T78" i="12" s="1"/>
  <c r="X44" i="13"/>
  <c r="R92" i="13" s="1"/>
  <c r="Y44" i="13"/>
  <c r="S92" i="13" s="1"/>
  <c r="O45" i="14" s="1"/>
  <c r="X45" i="13"/>
  <c r="R93" i="13" s="1"/>
  <c r="Y45" i="13"/>
  <c r="S93" i="13" s="1"/>
  <c r="O46" i="14" s="1"/>
  <c r="Q40" i="13"/>
  <c r="Q34" i="13"/>
  <c r="AA56" i="13" s="1"/>
  <c r="Q28" i="13"/>
  <c r="Q29" i="13"/>
  <c r="Q30" i="13"/>
  <c r="E60" i="12"/>
  <c r="E59" i="12"/>
  <c r="E58" i="12"/>
  <c r="E57" i="12"/>
  <c r="E68" i="12"/>
  <c r="E64" i="12"/>
  <c r="E46" i="12"/>
  <c r="E47" i="12"/>
  <c r="E48" i="12"/>
  <c r="E61" i="12"/>
  <c r="E25" i="12"/>
  <c r="E24" i="12"/>
  <c r="U49" i="12" l="1"/>
  <c r="R49" i="12"/>
  <c r="S67" i="12"/>
  <c r="T67" i="12" s="1"/>
  <c r="V67" i="12"/>
  <c r="S51" i="12"/>
  <c r="T51" i="12" s="1"/>
  <c r="V51" i="12"/>
  <c r="U67" i="12"/>
  <c r="R67" i="12"/>
  <c r="U51" i="12"/>
  <c r="R51" i="12"/>
  <c r="S49" i="12"/>
  <c r="T49" i="12" s="1"/>
  <c r="V49" i="12"/>
  <c r="S50" i="12"/>
  <c r="T50" i="12" s="1"/>
  <c r="V50" i="12"/>
  <c r="R78" i="13"/>
  <c r="P31" i="14" s="1"/>
  <c r="R90" i="13"/>
  <c r="P43" i="14" s="1"/>
  <c r="R76" i="13"/>
  <c r="P29" i="14" s="1"/>
  <c r="P45" i="14"/>
  <c r="P33" i="14"/>
  <c r="P25" i="14"/>
  <c r="P17" i="14"/>
  <c r="P9" i="14"/>
  <c r="P40" i="14"/>
  <c r="P36" i="14"/>
  <c r="P32" i="14"/>
  <c r="P28" i="14"/>
  <c r="P24" i="14"/>
  <c r="P20" i="14"/>
  <c r="P16" i="14"/>
  <c r="P12" i="14"/>
  <c r="P8" i="14"/>
  <c r="P39" i="14"/>
  <c r="P46" i="14"/>
  <c r="P42" i="14"/>
  <c r="P38" i="14"/>
  <c r="P34" i="14"/>
  <c r="P30" i="14"/>
  <c r="P26" i="14"/>
  <c r="P22" i="14"/>
  <c r="P18" i="14"/>
  <c r="P14" i="14"/>
  <c r="P10" i="14"/>
  <c r="AC65" i="13"/>
  <c r="S76" i="12" s="1"/>
  <c r="T76" i="12" s="1"/>
  <c r="S91" i="13"/>
  <c r="O44" i="14" s="1"/>
  <c r="P27" i="14"/>
  <c r="P19" i="14"/>
  <c r="P11" i="14"/>
  <c r="AB65" i="13"/>
  <c r="R76" i="12" s="1"/>
  <c r="R91" i="13"/>
  <c r="S76" i="13"/>
  <c r="O29" i="14" s="1"/>
  <c r="P21" i="14"/>
  <c r="P13" i="14"/>
  <c r="P41" i="14"/>
  <c r="S90" i="13"/>
  <c r="O43" i="14" s="1"/>
  <c r="S78" i="13"/>
  <c r="O31" i="14" s="1"/>
  <c r="P37" i="14"/>
  <c r="P15" i="14"/>
  <c r="P7" i="14"/>
  <c r="S77" i="13"/>
  <c r="O30" i="14" s="1"/>
  <c r="P23" i="14"/>
  <c r="AC64" i="13"/>
  <c r="AB64" i="13"/>
  <c r="S82" i="13"/>
  <c r="O35" i="14" s="1"/>
  <c r="R82" i="13"/>
  <c r="AA50" i="13"/>
  <c r="AA48" i="13"/>
  <c r="AB49" i="13"/>
  <c r="AA49" i="13"/>
  <c r="U75" i="12" l="1"/>
  <c r="R75" i="12"/>
  <c r="R50" i="12"/>
  <c r="U50" i="12"/>
  <c r="V75" i="12"/>
  <c r="W75" i="12" s="1"/>
  <c r="S75" i="12"/>
  <c r="T75" i="12" s="1"/>
  <c r="P44" i="14"/>
  <c r="P35" i="14"/>
  <c r="X4" i="13"/>
  <c r="R52" i="13" s="1"/>
  <c r="Y4" i="13"/>
  <c r="S52" i="13" s="1"/>
  <c r="O5" i="14" s="1"/>
  <c r="X5" i="13"/>
  <c r="R53" i="13" s="1"/>
  <c r="Y5" i="13"/>
  <c r="S53" i="13" s="1"/>
  <c r="O6" i="14" s="1"/>
  <c r="Y3" i="13"/>
  <c r="S51" i="13" s="1"/>
  <c r="O4" i="14" s="1"/>
  <c r="X3" i="13"/>
  <c r="R51" i="13" s="1"/>
  <c r="X4" i="8"/>
  <c r="R55" i="8" s="1"/>
  <c r="Y4" i="8"/>
  <c r="S55" i="8" s="1"/>
  <c r="O5" i="3" s="1"/>
  <c r="X5" i="8"/>
  <c r="R56" i="8" s="1"/>
  <c r="Y5" i="8"/>
  <c r="S56" i="8" s="1"/>
  <c r="O6" i="3" s="1"/>
  <c r="X6" i="8"/>
  <c r="R57" i="8" s="1"/>
  <c r="Y6" i="8"/>
  <c r="S57" i="8" s="1"/>
  <c r="O7" i="3" s="1"/>
  <c r="X7" i="8"/>
  <c r="R58" i="8" s="1"/>
  <c r="Y7" i="8"/>
  <c r="S58" i="8" s="1"/>
  <c r="O8" i="3" s="1"/>
  <c r="X8" i="8"/>
  <c r="R59" i="8" s="1"/>
  <c r="Y8" i="8"/>
  <c r="S59" i="8" s="1"/>
  <c r="O9" i="3" s="1"/>
  <c r="X9" i="8"/>
  <c r="R60" i="8" s="1"/>
  <c r="Y9" i="8"/>
  <c r="S60" i="8" s="1"/>
  <c r="O10" i="3" s="1"/>
  <c r="X10" i="8"/>
  <c r="R61" i="8" s="1"/>
  <c r="Y10" i="8"/>
  <c r="S61" i="8" s="1"/>
  <c r="O11" i="3" s="1"/>
  <c r="X11" i="8"/>
  <c r="R62" i="8" s="1"/>
  <c r="Y11" i="8"/>
  <c r="S62" i="8" s="1"/>
  <c r="O12" i="3" s="1"/>
  <c r="X12" i="8"/>
  <c r="R63" i="8" s="1"/>
  <c r="Y12" i="8"/>
  <c r="S63" i="8" s="1"/>
  <c r="O13" i="3" s="1"/>
  <c r="X13" i="8"/>
  <c r="R64" i="8" s="1"/>
  <c r="Y13" i="8"/>
  <c r="S64" i="8" s="1"/>
  <c r="O14" i="3" s="1"/>
  <c r="X14" i="8"/>
  <c r="R65" i="8" s="1"/>
  <c r="Y14" i="8"/>
  <c r="S65" i="8" s="1"/>
  <c r="O15" i="3" s="1"/>
  <c r="X15" i="8"/>
  <c r="R66" i="8" s="1"/>
  <c r="Y15" i="8"/>
  <c r="S66" i="8" s="1"/>
  <c r="O16" i="3" s="1"/>
  <c r="X16" i="8"/>
  <c r="R67" i="8" s="1"/>
  <c r="Y16" i="8"/>
  <c r="S67" i="8" s="1"/>
  <c r="O17" i="3" s="1"/>
  <c r="X17" i="8"/>
  <c r="R68" i="8" s="1"/>
  <c r="Y17" i="8"/>
  <c r="S68" i="8" s="1"/>
  <c r="O18" i="3" s="1"/>
  <c r="X18" i="8"/>
  <c r="R69" i="8" s="1"/>
  <c r="Y18" i="8"/>
  <c r="S69" i="8" s="1"/>
  <c r="O19" i="3" s="1"/>
  <c r="X19" i="8"/>
  <c r="R70" i="8" s="1"/>
  <c r="Y19" i="8"/>
  <c r="S70" i="8" s="1"/>
  <c r="O20" i="3" s="1"/>
  <c r="X20" i="8"/>
  <c r="R71" i="8" s="1"/>
  <c r="Y20" i="8"/>
  <c r="S71" i="8" s="1"/>
  <c r="O21" i="3" s="1"/>
  <c r="X21" i="8"/>
  <c r="R72" i="8" s="1"/>
  <c r="Y21" i="8"/>
  <c r="S72" i="8" s="1"/>
  <c r="O22" i="3" s="1"/>
  <c r="X22" i="8"/>
  <c r="R73" i="8" s="1"/>
  <c r="Y22" i="8"/>
  <c r="S73" i="8" s="1"/>
  <c r="O23" i="3" s="1"/>
  <c r="X23" i="8"/>
  <c r="R74" i="8" s="1"/>
  <c r="Y23" i="8"/>
  <c r="S74" i="8" s="1"/>
  <c r="O24" i="3" s="1"/>
  <c r="X24" i="8"/>
  <c r="R75" i="8" s="1"/>
  <c r="Y24" i="8"/>
  <c r="S75" i="8" s="1"/>
  <c r="O25" i="3" s="1"/>
  <c r="X25" i="8"/>
  <c r="R76" i="8" s="1"/>
  <c r="Y25" i="8"/>
  <c r="S76" i="8" s="1"/>
  <c r="O26" i="3" s="1"/>
  <c r="X26" i="8"/>
  <c r="R77" i="8" s="1"/>
  <c r="Y26" i="8"/>
  <c r="S77" i="8" s="1"/>
  <c r="O27" i="3" s="1"/>
  <c r="X27" i="8"/>
  <c r="R78" i="8" s="1"/>
  <c r="Y27" i="8"/>
  <c r="S78" i="8" s="1"/>
  <c r="O28" i="3" s="1"/>
  <c r="X28" i="8"/>
  <c r="R79" i="8" s="1"/>
  <c r="Y28" i="8"/>
  <c r="S79" i="8" s="1"/>
  <c r="O29" i="3" s="1"/>
  <c r="X29" i="8"/>
  <c r="R80" i="8" s="1"/>
  <c r="Y29" i="8"/>
  <c r="S80" i="8" s="1"/>
  <c r="O30" i="3" s="1"/>
  <c r="X30" i="8"/>
  <c r="R81" i="8" s="1"/>
  <c r="Y30" i="8"/>
  <c r="S81" i="8" s="1"/>
  <c r="O31" i="3" s="1"/>
  <c r="X31" i="8"/>
  <c r="R82" i="8" s="1"/>
  <c r="Y31" i="8"/>
  <c r="S82" i="8" s="1"/>
  <c r="O32" i="3" s="1"/>
  <c r="X32" i="8"/>
  <c r="R83" i="8" s="1"/>
  <c r="Y32" i="8"/>
  <c r="S83" i="8" s="1"/>
  <c r="O33" i="3" s="1"/>
  <c r="X33" i="8"/>
  <c r="R84" i="8" s="1"/>
  <c r="Y33" i="8"/>
  <c r="S84" i="8" s="1"/>
  <c r="O34" i="3" s="1"/>
  <c r="X34" i="8"/>
  <c r="R85" i="8" s="1"/>
  <c r="Y34" i="8"/>
  <c r="S85" i="8" s="1"/>
  <c r="O35" i="3" s="1"/>
  <c r="X35" i="8"/>
  <c r="R86" i="8" s="1"/>
  <c r="Y35" i="8"/>
  <c r="S86" i="8" s="1"/>
  <c r="O36" i="3" s="1"/>
  <c r="X36" i="8"/>
  <c r="R87" i="8" s="1"/>
  <c r="Y36" i="8"/>
  <c r="S87" i="8" s="1"/>
  <c r="O37" i="3" s="1"/>
  <c r="X37" i="8"/>
  <c r="R88" i="8" s="1"/>
  <c r="Y37" i="8"/>
  <c r="S88" i="8" s="1"/>
  <c r="O38" i="3" s="1"/>
  <c r="X38" i="8"/>
  <c r="R89" i="8" s="1"/>
  <c r="Y38" i="8"/>
  <c r="S89" i="8" s="1"/>
  <c r="O39" i="3" s="1"/>
  <c r="X39" i="8"/>
  <c r="R90" i="8" s="1"/>
  <c r="Y39" i="8"/>
  <c r="S90" i="8" s="1"/>
  <c r="O40" i="3" s="1"/>
  <c r="X40" i="8"/>
  <c r="R91" i="8" s="1"/>
  <c r="Y40" i="8"/>
  <c r="S91" i="8" s="1"/>
  <c r="O41" i="3" s="1"/>
  <c r="X41" i="8"/>
  <c r="R92" i="8" s="1"/>
  <c r="Y41" i="8"/>
  <c r="S92" i="8" s="1"/>
  <c r="O42" i="3" s="1"/>
  <c r="X42" i="8"/>
  <c r="R93" i="8" s="1"/>
  <c r="Y42" i="8"/>
  <c r="S93" i="8" s="1"/>
  <c r="O43" i="3" s="1"/>
  <c r="Y3" i="8"/>
  <c r="S54" i="8" s="1"/>
  <c r="O4" i="3" s="1"/>
  <c r="X3" i="8"/>
  <c r="R54" i="8" s="1"/>
  <c r="M44" i="14" l="1"/>
  <c r="L41" i="3"/>
  <c r="P4" i="14"/>
  <c r="P51" i="13"/>
  <c r="P92" i="13"/>
  <c r="P75" i="13"/>
  <c r="P59" i="13"/>
  <c r="P93" i="13"/>
  <c r="P61" i="13"/>
  <c r="P74" i="13"/>
  <c r="P88" i="13"/>
  <c r="P62" i="13"/>
  <c r="P85" i="13"/>
  <c r="P58" i="13"/>
  <c r="P56" i="13"/>
  <c r="P87" i="13"/>
  <c r="P71" i="13"/>
  <c r="P55" i="13"/>
  <c r="P77" i="13"/>
  <c r="P84" i="13"/>
  <c r="P80" i="13"/>
  <c r="P68" i="13"/>
  <c r="P78" i="13"/>
  <c r="P67" i="13"/>
  <c r="P79" i="13"/>
  <c r="P89" i="13"/>
  <c r="P73" i="13"/>
  <c r="P57" i="13"/>
  <c r="P66" i="13"/>
  <c r="P76" i="13"/>
  <c r="P83" i="13"/>
  <c r="P69" i="13"/>
  <c r="P54" i="13"/>
  <c r="P72" i="13"/>
  <c r="P63" i="13"/>
  <c r="P81" i="13"/>
  <c r="P65" i="13"/>
  <c r="P60" i="13"/>
  <c r="P90" i="13"/>
  <c r="P70" i="13"/>
  <c r="P64" i="13"/>
  <c r="P86" i="13"/>
  <c r="M4" i="14"/>
  <c r="M33" i="14"/>
  <c r="M8" i="14"/>
  <c r="M32" i="14"/>
  <c r="M28" i="14"/>
  <c r="M21" i="14"/>
  <c r="M23" i="14"/>
  <c r="M17" i="14"/>
  <c r="M11" i="14"/>
  <c r="M41" i="14"/>
  <c r="M40" i="14"/>
  <c r="M27" i="14"/>
  <c r="M19" i="14"/>
  <c r="M24" i="14"/>
  <c r="M38" i="14"/>
  <c r="M37" i="14"/>
  <c r="M39" i="14"/>
  <c r="M15" i="14"/>
  <c r="M25" i="14"/>
  <c r="M36" i="14"/>
  <c r="M46" i="14"/>
  <c r="M42" i="14"/>
  <c r="M26" i="14"/>
  <c r="M13" i="14"/>
  <c r="M16" i="14"/>
  <c r="M7" i="14"/>
  <c r="M22" i="14"/>
  <c r="M18" i="14"/>
  <c r="M45" i="14"/>
  <c r="M9" i="14"/>
  <c r="M12" i="14"/>
  <c r="M10" i="14"/>
  <c r="M14" i="14"/>
  <c r="M20" i="14"/>
  <c r="M34" i="14"/>
  <c r="P91" i="13"/>
  <c r="M6" i="14"/>
  <c r="M30" i="14"/>
  <c r="P53" i="13"/>
  <c r="P6" i="14"/>
  <c r="M29" i="14"/>
  <c r="M43" i="14"/>
  <c r="M5" i="14"/>
  <c r="M35" i="14"/>
  <c r="P52" i="13"/>
  <c r="P5" i="14"/>
  <c r="P82" i="13"/>
  <c r="M31" i="14"/>
  <c r="AC57" i="13"/>
  <c r="S68" i="12" s="1"/>
  <c r="T68" i="12" s="1"/>
  <c r="AB57" i="13"/>
  <c r="R68" i="12" s="1"/>
  <c r="AB20" i="13"/>
  <c r="AB52" i="13"/>
  <c r="AC53" i="13"/>
  <c r="AB51" i="13"/>
  <c r="AB53" i="13"/>
  <c r="AB21" i="13"/>
  <c r="AC51" i="13"/>
  <c r="AC20" i="13"/>
  <c r="AC52" i="13"/>
  <c r="AC21" i="13"/>
  <c r="L33" i="3"/>
  <c r="L13" i="3"/>
  <c r="N43" i="3"/>
  <c r="N35" i="3"/>
  <c r="N27" i="3"/>
  <c r="N19" i="3"/>
  <c r="N7" i="3"/>
  <c r="L42" i="3"/>
  <c r="L34" i="3"/>
  <c r="L26" i="3"/>
  <c r="L14" i="3"/>
  <c r="N42" i="3"/>
  <c r="N38" i="3"/>
  <c r="N34" i="3"/>
  <c r="N30" i="3"/>
  <c r="N26" i="3"/>
  <c r="N22" i="3"/>
  <c r="N18" i="3"/>
  <c r="N14" i="3"/>
  <c r="N10" i="3"/>
  <c r="N6" i="3"/>
  <c r="L25" i="3"/>
  <c r="L5" i="3"/>
  <c r="N33" i="3"/>
  <c r="N21" i="3"/>
  <c r="N9" i="3"/>
  <c r="N4" i="3"/>
  <c r="L36" i="3"/>
  <c r="L28" i="3"/>
  <c r="L20" i="3"/>
  <c r="L16" i="3"/>
  <c r="L12" i="3"/>
  <c r="L8" i="3"/>
  <c r="L37" i="3"/>
  <c r="L9" i="3"/>
  <c r="N41" i="3"/>
  <c r="N29" i="3"/>
  <c r="N17" i="3"/>
  <c r="N5" i="3"/>
  <c r="L40" i="3"/>
  <c r="L32" i="3"/>
  <c r="L24" i="3"/>
  <c r="L4" i="3"/>
  <c r="N40" i="3"/>
  <c r="N36" i="3"/>
  <c r="N32" i="3"/>
  <c r="N28" i="3"/>
  <c r="N24" i="3"/>
  <c r="N20" i="3"/>
  <c r="N16" i="3"/>
  <c r="N12" i="3"/>
  <c r="N8" i="3"/>
  <c r="L21" i="3"/>
  <c r="N37" i="3"/>
  <c r="N25" i="3"/>
  <c r="N13" i="3"/>
  <c r="L43" i="3"/>
  <c r="L39" i="3"/>
  <c r="L35" i="3"/>
  <c r="L31" i="3"/>
  <c r="L27" i="3"/>
  <c r="L23" i="3"/>
  <c r="L19" i="3"/>
  <c r="L15" i="3"/>
  <c r="L11" i="3"/>
  <c r="L7" i="3"/>
  <c r="L29" i="3"/>
  <c r="L17" i="3"/>
  <c r="N39" i="3"/>
  <c r="N31" i="3"/>
  <c r="N23" i="3"/>
  <c r="N15" i="3"/>
  <c r="N11" i="3"/>
  <c r="L38" i="3"/>
  <c r="L30" i="3"/>
  <c r="L22" i="3"/>
  <c r="L18" i="3"/>
  <c r="L10" i="3"/>
  <c r="L6" i="3"/>
  <c r="S54" i="12" l="1"/>
  <c r="T54" i="12" s="1"/>
  <c r="V54" i="12"/>
  <c r="V53" i="12"/>
  <c r="S53" i="12"/>
  <c r="T53" i="12" s="1"/>
  <c r="U24" i="12"/>
  <c r="R24" i="12"/>
  <c r="R53" i="12"/>
  <c r="U53" i="12"/>
  <c r="V25" i="12"/>
  <c r="S25" i="12"/>
  <c r="T25" i="12" s="1"/>
  <c r="S24" i="12"/>
  <c r="T24" i="12" s="1"/>
  <c r="V24" i="12"/>
  <c r="W24" i="12" s="1"/>
  <c r="V52" i="12"/>
  <c r="S52" i="12"/>
  <c r="T52" i="12" s="1"/>
  <c r="U25" i="12"/>
  <c r="R25" i="12"/>
  <c r="R54" i="12"/>
  <c r="U54" i="12"/>
  <c r="R52" i="12"/>
  <c r="U52" i="12"/>
  <c r="D66" i="13"/>
  <c r="E71" i="13"/>
  <c r="C77" i="13"/>
  <c r="D82" i="13"/>
  <c r="E87" i="13"/>
  <c r="C93" i="13"/>
  <c r="D98" i="13"/>
  <c r="E103" i="13"/>
  <c r="E66" i="13"/>
  <c r="D69" i="13"/>
  <c r="C72" i="13"/>
  <c r="E74" i="13"/>
  <c r="D77" i="13"/>
  <c r="C80" i="13"/>
  <c r="E82" i="13"/>
  <c r="D85" i="13"/>
  <c r="C88" i="13"/>
  <c r="E90" i="13"/>
  <c r="D93" i="13"/>
  <c r="C96" i="13"/>
  <c r="E98" i="13"/>
  <c r="D101" i="13"/>
  <c r="C104" i="13"/>
  <c r="E106" i="13"/>
  <c r="D67" i="13"/>
  <c r="D75" i="13"/>
  <c r="D83" i="13"/>
  <c r="C94" i="13"/>
  <c r="C102" i="13"/>
  <c r="C67" i="13"/>
  <c r="E69" i="13"/>
  <c r="D72" i="13"/>
  <c r="C75" i="13"/>
  <c r="E77" i="13"/>
  <c r="D80" i="13"/>
  <c r="C83" i="13"/>
  <c r="E85" i="13"/>
  <c r="D88" i="13"/>
  <c r="C91" i="13"/>
  <c r="E93" i="13"/>
  <c r="D96" i="13"/>
  <c r="C99" i="13"/>
  <c r="E101" i="13"/>
  <c r="D104" i="13"/>
  <c r="E64" i="13"/>
  <c r="C70" i="13"/>
  <c r="C78" i="13"/>
  <c r="C86" i="13"/>
  <c r="D91" i="13"/>
  <c r="E96" i="13"/>
  <c r="E104" i="13"/>
  <c r="E72" i="13"/>
  <c r="E80" i="13"/>
  <c r="E88" i="13"/>
  <c r="D99" i="13"/>
  <c r="D64" i="13"/>
  <c r="C65" i="13"/>
  <c r="E67" i="13"/>
  <c r="D70" i="13"/>
  <c r="C73" i="13"/>
  <c r="E75" i="13"/>
  <c r="D78" i="13"/>
  <c r="C81" i="13"/>
  <c r="E83" i="13"/>
  <c r="D86" i="13"/>
  <c r="C89" i="13"/>
  <c r="E91" i="13"/>
  <c r="D94" i="13"/>
  <c r="C97" i="13"/>
  <c r="E99" i="13"/>
  <c r="D102" i="13"/>
  <c r="C105" i="13"/>
  <c r="C64" i="13"/>
  <c r="D68" i="13"/>
  <c r="E73" i="13"/>
  <c r="C79" i="13"/>
  <c r="D84" i="13"/>
  <c r="D92" i="13"/>
  <c r="E97" i="13"/>
  <c r="C103" i="13"/>
  <c r="D65" i="13"/>
  <c r="C68" i="13"/>
  <c r="E70" i="13"/>
  <c r="D73" i="13"/>
  <c r="C76" i="13"/>
  <c r="E78" i="13"/>
  <c r="D81" i="13"/>
  <c r="C84" i="13"/>
  <c r="E86" i="13"/>
  <c r="D89" i="13"/>
  <c r="C92" i="13"/>
  <c r="E94" i="13"/>
  <c r="D97" i="13"/>
  <c r="C100" i="13"/>
  <c r="E102" i="13"/>
  <c r="D105" i="13"/>
  <c r="E65" i="13"/>
  <c r="C71" i="13"/>
  <c r="D76" i="13"/>
  <c r="E81" i="13"/>
  <c r="C87" i="13"/>
  <c r="E89" i="13"/>
  <c r="C95" i="13"/>
  <c r="D100" i="13"/>
  <c r="E105" i="13"/>
  <c r="C66" i="13"/>
  <c r="E68" i="13"/>
  <c r="D71" i="13"/>
  <c r="C74" i="13"/>
  <c r="E76" i="13"/>
  <c r="D79" i="13"/>
  <c r="C82" i="13"/>
  <c r="E84" i="13"/>
  <c r="D87" i="13"/>
  <c r="C90" i="13"/>
  <c r="E92" i="13"/>
  <c r="D95" i="13"/>
  <c r="C98" i="13"/>
  <c r="E100" i="13"/>
  <c r="D103" i="13"/>
  <c r="C106" i="13"/>
  <c r="C69" i="13"/>
  <c r="D74" i="13"/>
  <c r="E79" i="13"/>
  <c r="C85" i="13"/>
  <c r="D90" i="13"/>
  <c r="E95" i="13"/>
  <c r="C101" i="13"/>
  <c r="D106" i="13"/>
  <c r="C65" i="14"/>
  <c r="E67" i="14"/>
  <c r="D70" i="14"/>
  <c r="C73" i="14"/>
  <c r="E75" i="14"/>
  <c r="D78" i="14"/>
  <c r="C81" i="14"/>
  <c r="E83" i="14"/>
  <c r="C89" i="14"/>
  <c r="E91" i="14"/>
  <c r="D94" i="14"/>
  <c r="C97" i="14"/>
  <c r="E99" i="14"/>
  <c r="D102" i="14"/>
  <c r="D65" i="14"/>
  <c r="C68" i="14"/>
  <c r="E70" i="14"/>
  <c r="D73" i="14"/>
  <c r="C76" i="14"/>
  <c r="E78" i="14"/>
  <c r="D81" i="14"/>
  <c r="C84" i="14"/>
  <c r="E86" i="14"/>
  <c r="D89" i="14"/>
  <c r="C92" i="14"/>
  <c r="E94" i="14"/>
  <c r="D97" i="14"/>
  <c r="C100" i="14"/>
  <c r="E102" i="14"/>
  <c r="D105" i="14"/>
  <c r="C90" i="14"/>
  <c r="E65" i="14"/>
  <c r="D68" i="14"/>
  <c r="C71" i="14"/>
  <c r="E73" i="14"/>
  <c r="D76" i="14"/>
  <c r="C79" i="14"/>
  <c r="E81" i="14"/>
  <c r="D84" i="14"/>
  <c r="C87" i="14"/>
  <c r="E89" i="14"/>
  <c r="D92" i="14"/>
  <c r="C95" i="14"/>
  <c r="E97" i="14"/>
  <c r="D100" i="14"/>
  <c r="C103" i="14"/>
  <c r="E105" i="14"/>
  <c r="D87" i="14"/>
  <c r="C66" i="14"/>
  <c r="E68" i="14"/>
  <c r="D71" i="14"/>
  <c r="C74" i="14"/>
  <c r="E76" i="14"/>
  <c r="D79" i="14"/>
  <c r="C82" i="14"/>
  <c r="E84" i="14"/>
  <c r="E92" i="14"/>
  <c r="D95" i="14"/>
  <c r="C98" i="14"/>
  <c r="E100" i="14"/>
  <c r="D103" i="14"/>
  <c r="C106" i="14"/>
  <c r="D66" i="14"/>
  <c r="C69" i="14"/>
  <c r="E71" i="14"/>
  <c r="D74" i="14"/>
  <c r="C77" i="14"/>
  <c r="E79" i="14"/>
  <c r="D82" i="14"/>
  <c r="C85" i="14"/>
  <c r="E87" i="14"/>
  <c r="D90" i="14"/>
  <c r="C93" i="14"/>
  <c r="E95" i="14"/>
  <c r="D98" i="14"/>
  <c r="C101" i="14"/>
  <c r="E103" i="14"/>
  <c r="D106" i="14"/>
  <c r="E69" i="14"/>
  <c r="C75" i="14"/>
  <c r="D80" i="14"/>
  <c r="E85" i="14"/>
  <c r="E93" i="14"/>
  <c r="C99" i="14"/>
  <c r="D104" i="14"/>
  <c r="E66" i="14"/>
  <c r="D69" i="14"/>
  <c r="C72" i="14"/>
  <c r="E74" i="14"/>
  <c r="D77" i="14"/>
  <c r="C80" i="14"/>
  <c r="E82" i="14"/>
  <c r="D85" i="14"/>
  <c r="C88" i="14"/>
  <c r="E90" i="14"/>
  <c r="D93" i="14"/>
  <c r="C96" i="14"/>
  <c r="E98" i="14"/>
  <c r="D101" i="14"/>
  <c r="C104" i="14"/>
  <c r="E106" i="14"/>
  <c r="C67" i="14"/>
  <c r="D72" i="14"/>
  <c r="E77" i="14"/>
  <c r="C83" i="14"/>
  <c r="D88" i="14"/>
  <c r="C91" i="14"/>
  <c r="D96" i="14"/>
  <c r="E101" i="14"/>
  <c r="E64" i="14"/>
  <c r="D67" i="14"/>
  <c r="C70" i="14"/>
  <c r="E72" i="14"/>
  <c r="D75" i="14"/>
  <c r="C78" i="14"/>
  <c r="E80" i="14"/>
  <c r="D83" i="14"/>
  <c r="C86" i="14"/>
  <c r="E88" i="14"/>
  <c r="D91" i="14"/>
  <c r="C94" i="14"/>
  <c r="E96" i="14"/>
  <c r="D99" i="14"/>
  <c r="C102" i="14"/>
  <c r="E104" i="14"/>
  <c r="D64" i="14"/>
  <c r="D86" i="14"/>
  <c r="C105" i="14"/>
  <c r="C64" i="14"/>
  <c r="D73" i="3"/>
  <c r="E78" i="3"/>
  <c r="D81" i="3"/>
  <c r="E86" i="3"/>
  <c r="D89" i="3"/>
  <c r="E94" i="3"/>
  <c r="D97" i="3"/>
  <c r="E102" i="3"/>
  <c r="D105" i="3"/>
  <c r="E73" i="3"/>
  <c r="D76" i="3"/>
  <c r="E81" i="3"/>
  <c r="D84" i="3"/>
  <c r="E89" i="3"/>
  <c r="D92" i="3"/>
  <c r="E97" i="3"/>
  <c r="D100" i="3"/>
  <c r="E105" i="3"/>
  <c r="D108" i="3"/>
  <c r="D71" i="3"/>
  <c r="E76" i="3"/>
  <c r="D79" i="3"/>
  <c r="E84" i="3"/>
  <c r="D87" i="3"/>
  <c r="E92" i="3"/>
  <c r="D95" i="3"/>
  <c r="E100" i="3"/>
  <c r="D103" i="3"/>
  <c r="E108" i="3"/>
  <c r="D74" i="3"/>
  <c r="E103" i="3"/>
  <c r="E71" i="3"/>
  <c r="E79" i="3"/>
  <c r="D82" i="3"/>
  <c r="E87" i="3"/>
  <c r="D90" i="3"/>
  <c r="E95" i="3"/>
  <c r="D98" i="3"/>
  <c r="D106" i="3"/>
  <c r="E74" i="3"/>
  <c r="D77" i="3"/>
  <c r="E82" i="3"/>
  <c r="D85" i="3"/>
  <c r="E90" i="3"/>
  <c r="D93" i="3"/>
  <c r="E98" i="3"/>
  <c r="D101" i="3"/>
  <c r="E106" i="3"/>
  <c r="D109" i="3"/>
  <c r="E72" i="3"/>
  <c r="E80" i="3"/>
  <c r="D91" i="3"/>
  <c r="E96" i="3"/>
  <c r="D107" i="3"/>
  <c r="D72" i="3"/>
  <c r="E77" i="3"/>
  <c r="D80" i="3"/>
  <c r="E85" i="3"/>
  <c r="D88" i="3"/>
  <c r="E93" i="3"/>
  <c r="D96" i="3"/>
  <c r="E101" i="3"/>
  <c r="D104" i="3"/>
  <c r="E109" i="3"/>
  <c r="D75" i="3"/>
  <c r="D83" i="3"/>
  <c r="E88" i="3"/>
  <c r="D99" i="3"/>
  <c r="E104" i="3"/>
  <c r="E70" i="3"/>
  <c r="E75" i="3"/>
  <c r="D78" i="3"/>
  <c r="E83" i="3"/>
  <c r="D86" i="3"/>
  <c r="E91" i="3"/>
  <c r="D94" i="3"/>
  <c r="E99" i="3"/>
  <c r="D102" i="3"/>
  <c r="E107" i="3"/>
  <c r="D70" i="3"/>
  <c r="J53" i="14" l="1"/>
  <c r="E53" i="14"/>
  <c r="F53" i="14" s="1"/>
  <c r="B53" i="14"/>
  <c r="J52" i="14"/>
  <c r="E52" i="14"/>
  <c r="F52" i="14" s="1"/>
  <c r="B52" i="14"/>
  <c r="H52" i="14" s="1"/>
  <c r="I52" i="14" s="1"/>
  <c r="J51" i="14"/>
  <c r="E51" i="14"/>
  <c r="B51" i="14"/>
  <c r="J50" i="14"/>
  <c r="E50" i="14"/>
  <c r="B50" i="14"/>
  <c r="J49" i="14"/>
  <c r="E49" i="14"/>
  <c r="F49" i="14" s="1"/>
  <c r="B49" i="14"/>
  <c r="J48" i="14"/>
  <c r="E48" i="14"/>
  <c r="F48" i="14" s="1"/>
  <c r="B48" i="14"/>
  <c r="H48" i="14" s="1"/>
  <c r="I48" i="14" s="1"/>
  <c r="J47" i="14"/>
  <c r="E47" i="14"/>
  <c r="B47" i="14"/>
  <c r="J46" i="14"/>
  <c r="E46" i="14"/>
  <c r="F46" i="14" s="1"/>
  <c r="B46" i="14"/>
  <c r="J45" i="14"/>
  <c r="E45" i="14"/>
  <c r="F45" i="14" s="1"/>
  <c r="B45" i="14"/>
  <c r="J44" i="14"/>
  <c r="E44" i="14"/>
  <c r="F44" i="14" s="1"/>
  <c r="B44" i="14"/>
  <c r="H44" i="14" s="1"/>
  <c r="I44" i="14" s="1"/>
  <c r="J43" i="14"/>
  <c r="E43" i="14"/>
  <c r="F43" i="14" s="1"/>
  <c r="B43" i="14"/>
  <c r="J42" i="14"/>
  <c r="E42" i="14"/>
  <c r="B42" i="14"/>
  <c r="J41" i="14"/>
  <c r="E41" i="14"/>
  <c r="F41" i="14" s="1"/>
  <c r="B41" i="14"/>
  <c r="J40" i="14"/>
  <c r="E40" i="14"/>
  <c r="B40" i="14"/>
  <c r="J39" i="14"/>
  <c r="E39" i="14"/>
  <c r="H40" i="14" s="1"/>
  <c r="I40" i="14" s="1"/>
  <c r="B39" i="14"/>
  <c r="J38" i="14"/>
  <c r="E38" i="14"/>
  <c r="F38" i="14" s="1"/>
  <c r="B38" i="14"/>
  <c r="J37" i="14"/>
  <c r="E37" i="14"/>
  <c r="B37" i="14"/>
  <c r="J36" i="14"/>
  <c r="E36" i="14"/>
  <c r="H37" i="14" s="1"/>
  <c r="I37" i="14" s="1"/>
  <c r="B36" i="14"/>
  <c r="J35" i="14"/>
  <c r="E35" i="14"/>
  <c r="H36" i="14" s="1"/>
  <c r="I36" i="14" s="1"/>
  <c r="B35" i="14"/>
  <c r="J34" i="14"/>
  <c r="E34" i="14"/>
  <c r="F34" i="14" s="1"/>
  <c r="B34" i="14"/>
  <c r="J33" i="14"/>
  <c r="H33" i="14"/>
  <c r="I33" i="14" s="1"/>
  <c r="E33" i="14"/>
  <c r="F33" i="14" s="1"/>
  <c r="B33" i="14"/>
  <c r="AB59" i="13"/>
  <c r="R70" i="12" s="1"/>
  <c r="J53" i="13"/>
  <c r="E53" i="13"/>
  <c r="B53" i="13"/>
  <c r="AC58" i="13"/>
  <c r="S69" i="12" s="1"/>
  <c r="T69" i="12" s="1"/>
  <c r="J52" i="13"/>
  <c r="E52" i="13"/>
  <c r="B52" i="13"/>
  <c r="J51" i="13"/>
  <c r="E51" i="13"/>
  <c r="B51" i="13"/>
  <c r="J50" i="13"/>
  <c r="E50" i="13"/>
  <c r="B50" i="13"/>
  <c r="J49" i="13"/>
  <c r="E49" i="13"/>
  <c r="B49" i="13"/>
  <c r="J48" i="13"/>
  <c r="E48" i="13"/>
  <c r="B48" i="13"/>
  <c r="J47" i="13"/>
  <c r="E47" i="13"/>
  <c r="B47" i="13"/>
  <c r="AC43" i="13"/>
  <c r="J46" i="13"/>
  <c r="E46" i="13"/>
  <c r="B46" i="13"/>
  <c r="AB42" i="13"/>
  <c r="J45" i="13"/>
  <c r="E45" i="13"/>
  <c r="B45" i="13"/>
  <c r="J44" i="13"/>
  <c r="E44" i="13"/>
  <c r="B44" i="13"/>
  <c r="J43" i="13"/>
  <c r="E43" i="13"/>
  <c r="B43" i="13"/>
  <c r="AC71" i="13"/>
  <c r="S82" i="12" s="1"/>
  <c r="T82" i="12" s="1"/>
  <c r="AB71" i="13"/>
  <c r="R82" i="12" s="1"/>
  <c r="Q45" i="13"/>
  <c r="J42" i="13"/>
  <c r="E42" i="13"/>
  <c r="B42" i="13"/>
  <c r="AC70" i="13"/>
  <c r="S81" i="12" s="1"/>
  <c r="T81" i="12" s="1"/>
  <c r="AB70" i="13"/>
  <c r="R81" i="12" s="1"/>
  <c r="Q44" i="13"/>
  <c r="J41" i="13"/>
  <c r="E41" i="13"/>
  <c r="B41" i="13"/>
  <c r="Q43" i="13"/>
  <c r="J40" i="13"/>
  <c r="E40" i="13"/>
  <c r="B40" i="13"/>
  <c r="Q42" i="13"/>
  <c r="J39" i="13"/>
  <c r="E39" i="13"/>
  <c r="B39" i="13"/>
  <c r="Q41" i="13"/>
  <c r="J38" i="13"/>
  <c r="E38" i="13"/>
  <c r="B38" i="13"/>
  <c r="AC61" i="13"/>
  <c r="S72" i="12" s="1"/>
  <c r="T72" i="12" s="1"/>
  <c r="AB61" i="13"/>
  <c r="R72" i="12" s="1"/>
  <c r="Q39" i="13"/>
  <c r="J37" i="13"/>
  <c r="E37" i="13"/>
  <c r="B37" i="13"/>
  <c r="AC60" i="13"/>
  <c r="S71" i="12" s="1"/>
  <c r="T71" i="12" s="1"/>
  <c r="AB60" i="13"/>
  <c r="R71" i="12" s="1"/>
  <c r="Q38" i="13"/>
  <c r="J36" i="13"/>
  <c r="E36" i="13"/>
  <c r="B36" i="13"/>
  <c r="AC59" i="13"/>
  <c r="S70" i="12" s="1"/>
  <c r="T70" i="12" s="1"/>
  <c r="Q37" i="13"/>
  <c r="J35" i="13"/>
  <c r="E35" i="13"/>
  <c r="B35" i="13"/>
  <c r="AB58" i="13"/>
  <c r="R69" i="12" s="1"/>
  <c r="Q36" i="13"/>
  <c r="J34" i="13"/>
  <c r="E34" i="13"/>
  <c r="B34" i="13"/>
  <c r="AB35" i="13"/>
  <c r="Q35" i="13"/>
  <c r="J33" i="13"/>
  <c r="E33" i="13"/>
  <c r="F33" i="13" s="1"/>
  <c r="B33" i="13"/>
  <c r="H33" i="13" s="1"/>
  <c r="AC45" i="13"/>
  <c r="AB45" i="13"/>
  <c r="Q27" i="13"/>
  <c r="AC44" i="13"/>
  <c r="AB44" i="13"/>
  <c r="Q26" i="13"/>
  <c r="AB43" i="13"/>
  <c r="Q25" i="13"/>
  <c r="AC42" i="13"/>
  <c r="Q24" i="13"/>
  <c r="Q33" i="13"/>
  <c r="AB29" i="13"/>
  <c r="Q32" i="13"/>
  <c r="Q31" i="13"/>
  <c r="AC39" i="13"/>
  <c r="AB39" i="13"/>
  <c r="Q23" i="13"/>
  <c r="AC38" i="13"/>
  <c r="AB38" i="13"/>
  <c r="Q22" i="13"/>
  <c r="AC35" i="13"/>
  <c r="Q21" i="13"/>
  <c r="AC34" i="13"/>
  <c r="AB34" i="13"/>
  <c r="Q20" i="13"/>
  <c r="AC33" i="13"/>
  <c r="S39" i="12" s="1"/>
  <c r="T39" i="12" s="1"/>
  <c r="AB33" i="13"/>
  <c r="R39" i="12" s="1"/>
  <c r="Q19" i="13"/>
  <c r="AC32" i="13"/>
  <c r="S38" i="12" s="1"/>
  <c r="T38" i="12" s="1"/>
  <c r="AB32" i="13"/>
  <c r="R38" i="12" s="1"/>
  <c r="Q18" i="13"/>
  <c r="AC29" i="13"/>
  <c r="Q17" i="13"/>
  <c r="AC28" i="13"/>
  <c r="AB28" i="13"/>
  <c r="Q16" i="13"/>
  <c r="AC25" i="13"/>
  <c r="S29" i="12" s="1"/>
  <c r="T29" i="12" s="1"/>
  <c r="AB25" i="13"/>
  <c r="R29" i="12" s="1"/>
  <c r="Q15" i="13"/>
  <c r="AB16" i="13"/>
  <c r="R20" i="12" s="1"/>
  <c r="R26" i="12" s="1"/>
  <c r="AC24" i="13"/>
  <c r="S28" i="12" s="1"/>
  <c r="T28" i="12" s="1"/>
  <c r="AB24" i="13"/>
  <c r="R28" i="12" s="1"/>
  <c r="Q14" i="13"/>
  <c r="Q13" i="13"/>
  <c r="Q12" i="13"/>
  <c r="AC16" i="13"/>
  <c r="S20" i="12" s="1"/>
  <c r="T20" i="12" s="1"/>
  <c r="Q11" i="13"/>
  <c r="AC12" i="13"/>
  <c r="S16" i="12" s="1"/>
  <c r="T16" i="12" s="1"/>
  <c r="AB12" i="13"/>
  <c r="R16" i="12" s="1"/>
  <c r="R17" i="12" s="1"/>
  <c r="Q10" i="13"/>
  <c r="AC9" i="13"/>
  <c r="S13" i="12" s="1"/>
  <c r="T13" i="12" s="1"/>
  <c r="AB9" i="13"/>
  <c r="R13" i="12" s="1"/>
  <c r="Q9" i="13"/>
  <c r="AB8" i="13"/>
  <c r="R12" i="12" s="1"/>
  <c r="AC8" i="13"/>
  <c r="S12" i="12" s="1"/>
  <c r="T12" i="12" s="1"/>
  <c r="Q8" i="13"/>
  <c r="AC7" i="13"/>
  <c r="S11" i="12" s="1"/>
  <c r="T11" i="12" s="1"/>
  <c r="AB7" i="13"/>
  <c r="R11" i="12" s="1"/>
  <c r="Q7" i="13"/>
  <c r="AC6" i="13"/>
  <c r="S10" i="12" s="1"/>
  <c r="T10" i="12" s="1"/>
  <c r="AB6" i="13"/>
  <c r="R10" i="12" s="1"/>
  <c r="Q6" i="13"/>
  <c r="AC5" i="13"/>
  <c r="S9" i="12" s="1"/>
  <c r="T9" i="12" s="1"/>
  <c r="AB5" i="13"/>
  <c r="R9" i="12" s="1"/>
  <c r="Q5" i="13"/>
  <c r="AB4" i="13"/>
  <c r="R8" i="12" s="1"/>
  <c r="AC4" i="13"/>
  <c r="S8" i="12" s="1"/>
  <c r="T8" i="12" s="1"/>
  <c r="Q4" i="13"/>
  <c r="AC3" i="13"/>
  <c r="S7" i="12" s="1"/>
  <c r="T7" i="12" s="1"/>
  <c r="AB3" i="13"/>
  <c r="R7" i="12" s="1"/>
  <c r="Q3" i="13"/>
  <c r="Q51" i="13" s="1"/>
  <c r="R30" i="12" l="1"/>
  <c r="R83" i="12"/>
  <c r="S30" i="12"/>
  <c r="T30" i="12" s="1"/>
  <c r="V57" i="12"/>
  <c r="S48" i="12"/>
  <c r="T48" i="12" s="1"/>
  <c r="S57" i="12"/>
  <c r="T57" i="12" s="1"/>
  <c r="V60" i="12"/>
  <c r="S60" i="12"/>
  <c r="T60" i="12" s="1"/>
  <c r="V58" i="12"/>
  <c r="S58" i="12"/>
  <c r="T58" i="12" s="1"/>
  <c r="U60" i="12"/>
  <c r="R60" i="12"/>
  <c r="U58" i="12"/>
  <c r="R58" i="12"/>
  <c r="R73" i="12"/>
  <c r="U59" i="12"/>
  <c r="R59" i="12"/>
  <c r="S73" i="12"/>
  <c r="T73" i="12" s="1"/>
  <c r="V59" i="12"/>
  <c r="S59" i="12"/>
  <c r="T59" i="12" s="1"/>
  <c r="S83" i="12"/>
  <c r="T83" i="12" s="1"/>
  <c r="R48" i="12"/>
  <c r="R55" i="12" s="1"/>
  <c r="R57" i="12"/>
  <c r="U57" i="12"/>
  <c r="R40" i="12"/>
  <c r="S26" i="12"/>
  <c r="T26" i="12" s="1"/>
  <c r="S17" i="12"/>
  <c r="T17" i="12" s="1"/>
  <c r="S40" i="12"/>
  <c r="T40" i="12" s="1"/>
  <c r="S79" i="12"/>
  <c r="T79" i="12" s="1"/>
  <c r="S14" i="12"/>
  <c r="T14" i="12" s="1"/>
  <c r="R79" i="12"/>
  <c r="R14" i="12"/>
  <c r="AA51" i="13"/>
  <c r="AA53" i="13"/>
  <c r="AA52" i="13"/>
  <c r="AA43" i="13"/>
  <c r="AA44" i="13"/>
  <c r="AA45" i="13"/>
  <c r="AA42" i="13"/>
  <c r="H40" i="13"/>
  <c r="I40" i="13" s="1"/>
  <c r="H47" i="13"/>
  <c r="I47" i="13" s="1"/>
  <c r="AA21" i="13"/>
  <c r="AA20" i="13"/>
  <c r="F34" i="13"/>
  <c r="H48" i="13"/>
  <c r="I48" i="13" s="1"/>
  <c r="H36" i="13"/>
  <c r="I36" i="13" s="1"/>
  <c r="F53" i="13"/>
  <c r="F37" i="13"/>
  <c r="H41" i="13"/>
  <c r="I41" i="13" s="1"/>
  <c r="H45" i="13"/>
  <c r="I45" i="13" s="1"/>
  <c r="F41" i="13"/>
  <c r="F49" i="13"/>
  <c r="H39" i="13"/>
  <c r="I39" i="13" s="1"/>
  <c r="H52" i="13"/>
  <c r="I52" i="13" s="1"/>
  <c r="F36" i="13"/>
  <c r="F45" i="13"/>
  <c r="F39" i="13"/>
  <c r="H53" i="13"/>
  <c r="I53" i="13" s="1"/>
  <c r="F47" i="13"/>
  <c r="F48" i="13"/>
  <c r="H35" i="14"/>
  <c r="I35" i="14" s="1"/>
  <c r="F40" i="14"/>
  <c r="H46" i="14"/>
  <c r="I46" i="14" s="1"/>
  <c r="H39" i="14"/>
  <c r="I39" i="14" s="1"/>
  <c r="H50" i="14"/>
  <c r="I50" i="14" s="1"/>
  <c r="F37" i="14"/>
  <c r="F42" i="14"/>
  <c r="F50" i="14"/>
  <c r="F46" i="13"/>
  <c r="F51" i="13"/>
  <c r="H35" i="13"/>
  <c r="I35" i="13" s="1"/>
  <c r="F40" i="13"/>
  <c r="H46" i="13"/>
  <c r="I46" i="13" s="1"/>
  <c r="H49" i="13"/>
  <c r="I49" i="13" s="1"/>
  <c r="F35" i="13"/>
  <c r="H50" i="13"/>
  <c r="I50" i="13" s="1"/>
  <c r="F50" i="13"/>
  <c r="F52" i="13"/>
  <c r="F38" i="13"/>
  <c r="H37" i="13"/>
  <c r="I37" i="13" s="1"/>
  <c r="F42" i="13"/>
  <c r="H44" i="13"/>
  <c r="I44" i="13" s="1"/>
  <c r="I33" i="13"/>
  <c r="F43" i="13"/>
  <c r="H43" i="13"/>
  <c r="I43" i="13" s="1"/>
  <c r="F35" i="14"/>
  <c r="F39" i="14"/>
  <c r="F47" i="14"/>
  <c r="F51" i="14"/>
  <c r="H43" i="14"/>
  <c r="I43" i="14" s="1"/>
  <c r="H47" i="14"/>
  <c r="I47" i="14" s="1"/>
  <c r="H51" i="14"/>
  <c r="I51" i="14" s="1"/>
  <c r="H34" i="13"/>
  <c r="I34" i="13" s="1"/>
  <c r="H38" i="13"/>
  <c r="I38" i="13" s="1"/>
  <c r="H42" i="13"/>
  <c r="I42" i="13" s="1"/>
  <c r="F44" i="13"/>
  <c r="H34" i="14"/>
  <c r="I34" i="14" s="1"/>
  <c r="H38" i="14"/>
  <c r="I38" i="14" s="1"/>
  <c r="H42" i="14"/>
  <c r="I42" i="14" s="1"/>
  <c r="H41" i="14"/>
  <c r="I41" i="14" s="1"/>
  <c r="H49" i="14"/>
  <c r="I49" i="14" s="1"/>
  <c r="H53" i="14"/>
  <c r="I53" i="14" s="1"/>
  <c r="H45" i="14"/>
  <c r="I45" i="14" s="1"/>
  <c r="F36" i="14"/>
  <c r="H51" i="13"/>
  <c r="I51" i="13" s="1"/>
  <c r="S55" i="12" l="1"/>
  <c r="T55" i="12" s="1"/>
  <c r="S65" i="12"/>
  <c r="T65" i="12" s="1"/>
  <c r="R65" i="12"/>
  <c r="R86" i="12" s="1"/>
  <c r="B28" i="13"/>
  <c r="B28" i="14"/>
  <c r="S86" i="12" l="1"/>
  <c r="T86" i="12" s="1"/>
  <c r="Q42" i="8"/>
  <c r="Q93" i="8" s="1"/>
  <c r="M43" i="3" s="1"/>
  <c r="Q41" i="8"/>
  <c r="Q92" i="8" s="1"/>
  <c r="M42" i="3" s="1"/>
  <c r="Q40" i="8"/>
  <c r="Q91" i="8" s="1"/>
  <c r="M41" i="3" s="1"/>
  <c r="Q39" i="8"/>
  <c r="Q90" i="8" s="1"/>
  <c r="M40" i="3" s="1"/>
  <c r="Q38" i="8"/>
  <c r="Q89" i="8" s="1"/>
  <c r="M39" i="3" s="1"/>
  <c r="Q37" i="8"/>
  <c r="Q88" i="8" s="1"/>
  <c r="M38" i="3" s="1"/>
  <c r="Q36" i="8"/>
  <c r="Q87" i="8" s="1"/>
  <c r="M37" i="3" s="1"/>
  <c r="Q35" i="8"/>
  <c r="Q86" i="8" s="1"/>
  <c r="M36" i="3" s="1"/>
  <c r="Q34" i="8"/>
  <c r="Q85" i="8" s="1"/>
  <c r="M35" i="3" s="1"/>
  <c r="Q33" i="8"/>
  <c r="Q84" i="8" s="1"/>
  <c r="M34" i="3" s="1"/>
  <c r="Q32" i="8"/>
  <c r="Q83" i="8" s="1"/>
  <c r="M33" i="3" s="1"/>
  <c r="Q31" i="8"/>
  <c r="Q82" i="8" s="1"/>
  <c r="M32" i="3" s="1"/>
  <c r="Q30" i="8"/>
  <c r="Q81" i="8" s="1"/>
  <c r="M31" i="3" s="1"/>
  <c r="Q29" i="8"/>
  <c r="Q80" i="8" s="1"/>
  <c r="M30" i="3" s="1"/>
  <c r="Q28" i="8"/>
  <c r="Q79" i="8" s="1"/>
  <c r="M29" i="3" s="1"/>
  <c r="C74" i="3" s="1"/>
  <c r="Q27" i="8"/>
  <c r="Q78" i="8" s="1"/>
  <c r="M28" i="3" s="1"/>
  <c r="Q26" i="8"/>
  <c r="Q77" i="8" s="1"/>
  <c r="M27" i="3" s="1"/>
  <c r="C108" i="3" s="1"/>
  <c r="Q25" i="8"/>
  <c r="Q76" i="8" s="1"/>
  <c r="M26" i="3" s="1"/>
  <c r="Q75" i="8"/>
  <c r="M25" i="3" s="1"/>
  <c r="Q23" i="8"/>
  <c r="Q74" i="8" s="1"/>
  <c r="M24" i="3" s="1"/>
  <c r="Q22" i="8"/>
  <c r="Q73" i="8" s="1"/>
  <c r="M23" i="3" s="1"/>
  <c r="Q21" i="8"/>
  <c r="Q72" i="8" s="1"/>
  <c r="M22" i="3" s="1"/>
  <c r="C105" i="3" s="1"/>
  <c r="Q20" i="8"/>
  <c r="Q71" i="8" s="1"/>
  <c r="M21" i="3" s="1"/>
  <c r="Q19" i="8"/>
  <c r="Q70" i="8" s="1"/>
  <c r="M20" i="3" s="1"/>
  <c r="Q18" i="8"/>
  <c r="Q69" i="8" s="1"/>
  <c r="M19" i="3" s="1"/>
  <c r="Q17" i="8"/>
  <c r="Q68" i="8" s="1"/>
  <c r="M18" i="3" s="1"/>
  <c r="Q16" i="8"/>
  <c r="Q67" i="8" s="1"/>
  <c r="M17" i="3" s="1"/>
  <c r="Q15" i="8"/>
  <c r="Q66" i="8" s="1"/>
  <c r="M16" i="3" s="1"/>
  <c r="Q14" i="8"/>
  <c r="Q65" i="8" s="1"/>
  <c r="M15" i="3" s="1"/>
  <c r="C97" i="3" s="1"/>
  <c r="Q13" i="8"/>
  <c r="Q64" i="8" s="1"/>
  <c r="M14" i="3" s="1"/>
  <c r="C75" i="3" s="1"/>
  <c r="Q12" i="8"/>
  <c r="Q63" i="8" s="1"/>
  <c r="M13" i="3" s="1"/>
  <c r="C95" i="3" s="1"/>
  <c r="Q11" i="8"/>
  <c r="Q62" i="8" s="1"/>
  <c r="M12" i="3" s="1"/>
  <c r="Q10" i="8"/>
  <c r="Q61" i="8" s="1"/>
  <c r="M11" i="3" s="1"/>
  <c r="Q9" i="8"/>
  <c r="Q60" i="8" s="1"/>
  <c r="M10" i="3" s="1"/>
  <c r="C102" i="3" s="1"/>
  <c r="Q8" i="8"/>
  <c r="Q59" i="8" s="1"/>
  <c r="M9" i="3" s="1"/>
  <c r="C101" i="3" s="1"/>
  <c r="Q7" i="8"/>
  <c r="Q58" i="8" s="1"/>
  <c r="M8" i="3" s="1"/>
  <c r="C98" i="3" s="1"/>
  <c r="Q6" i="8"/>
  <c r="Q57" i="8" s="1"/>
  <c r="M7" i="3" s="1"/>
  <c r="Q5" i="8"/>
  <c r="Q56" i="8" s="1"/>
  <c r="M6" i="3" s="1"/>
  <c r="C100" i="3" s="1"/>
  <c r="Q4" i="8"/>
  <c r="Q55" i="8" s="1"/>
  <c r="M5" i="3" s="1"/>
  <c r="Q3" i="8"/>
  <c r="Q54" i="8" s="1"/>
  <c r="C84" i="3" l="1"/>
  <c r="C72" i="3"/>
  <c r="C86" i="3"/>
  <c r="C76" i="3"/>
  <c r="C94" i="3"/>
  <c r="C71" i="3"/>
  <c r="C89" i="3"/>
  <c r="C91" i="3"/>
  <c r="C104" i="3"/>
  <c r="C70" i="3"/>
  <c r="C96" i="3"/>
  <c r="C106" i="3"/>
  <c r="C82" i="3"/>
  <c r="C99" i="3"/>
  <c r="C77" i="3"/>
  <c r="C92" i="3"/>
  <c r="C103" i="3"/>
  <c r="C87" i="3"/>
  <c r="C85" i="3"/>
  <c r="C73" i="3"/>
  <c r="C80" i="3"/>
  <c r="C81" i="3"/>
  <c r="C78" i="3"/>
  <c r="C109" i="3"/>
  <c r="C88" i="3"/>
  <c r="C79" i="3"/>
  <c r="C107" i="3"/>
  <c r="M4" i="3"/>
  <c r="C93" i="3" s="1"/>
  <c r="P77" i="8"/>
  <c r="P82" i="8"/>
  <c r="P66" i="8"/>
  <c r="P75" i="8"/>
  <c r="P85" i="8"/>
  <c r="P55" i="8"/>
  <c r="P79" i="8"/>
  <c r="P78" i="8"/>
  <c r="P62" i="8"/>
  <c r="P89" i="8"/>
  <c r="P61" i="8"/>
  <c r="P90" i="8"/>
  <c r="P74" i="8"/>
  <c r="P58" i="8"/>
  <c r="P54" i="8"/>
  <c r="P70" i="8"/>
  <c r="P68" i="8"/>
  <c r="P69" i="8"/>
  <c r="P92" i="8"/>
  <c r="P76" i="8"/>
  <c r="P60" i="8"/>
  <c r="P71" i="8"/>
  <c r="P63" i="8"/>
  <c r="P86" i="8"/>
  <c r="P88" i="8"/>
  <c r="P72" i="8"/>
  <c r="P56" i="8"/>
  <c r="P59" i="8"/>
  <c r="P67" i="8"/>
  <c r="P81" i="8"/>
  <c r="P93" i="8"/>
  <c r="P57" i="8"/>
  <c r="P84" i="8"/>
  <c r="P87" i="8"/>
  <c r="P80" i="8"/>
  <c r="P64" i="8"/>
  <c r="P83" i="8"/>
  <c r="P91" i="8"/>
  <c r="P65" i="8"/>
  <c r="P73" i="8"/>
  <c r="AC3" i="8"/>
  <c r="V7" i="12" s="1"/>
  <c r="AB3" i="8"/>
  <c r="AB8" i="8"/>
  <c r="U12" i="12" s="1"/>
  <c r="AC45" i="8"/>
  <c r="V61" i="12" s="1"/>
  <c r="AC22" i="8"/>
  <c r="V28" i="12" s="1"/>
  <c r="AC36" i="8"/>
  <c r="V42" i="12" s="1"/>
  <c r="AB53" i="8"/>
  <c r="U70" i="12" s="1"/>
  <c r="AB5" i="8"/>
  <c r="U9" i="12" s="1"/>
  <c r="AC12" i="8"/>
  <c r="V16" i="12" s="1"/>
  <c r="AB17" i="8"/>
  <c r="U21" i="12" s="1"/>
  <c r="AC26" i="8"/>
  <c r="V32" i="12" s="1"/>
  <c r="AB31" i="8"/>
  <c r="U37" i="12" s="1"/>
  <c r="AC40" i="8"/>
  <c r="AB45" i="8"/>
  <c r="U61" i="12" s="1"/>
  <c r="AC52" i="8"/>
  <c r="V69" i="12" s="1"/>
  <c r="AB55" i="8"/>
  <c r="U72" i="12" s="1"/>
  <c r="AC64" i="8"/>
  <c r="V82" i="12" s="1"/>
  <c r="AC17" i="8"/>
  <c r="V21" i="12" s="1"/>
  <c r="AB15" i="8"/>
  <c r="U19" i="12" s="1"/>
  <c r="AB6" i="8"/>
  <c r="U10" i="12" s="1"/>
  <c r="AC15" i="8"/>
  <c r="V19" i="12" s="1"/>
  <c r="AB18" i="8"/>
  <c r="U22" i="12" s="1"/>
  <c r="AC27" i="8"/>
  <c r="V33" i="12" s="1"/>
  <c r="AB32" i="8"/>
  <c r="U38" i="12" s="1"/>
  <c r="AC41" i="8"/>
  <c r="AB46" i="8"/>
  <c r="U62" i="12" s="1"/>
  <c r="AC53" i="8"/>
  <c r="V70" i="12" s="1"/>
  <c r="AB58" i="8"/>
  <c r="U76" i="12" s="1"/>
  <c r="AC18" i="8"/>
  <c r="V22" i="12" s="1"/>
  <c r="AB23" i="8"/>
  <c r="U29" i="12" s="1"/>
  <c r="AC32" i="8"/>
  <c r="V38" i="12" s="1"/>
  <c r="AB37" i="8"/>
  <c r="U43" i="12" s="1"/>
  <c r="AC46" i="8"/>
  <c r="V62" i="12" s="1"/>
  <c r="AB51" i="8"/>
  <c r="AC58" i="8"/>
  <c r="V76" i="12" s="1"/>
  <c r="AB63" i="8"/>
  <c r="U81" i="12" s="1"/>
  <c r="AC5" i="8"/>
  <c r="V9" i="12" s="1"/>
  <c r="AC31" i="8"/>
  <c r="V37" i="12" s="1"/>
  <c r="AB60" i="8"/>
  <c r="U78" i="12" s="1"/>
  <c r="AC8" i="8"/>
  <c r="V12" i="12" s="1"/>
  <c r="AC9" i="8"/>
  <c r="V13" i="12" s="1"/>
  <c r="AB16" i="8"/>
  <c r="U20" i="12" s="1"/>
  <c r="AC23" i="8"/>
  <c r="V29" i="12" s="1"/>
  <c r="AB30" i="8"/>
  <c r="U36" i="12" s="1"/>
  <c r="AC37" i="8"/>
  <c r="V43" i="12" s="1"/>
  <c r="AB42" i="8"/>
  <c r="U48" i="12" s="1"/>
  <c r="AC51" i="8"/>
  <c r="AB54" i="8"/>
  <c r="U71" i="12" s="1"/>
  <c r="AC63" i="8"/>
  <c r="V81" i="12" s="1"/>
  <c r="AB22" i="8"/>
  <c r="U28" i="12" s="1"/>
  <c r="AB36" i="8"/>
  <c r="U42" i="12" s="1"/>
  <c r="AB48" i="8"/>
  <c r="U64" i="12" s="1"/>
  <c r="AC48" i="8"/>
  <c r="V64" i="12" s="1"/>
  <c r="AB9" i="8"/>
  <c r="U13" i="12" s="1"/>
  <c r="AB4" i="8"/>
  <c r="U8" i="12" s="1"/>
  <c r="AC4" i="8"/>
  <c r="V8" i="12" s="1"/>
  <c r="AB7" i="8"/>
  <c r="U11" i="12" s="1"/>
  <c r="AC16" i="8"/>
  <c r="V20" i="12" s="1"/>
  <c r="AB19" i="8"/>
  <c r="U23" i="12" s="1"/>
  <c r="AC30" i="8"/>
  <c r="V36" i="12" s="1"/>
  <c r="AB33" i="8"/>
  <c r="U39" i="12" s="1"/>
  <c r="AC42" i="8"/>
  <c r="V48" i="12" s="1"/>
  <c r="AB47" i="8"/>
  <c r="U63" i="12" s="1"/>
  <c r="AC54" i="8"/>
  <c r="V71" i="12" s="1"/>
  <c r="AB59" i="8"/>
  <c r="U77" i="12" s="1"/>
  <c r="AC55" i="8"/>
  <c r="V72" i="12" s="1"/>
  <c r="AB27" i="8"/>
  <c r="U33" i="12" s="1"/>
  <c r="AB41" i="8"/>
  <c r="AC60" i="8"/>
  <c r="V78" i="12" s="1"/>
  <c r="AC6" i="8"/>
  <c r="V10" i="12" s="1"/>
  <c r="AC7" i="8"/>
  <c r="V11" i="12" s="1"/>
  <c r="AB12" i="8"/>
  <c r="U16" i="12" s="1"/>
  <c r="AC19" i="8"/>
  <c r="V23" i="12" s="1"/>
  <c r="AB26" i="8"/>
  <c r="U32" i="12" s="1"/>
  <c r="AC33" i="8"/>
  <c r="V39" i="12" s="1"/>
  <c r="AB40" i="8"/>
  <c r="AC47" i="8"/>
  <c r="V63" i="12" s="1"/>
  <c r="AB52" i="8"/>
  <c r="U69" i="12" s="1"/>
  <c r="AC59" i="8"/>
  <c r="V77" i="12" s="1"/>
  <c r="AB64" i="8"/>
  <c r="U82" i="12" s="1"/>
  <c r="E82" i="12"/>
  <c r="E81" i="12"/>
  <c r="E78" i="12"/>
  <c r="E77" i="12"/>
  <c r="E76" i="12"/>
  <c r="E72" i="12"/>
  <c r="E71" i="12"/>
  <c r="E70" i="12"/>
  <c r="E69" i="12"/>
  <c r="E63" i="12"/>
  <c r="E62" i="12"/>
  <c r="E16" i="12"/>
  <c r="E43" i="12"/>
  <c r="E42" i="12"/>
  <c r="E39" i="12"/>
  <c r="E38" i="12"/>
  <c r="E37" i="12"/>
  <c r="E36" i="12"/>
  <c r="E33" i="12"/>
  <c r="E32" i="12"/>
  <c r="E29" i="12"/>
  <c r="E28" i="12"/>
  <c r="E23" i="12"/>
  <c r="E22" i="12"/>
  <c r="E21" i="12"/>
  <c r="E20" i="12"/>
  <c r="E19" i="12"/>
  <c r="E13" i="12"/>
  <c r="E12" i="12"/>
  <c r="E11" i="12"/>
  <c r="E10" i="12"/>
  <c r="E9" i="12"/>
  <c r="E8" i="12"/>
  <c r="E7" i="12"/>
  <c r="C90" i="3" l="1"/>
  <c r="G46" i="12"/>
  <c r="H46" i="12" s="1"/>
  <c r="V46" i="12"/>
  <c r="F46" i="12"/>
  <c r="U46" i="12"/>
  <c r="F68" i="12"/>
  <c r="U68" i="12"/>
  <c r="G47" i="12"/>
  <c r="V47" i="12"/>
  <c r="F47" i="12"/>
  <c r="U47" i="12"/>
  <c r="G68" i="12"/>
  <c r="V68" i="12"/>
  <c r="G64" i="12"/>
  <c r="G61" i="12"/>
  <c r="F64" i="12"/>
  <c r="G48" i="12"/>
  <c r="F48" i="12"/>
  <c r="F61" i="12"/>
  <c r="U7" i="12"/>
  <c r="F7" i="12"/>
  <c r="C83" i="3"/>
  <c r="C89" i="8"/>
  <c r="D105" i="8"/>
  <c r="E73" i="8"/>
  <c r="C95" i="8"/>
  <c r="E84" i="8"/>
  <c r="D87" i="8"/>
  <c r="E79" i="8"/>
  <c r="C101" i="8"/>
  <c r="C72" i="8"/>
  <c r="D101" i="8"/>
  <c r="C86" i="8"/>
  <c r="D70" i="8"/>
  <c r="C84" i="8"/>
  <c r="C83" i="8"/>
  <c r="E93" i="8"/>
  <c r="E89" i="8"/>
  <c r="E109" i="8"/>
  <c r="D94" i="8"/>
  <c r="C107" i="8"/>
  <c r="D76" i="8"/>
  <c r="E97" i="8"/>
  <c r="C90" i="8"/>
  <c r="E92" i="8"/>
  <c r="D82" i="8"/>
  <c r="E103" i="8"/>
  <c r="E74" i="8"/>
  <c r="E106" i="8"/>
  <c r="E88" i="8"/>
  <c r="D86" i="8"/>
  <c r="C92" i="8"/>
  <c r="E85" i="8"/>
  <c r="D96" i="8"/>
  <c r="E76" i="8"/>
  <c r="C104" i="8"/>
  <c r="D88" i="8"/>
  <c r="D109" i="8"/>
  <c r="E99" i="8"/>
  <c r="C76" i="8"/>
  <c r="C79" i="8"/>
  <c r="D100" i="8"/>
  <c r="D95" i="8"/>
  <c r="C98" i="8"/>
  <c r="C85" i="8"/>
  <c r="D106" i="8"/>
  <c r="D77" i="8"/>
  <c r="C109" i="8"/>
  <c r="D91" i="8"/>
  <c r="E91" i="8"/>
  <c r="C100" i="8"/>
  <c r="E70" i="8"/>
  <c r="D74" i="8"/>
  <c r="C73" i="8"/>
  <c r="C105" i="8"/>
  <c r="E86" i="8"/>
  <c r="E81" i="8"/>
  <c r="C103" i="8"/>
  <c r="E100" i="8"/>
  <c r="D103" i="8"/>
  <c r="E87" i="8"/>
  <c r="D85" i="8"/>
  <c r="C80" i="8"/>
  <c r="E72" i="8"/>
  <c r="C94" i="8"/>
  <c r="C97" i="8"/>
  <c r="E77" i="8"/>
  <c r="C91" i="8"/>
  <c r="C81" i="8"/>
  <c r="E80" i="8"/>
  <c r="E75" i="8"/>
  <c r="D73" i="8"/>
  <c r="E94" i="8"/>
  <c r="D84" i="8"/>
  <c r="E105" i="8"/>
  <c r="C106" i="8"/>
  <c r="C108" i="8"/>
  <c r="D90" i="8"/>
  <c r="D93" i="8"/>
  <c r="E82" i="8"/>
  <c r="D75" i="8"/>
  <c r="E96" i="8"/>
  <c r="D102" i="8"/>
  <c r="C99" i="8"/>
  <c r="D72" i="8"/>
  <c r="D107" i="8"/>
  <c r="C102" i="8"/>
  <c r="D78" i="8"/>
  <c r="D81" i="8"/>
  <c r="E102" i="8"/>
  <c r="C87" i="8"/>
  <c r="E107" i="8"/>
  <c r="D71" i="8"/>
  <c r="E71" i="8"/>
  <c r="C93" i="8"/>
  <c r="E98" i="8"/>
  <c r="C88" i="8"/>
  <c r="C78" i="8"/>
  <c r="D99" i="8"/>
  <c r="C70" i="8"/>
  <c r="D80" i="8"/>
  <c r="C75" i="8"/>
  <c r="D89" i="8"/>
  <c r="E95" i="8"/>
  <c r="E101" i="8"/>
  <c r="E83" i="8"/>
  <c r="D97" i="8"/>
  <c r="C71" i="8"/>
  <c r="D92" i="8"/>
  <c r="D79" i="8"/>
  <c r="C82" i="8"/>
  <c r="C77" i="8"/>
  <c r="D98" i="8"/>
  <c r="D108" i="8"/>
  <c r="C96" i="8"/>
  <c r="D83" i="8"/>
  <c r="E104" i="8"/>
  <c r="E78" i="8"/>
  <c r="D104" i="8"/>
  <c r="E108" i="8"/>
  <c r="C74" i="8"/>
  <c r="E90" i="8"/>
  <c r="F82" i="12"/>
  <c r="F16" i="12"/>
  <c r="F17" i="12" s="1"/>
  <c r="U17" i="12" s="1"/>
  <c r="G71" i="12"/>
  <c r="G36" i="12"/>
  <c r="G8" i="12"/>
  <c r="F71" i="12"/>
  <c r="F36" i="12"/>
  <c r="G12" i="12"/>
  <c r="F81" i="12"/>
  <c r="F43" i="12"/>
  <c r="F76" i="12"/>
  <c r="F38" i="12"/>
  <c r="F10" i="12"/>
  <c r="F72" i="12"/>
  <c r="F37" i="12"/>
  <c r="F9" i="12"/>
  <c r="G7" i="12"/>
  <c r="G77" i="12"/>
  <c r="G39" i="12"/>
  <c r="G11" i="12"/>
  <c r="F33" i="12"/>
  <c r="F63" i="12"/>
  <c r="F23" i="12"/>
  <c r="F8" i="12"/>
  <c r="F42" i="12"/>
  <c r="G29" i="12"/>
  <c r="F78" i="12"/>
  <c r="G76" i="12"/>
  <c r="G38" i="12"/>
  <c r="G70" i="12"/>
  <c r="G33" i="12"/>
  <c r="F19" i="12"/>
  <c r="G69" i="12"/>
  <c r="G32" i="12"/>
  <c r="F70" i="12"/>
  <c r="F12" i="12"/>
  <c r="F69" i="12"/>
  <c r="F32" i="12"/>
  <c r="G10" i="12"/>
  <c r="G72" i="12"/>
  <c r="G20" i="12"/>
  <c r="F13" i="12"/>
  <c r="F28" i="12"/>
  <c r="F20" i="12"/>
  <c r="G37" i="12"/>
  <c r="F29" i="12"/>
  <c r="F62" i="12"/>
  <c r="F22" i="12"/>
  <c r="G21" i="12"/>
  <c r="F21" i="12"/>
  <c r="G42" i="12"/>
  <c r="G63" i="12"/>
  <c r="G23" i="12"/>
  <c r="G78" i="12"/>
  <c r="F77" i="12"/>
  <c r="F39" i="12"/>
  <c r="F11" i="12"/>
  <c r="G81" i="12"/>
  <c r="G43" i="12"/>
  <c r="G13" i="12"/>
  <c r="G9" i="12"/>
  <c r="G62" i="12"/>
  <c r="G22" i="12"/>
  <c r="G19" i="12"/>
  <c r="G82" i="12"/>
  <c r="G16" i="12"/>
  <c r="G17" i="12" s="1"/>
  <c r="G28" i="12"/>
  <c r="G55" i="12" l="1"/>
  <c r="V55" i="12" s="1"/>
  <c r="F55" i="12"/>
  <c r="U55" i="12" s="1"/>
  <c r="F65" i="12"/>
  <c r="F73" i="12"/>
  <c r="U73" i="12" s="1"/>
  <c r="G44" i="12"/>
  <c r="H44" i="12" s="1"/>
  <c r="G30" i="12"/>
  <c r="V30" i="12" s="1"/>
  <c r="G65" i="12"/>
  <c r="G73" i="12"/>
  <c r="V73" i="12" s="1"/>
  <c r="F79" i="12"/>
  <c r="U79" i="12" s="1"/>
  <c r="G79" i="12"/>
  <c r="V79" i="12" s="1"/>
  <c r="G83" i="12"/>
  <c r="F44" i="12"/>
  <c r="U44" i="12" s="1"/>
  <c r="G26" i="12"/>
  <c r="F26" i="12"/>
  <c r="U26" i="12" s="1"/>
  <c r="F83" i="12"/>
  <c r="U83" i="12" s="1"/>
  <c r="G34" i="12"/>
  <c r="F14" i="12"/>
  <c r="U14" i="12" s="1"/>
  <c r="F30" i="12"/>
  <c r="U30" i="12" s="1"/>
  <c r="G14" i="12"/>
  <c r="F40" i="12"/>
  <c r="U40" i="12" s="1"/>
  <c r="F34" i="12"/>
  <c r="U34" i="12" s="1"/>
  <c r="G40" i="12"/>
  <c r="V17" i="12"/>
  <c r="V65" i="12" l="1"/>
  <c r="U65" i="12"/>
  <c r="U89" i="12" s="1"/>
  <c r="V44" i="12"/>
  <c r="V26" i="12"/>
  <c r="V83" i="12"/>
  <c r="V34" i="12"/>
  <c r="V40" i="12"/>
  <c r="G86" i="12"/>
  <c r="H13" i="12" s="1"/>
  <c r="V14" i="12"/>
  <c r="F86" i="12"/>
  <c r="H76" i="12"/>
  <c r="H23" i="12"/>
  <c r="H19" i="12"/>
  <c r="H9" i="12"/>
  <c r="H12" i="12"/>
  <c r="H42" i="12"/>
  <c r="H43" i="12"/>
  <c r="H37" i="12"/>
  <c r="V89" i="12" l="1"/>
  <c r="H81" i="12"/>
  <c r="U86" i="12"/>
  <c r="H16" i="12"/>
  <c r="H70" i="12"/>
  <c r="H33" i="12"/>
  <c r="H7" i="12"/>
  <c r="H39" i="12"/>
  <c r="H8" i="12"/>
  <c r="H63" i="12"/>
  <c r="H29" i="12"/>
  <c r="H28" i="12"/>
  <c r="H36" i="12"/>
  <c r="H20" i="12"/>
  <c r="H38" i="12"/>
  <c r="H32" i="12"/>
  <c r="H10" i="12"/>
  <c r="H22" i="12"/>
  <c r="H14" i="12"/>
  <c r="H79" i="12"/>
  <c r="H71" i="12"/>
  <c r="H86" i="12"/>
  <c r="H61" i="12"/>
  <c r="H48" i="12"/>
  <c r="H47" i="12"/>
  <c r="H64" i="12"/>
  <c r="H68" i="12"/>
  <c r="H65" i="12"/>
  <c r="H73" i="12"/>
  <c r="H17" i="12"/>
  <c r="H55" i="12"/>
  <c r="H30" i="12"/>
  <c r="H40" i="12"/>
  <c r="H83" i="12"/>
  <c r="H72" i="12"/>
  <c r="H78" i="12"/>
  <c r="H62" i="12"/>
  <c r="H82" i="12"/>
  <c r="H26" i="12"/>
  <c r="H11" i="12"/>
  <c r="H21" i="12"/>
  <c r="H69" i="12"/>
  <c r="H77" i="12"/>
  <c r="H34" i="12"/>
  <c r="V86" i="12"/>
  <c r="W44" i="12" l="1"/>
  <c r="W86" i="12"/>
  <c r="W55" i="12"/>
  <c r="W17" i="12"/>
  <c r="W79" i="12"/>
  <c r="W30" i="12"/>
  <c r="W73" i="12"/>
  <c r="W65" i="12"/>
  <c r="W26" i="12"/>
  <c r="W83" i="12"/>
  <c r="W40" i="12"/>
  <c r="W34" i="12"/>
  <c r="W14" i="12"/>
  <c r="W67" i="12"/>
  <c r="W60" i="12"/>
  <c r="W59" i="12"/>
  <c r="W49" i="12"/>
  <c r="W50" i="12"/>
  <c r="W51" i="12"/>
  <c r="W52" i="12"/>
  <c r="W53" i="12"/>
  <c r="W54" i="12"/>
  <c r="W57" i="12"/>
  <c r="W58" i="12"/>
  <c r="W64" i="12"/>
  <c r="W68" i="12"/>
  <c r="W47" i="12"/>
  <c r="W61" i="12"/>
  <c r="W46" i="12"/>
  <c r="W48" i="12"/>
  <c r="W7" i="12"/>
  <c r="W19" i="12"/>
  <c r="W8" i="12"/>
  <c r="W21" i="12"/>
  <c r="W39" i="12"/>
  <c r="W23" i="12"/>
  <c r="W9" i="12"/>
  <c r="W22" i="12"/>
  <c r="W81" i="12"/>
  <c r="W82" i="12"/>
  <c r="W78" i="12"/>
  <c r="W77" i="12"/>
  <c r="W70" i="12"/>
  <c r="W71" i="12"/>
  <c r="W76" i="12"/>
  <c r="W72" i="12"/>
  <c r="W69" i="12"/>
  <c r="W63" i="12"/>
  <c r="W62" i="12"/>
  <c r="W36" i="12"/>
  <c r="W43" i="12"/>
  <c r="W11" i="12"/>
  <c r="W38" i="12"/>
  <c r="W42" i="12"/>
  <c r="W33" i="12"/>
  <c r="W37" i="12"/>
  <c r="W29" i="12"/>
  <c r="W25" i="12"/>
  <c r="W20" i="12"/>
  <c r="W28" i="12"/>
  <c r="W10" i="12"/>
  <c r="W32" i="12"/>
  <c r="W13" i="12"/>
  <c r="W16" i="12"/>
  <c r="W12" i="12"/>
  <c r="J55" i="3"/>
  <c r="J56" i="3"/>
  <c r="J57" i="3"/>
  <c r="J58" i="3"/>
  <c r="J59" i="3"/>
  <c r="J60" i="3"/>
  <c r="J61" i="3"/>
  <c r="J62" i="3"/>
  <c r="E34" i="3"/>
  <c r="E35" i="3"/>
  <c r="H36" i="3" s="1"/>
  <c r="I36" i="3" s="1"/>
  <c r="H52" i="3"/>
  <c r="I52" i="3" s="1"/>
  <c r="H53" i="3"/>
  <c r="I53" i="3" s="1"/>
  <c r="H54" i="3"/>
  <c r="I54" i="3" s="1"/>
  <c r="B34" i="3"/>
  <c r="B35" i="3"/>
  <c r="B55" i="3"/>
  <c r="B56" i="3"/>
  <c r="B57" i="3"/>
  <c r="B58" i="3"/>
  <c r="B59" i="3"/>
  <c r="B60" i="3"/>
  <c r="B61" i="3"/>
  <c r="B62" i="3"/>
  <c r="H35" i="3" l="1"/>
  <c r="I35" i="3" s="1"/>
  <c r="H60" i="3"/>
  <c r="I60" i="3" s="1"/>
  <c r="H56" i="3"/>
  <c r="I56" i="3" s="1"/>
  <c r="F35" i="3"/>
  <c r="H62" i="3"/>
  <c r="I62" i="3" s="1"/>
  <c r="H58" i="3"/>
  <c r="I58" i="3" s="1"/>
  <c r="H59" i="3"/>
  <c r="I59" i="3" s="1"/>
  <c r="H55" i="3"/>
  <c r="I55" i="3" s="1"/>
  <c r="H61" i="3"/>
  <c r="I61" i="3" s="1"/>
  <c r="H57" i="3"/>
  <c r="I57" i="3" s="1"/>
  <c r="E33" i="8" l="1"/>
  <c r="H34" i="8" s="1"/>
  <c r="I34" i="8" s="1"/>
  <c r="B33" i="8"/>
  <c r="H33" i="8" s="1"/>
  <c r="I33" i="8" s="1"/>
  <c r="F33" i="8" l="1"/>
  <c r="J33" i="3"/>
  <c r="E33" i="3"/>
  <c r="H34" i="3" s="1"/>
  <c r="I34" i="3" s="1"/>
  <c r="B33" i="3"/>
  <c r="H33" i="3" s="1"/>
  <c r="F33" i="3" l="1"/>
  <c r="F34" i="3"/>
  <c r="B28" i="8"/>
  <c r="I33" i="3"/>
  <c r="B28" i="3" l="1"/>
</calcChain>
</file>

<file path=xl/sharedStrings.xml><?xml version="1.0" encoding="utf-8"?>
<sst xmlns="http://schemas.openxmlformats.org/spreadsheetml/2006/main" count="1735" uniqueCount="202">
  <si>
    <t>[Company Name]</t>
  </si>
  <si>
    <t>[Date]</t>
  </si>
  <si>
    <t>Pareto Analysis</t>
  </si>
  <si>
    <t>#</t>
  </si>
  <si>
    <t>Cumulative%</t>
  </si>
  <si>
    <t>Causes</t>
  </si>
  <si>
    <t>Vital Few</t>
  </si>
  <si>
    <t>Useful Many</t>
  </si>
  <si>
    <t>[Brief Project Description]</t>
  </si>
  <si>
    <t>Cumulative Percentage Cutoff:</t>
  </si>
  <si>
    <t>Cut Off %</t>
  </si>
  <si>
    <t>[42]</t>
  </si>
  <si>
    <t>Insert new rows above this line</t>
  </si>
  <si>
    <t>Hours</t>
  </si>
  <si>
    <t>Count</t>
  </si>
  <si>
    <t>Category</t>
  </si>
  <si>
    <t>Subcategory</t>
  </si>
  <si>
    <t>Auxiliary Systems</t>
  </si>
  <si>
    <t>Compressed Air</t>
  </si>
  <si>
    <t>Fuel</t>
  </si>
  <si>
    <t>HVAC</t>
  </si>
  <si>
    <t>Auxiliary Generator</t>
  </si>
  <si>
    <t>Main Generator</t>
  </si>
  <si>
    <t>Main Generator Engine</t>
  </si>
  <si>
    <t>Fairleads</t>
  </si>
  <si>
    <t>(</t>
  </si>
  <si>
    <t>)</t>
  </si>
  <si>
    <t>Auxiliary Systems (Compressed Air)</t>
  </si>
  <si>
    <t>Auxiliary Systems (Fuel)</t>
  </si>
  <si>
    <t>Auxiliary Systems (HVAC)</t>
  </si>
  <si>
    <t>Combined</t>
  </si>
  <si>
    <t>Individual %</t>
  </si>
  <si>
    <t>Deck Crane</t>
  </si>
  <si>
    <t>Fire Main</t>
  </si>
  <si>
    <t>Potable Water</t>
  </si>
  <si>
    <t>Sanitary System</t>
  </si>
  <si>
    <t>Bucket</t>
  </si>
  <si>
    <t>Weld / Repair Bucket</t>
  </si>
  <si>
    <t>Crane Boom</t>
  </si>
  <si>
    <t>Crane Swing</t>
  </si>
  <si>
    <t>Deck Winch</t>
  </si>
  <si>
    <t>Electrical / Electronics</t>
  </si>
  <si>
    <t>Hull</t>
  </si>
  <si>
    <t>Main / Aux Generators</t>
  </si>
  <si>
    <t>Main Hoist</t>
  </si>
  <si>
    <t>Spud System</t>
  </si>
  <si>
    <t>Tagline</t>
  </si>
  <si>
    <t>Tugs and Scows</t>
  </si>
  <si>
    <t>Boom / Gantry Sheaves</t>
  </si>
  <si>
    <t>Boom / Gantry Structure</t>
  </si>
  <si>
    <t>Winch</t>
  </si>
  <si>
    <t>Boom Winch</t>
  </si>
  <si>
    <t>Boom Wires</t>
  </si>
  <si>
    <t>Penant Wire</t>
  </si>
  <si>
    <t>MCC / Switch Gear</t>
  </si>
  <si>
    <t>PLC</t>
  </si>
  <si>
    <t>Transformers</t>
  </si>
  <si>
    <t>Hull / House Repair</t>
  </si>
  <si>
    <t>Closer</t>
  </si>
  <si>
    <t>Closer Wire</t>
  </si>
  <si>
    <t>Holder</t>
  </si>
  <si>
    <t>Holder Wire</t>
  </si>
  <si>
    <t>Spud Sheaves</t>
  </si>
  <si>
    <t>Spud Structure</t>
  </si>
  <si>
    <t>Spud Winch</t>
  </si>
  <si>
    <t>Spud Wires</t>
  </si>
  <si>
    <t>Walking Mechanism</t>
  </si>
  <si>
    <t>Scow Repair</t>
  </si>
  <si>
    <t>Tug Repair</t>
  </si>
  <si>
    <t>Auxiliary Systems (Deck Crane)</t>
  </si>
  <si>
    <t>Auxiliary Systems (Fire Main)</t>
  </si>
  <si>
    <t>Auxiliary Systems (Potable Water)</t>
  </si>
  <si>
    <t>Auxiliary Systems (Sanitary System)</t>
  </si>
  <si>
    <t>Bucket (Weld / Repair Bucket)</t>
  </si>
  <si>
    <t>Crane Boom (Boom / Gantry Sheaves)</t>
  </si>
  <si>
    <t>Crane Boom (Boom / Gantry Structure)</t>
  </si>
  <si>
    <t>Crane Boom (Boom Winch)</t>
  </si>
  <si>
    <t>Crane Boom (Boom Wires)</t>
  </si>
  <si>
    <t>Crane Boom (Penant Wire)</t>
  </si>
  <si>
    <t>Deck Winch (Fairleads)</t>
  </si>
  <si>
    <t>Deck Winch (Winch)</t>
  </si>
  <si>
    <t>Electrical / Electronics (MCC / Switch Gear)</t>
  </si>
  <si>
    <t>Electrical / Electronics (PLC)</t>
  </si>
  <si>
    <t>Electrical / Electronics (Transformers)</t>
  </si>
  <si>
    <t>Hull (Hull / House Repair)</t>
  </si>
  <si>
    <t>Main / Aux Generators (Auxiliary Generator)</t>
  </si>
  <si>
    <t>Main / Aux Generators (Main Generator)</t>
  </si>
  <si>
    <t>Main / Aux Generators (Main Generator Engine)</t>
  </si>
  <si>
    <t>Main Hoist (Closer)</t>
  </si>
  <si>
    <t>Main Hoist (Closer Wire)</t>
  </si>
  <si>
    <t>Main Hoist (Holder)</t>
  </si>
  <si>
    <t>Main Hoist (Holder Wire)</t>
  </si>
  <si>
    <t>Spud System (Spud Sheaves)</t>
  </si>
  <si>
    <t>Spud System (Spud Structure)</t>
  </si>
  <si>
    <t>Spud System (Spud Winch)</t>
  </si>
  <si>
    <t>Spud System (Spud Wires)</t>
  </si>
  <si>
    <t>Spud System (Walking Mechanism)</t>
  </si>
  <si>
    <t>Tugs and Scows (Scow Repair)</t>
  </si>
  <si>
    <t>Tugs and Scows (Tug Repair)</t>
  </si>
  <si>
    <t>% Total</t>
  </si>
  <si>
    <t>Auxiliary System Subtotal</t>
  </si>
  <si>
    <t>Total Incidents / Delay Hours</t>
  </si>
  <si>
    <t>NEW YORK</t>
  </si>
  <si>
    <t>Date-Range Start:</t>
  </si>
  <si>
    <t>Date-Range Stop:</t>
  </si>
  <si>
    <t>Total Division</t>
  </si>
  <si>
    <t>Bucket System Subtotal</t>
  </si>
  <si>
    <t>Crane Boom System Subtotal</t>
  </si>
  <si>
    <t>Drive (motor, gearbox)</t>
  </si>
  <si>
    <t>Swing Circle (rollers)</t>
  </si>
  <si>
    <t>Crane Swing System Subtotal</t>
  </si>
  <si>
    <t>Deck WInch System Subtotal</t>
  </si>
  <si>
    <t>Navigation Lights</t>
  </si>
  <si>
    <t>Electrical / Electronics System Subtotal</t>
  </si>
  <si>
    <t>Deck Fittings (cleats)</t>
  </si>
  <si>
    <t>Hull System Subtotal</t>
  </si>
  <si>
    <t>Main / Aux Generators System Subtotal</t>
  </si>
  <si>
    <t>Main Hoist System Subtotal</t>
  </si>
  <si>
    <t>Spud System Subtotal</t>
  </si>
  <si>
    <t>Tagline Sheaves</t>
  </si>
  <si>
    <t xml:space="preserve">Tagline Winch </t>
  </si>
  <si>
    <t>Tugs and Scows System Subtotal</t>
  </si>
  <si>
    <t>New QTR data</t>
  </si>
  <si>
    <t>Previous Running Totals</t>
  </si>
  <si>
    <t>New Running Totals</t>
  </si>
  <si>
    <t>CATEGORY / SUBCATEGORY</t>
  </si>
  <si>
    <t>Crane Swing (Drive (motor, gearbox))</t>
  </si>
  <si>
    <t>Crane Swing (Swing Circle (rollers))</t>
  </si>
  <si>
    <t>Electrical / Electronics (Navigation Lights)</t>
  </si>
  <si>
    <t>Hull (Deck Fittings (cleats))</t>
  </si>
  <si>
    <t>Tagline (Tagline Sheaves)</t>
  </si>
  <si>
    <t>Tagline (Tagline Winch )</t>
  </si>
  <si>
    <t>Tagline (Tagline Motor)</t>
  </si>
  <si>
    <t>Copy new running totals to previous running totals prior to entering new quarter data</t>
  </si>
  <si>
    <t>Do not change values or positions</t>
  </si>
  <si>
    <t>Final Rank</t>
  </si>
  <si>
    <t>Copy and Paste "Values" data (&gt;0) into above</t>
  </si>
  <si>
    <t>+ this data</t>
  </si>
  <si>
    <t>Boom Structure</t>
  </si>
  <si>
    <t>Grease System (Boom/Stick)</t>
  </si>
  <si>
    <t>Stick Structure</t>
  </si>
  <si>
    <t>Grease Structure</t>
  </si>
  <si>
    <t>Cylinders</t>
  </si>
  <si>
    <t>Excavator Hydraulics</t>
  </si>
  <si>
    <t>Hoses</t>
  </si>
  <si>
    <t>Hytop Hydraulics</t>
  </si>
  <si>
    <t>Main Hoist / Main Hyd</t>
  </si>
  <si>
    <t>Excavtor Hydraulics</t>
  </si>
  <si>
    <t>Boom Assist Generator</t>
  </si>
  <si>
    <t>Emergency Generator</t>
  </si>
  <si>
    <t>Generator #1</t>
  </si>
  <si>
    <t>Generator #2</t>
  </si>
  <si>
    <t>PP1</t>
  </si>
  <si>
    <t>PP2</t>
  </si>
  <si>
    <t>Spud Hydraulics</t>
  </si>
  <si>
    <t>Tagline / Boom Assist</t>
  </si>
  <si>
    <t>A-Frame</t>
  </si>
  <si>
    <t>Sheaves</t>
  </si>
  <si>
    <t>Winch/Gear Box</t>
  </si>
  <si>
    <t>Wire</t>
  </si>
  <si>
    <t>Tagline / Boom Assist System Subtotal</t>
  </si>
  <si>
    <t>A-Frame (Wires, Winch)</t>
  </si>
  <si>
    <t>Tagline Wire</t>
  </si>
  <si>
    <t>Tagline (Tagline Wire)</t>
  </si>
  <si>
    <t>Buckets</t>
  </si>
  <si>
    <t>Main / Aux. Generators</t>
  </si>
  <si>
    <t>Walking Mechanisms (Carriage / Travel)</t>
  </si>
  <si>
    <t>Electrical/Electronics</t>
  </si>
  <si>
    <t>Tagline Winch (motor, gearbox, etc.)</t>
  </si>
  <si>
    <t>Drive (motor, gear box, etc.)</t>
  </si>
  <si>
    <t>Swing Circle (rollers, etc.)</t>
  </si>
  <si>
    <t>Heating, Ventilation, A/C</t>
  </si>
  <si>
    <t>Deck Fittings (cleats, timbers, etc.)</t>
  </si>
  <si>
    <t>Crane Swing (Drive (motor, gear box, etc.))</t>
  </si>
  <si>
    <t>Spud System (Walking Mechanisms (Carriage / Travel))</t>
  </si>
  <si>
    <t>Buckets (Weld / Repair Bucket)</t>
  </si>
  <si>
    <t>Main / Aux. Generators (Main Generator Engine)</t>
  </si>
  <si>
    <t>Main / Aux. Generators (Main Generator)</t>
  </si>
  <si>
    <t>Electrical/Electronics (PLC)</t>
  </si>
  <si>
    <t>Hull (Deck Fittings (cleats, timbers, etc.))</t>
  </si>
  <si>
    <t>Tagline (Tagline Winch (motor, gearbox, etc.))</t>
  </si>
  <si>
    <t>Electrical/Electronics (MCC / Switch Gear)</t>
  </si>
  <si>
    <t>Crane Swing (Swing Circle (rollers, etc.))</t>
  </si>
  <si>
    <t>Auxiliary Systems (Heating, Ventilation, A/C)</t>
  </si>
  <si>
    <t>Data will automatically pull from Data tab, and compute into  the Summary Tab</t>
  </si>
  <si>
    <t>Electrical/Electronics (Transformers)</t>
  </si>
  <si>
    <t>Main / Aux. Generators (Auxiliary Generator)</t>
  </si>
  <si>
    <t>Average Maintenance Spending</t>
  </si>
  <si>
    <t>Generator</t>
  </si>
  <si>
    <t>Dredge Crane</t>
  </si>
  <si>
    <t>Closing Winch</t>
  </si>
  <si>
    <t>Spud</t>
  </si>
  <si>
    <t>Electrical</t>
  </si>
  <si>
    <t>Swing Circle</t>
  </si>
  <si>
    <t>Hrs</t>
  </si>
  <si>
    <t>Hours (EDL)</t>
  </si>
  <si>
    <t>Avg Cost in $ (x1000)</t>
  </si>
  <si>
    <t>GL-53</t>
  </si>
  <si>
    <t>Total delay hours vs avg annual maint spending</t>
  </si>
  <si>
    <t xml:space="preserve">jan '15-mar '20 </t>
  </si>
  <si>
    <t>annual maint</t>
  </si>
  <si>
    <t>Total Delay Hours (Oct '18 - Sep '20) vs AVG Annual Maintenance Spending (Jan '15 - Mar '20)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</si>
</sst>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mm/dd/yy;@"/>
    <numFmt numFmtId="166" formatCode="0.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2"/>
      <color indexed="23"/>
      <name val="Arial"/>
      <family val="2"/>
    </font>
    <font>
      <sz val="10"/>
      <color indexed="55"/>
      <name val="Arial"/>
      <family val="2"/>
    </font>
    <font>
      <sz val="8"/>
      <color indexed="23"/>
      <name val="Arial"/>
      <family val="2"/>
    </font>
    <font>
      <b/>
      <sz val="18"/>
      <color theme="4"/>
      <name val="Arial"/>
      <family val="2"/>
    </font>
    <font>
      <b/>
      <sz val="12"/>
      <color theme="4"/>
      <name val="Arial"/>
      <family val="2"/>
    </font>
    <font>
      <b/>
      <u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1" fillId="0" borderId="0"/>
  </cellStyleXfs>
  <cellXfs count="247">
    <xf numFmtId="0" fontId="0" fillId="0" borderId="0" xfId="0"/>
    <xf numFmtId="0" fontId="4" fillId="2" borderId="0" xfId="0" applyFont="1" applyFill="1" applyProtection="1"/>
    <xf numFmtId="0" fontId="4" fillId="0" borderId="0" xfId="0" applyFont="1" applyProtection="1"/>
    <xf numFmtId="0" fontId="5" fillId="0" borderId="0" xfId="0" applyFont="1" applyAlignment="1" applyProtection="1">
      <alignment horizontal="left"/>
    </xf>
    <xf numFmtId="0" fontId="4" fillId="0" borderId="0" xfId="0" applyFont="1" applyAlignment="1" applyProtection="1"/>
    <xf numFmtId="0" fontId="5" fillId="0" borderId="0" xfId="0" applyFont="1" applyProtection="1">
      <protection locked="0"/>
    </xf>
    <xf numFmtId="0" fontId="6" fillId="0" borderId="0" xfId="0" applyFont="1" applyFill="1" applyAlignment="1" applyProtection="1">
      <alignment horizontal="right"/>
    </xf>
    <xf numFmtId="0" fontId="4" fillId="0" borderId="0" xfId="0" applyFont="1" applyAlignment="1" applyProtection="1">
      <alignment horizontal="left"/>
    </xf>
    <xf numFmtId="0" fontId="3" fillId="0" borderId="0" xfId="1" applyAlignment="1" applyProtection="1"/>
    <xf numFmtId="0" fontId="4" fillId="0" borderId="0" xfId="0" applyFont="1" applyProtection="1"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7" fillId="0" borderId="0" xfId="0" applyFont="1" applyProtection="1"/>
    <xf numFmtId="0" fontId="4" fillId="0" borderId="0" xfId="0" applyFont="1" applyAlignment="1" applyProtection="1">
      <alignment horizontal="right"/>
    </xf>
    <xf numFmtId="0" fontId="10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164" fontId="4" fillId="0" borderId="0" xfId="2" applyNumberFormat="1" applyFont="1" applyAlignment="1" applyProtection="1">
      <alignment horizontal="center"/>
    </xf>
    <xf numFmtId="0" fontId="11" fillId="0" borderId="2" xfId="2" applyNumberFormat="1" applyFont="1" applyBorder="1" applyAlignment="1" applyProtection="1">
      <alignment horizontal="center"/>
    </xf>
    <xf numFmtId="0" fontId="11" fillId="0" borderId="0" xfId="2" applyNumberFormat="1" applyFont="1" applyBorder="1" applyAlignment="1" applyProtection="1">
      <alignment horizontal="center"/>
    </xf>
    <xf numFmtId="9" fontId="11" fillId="0" borderId="3" xfId="0" applyNumberFormat="1" applyFont="1" applyBorder="1" applyAlignment="1" applyProtection="1">
      <alignment horizontal="center"/>
    </xf>
    <xf numFmtId="0" fontId="12" fillId="2" borderId="0" xfId="0" applyFont="1" applyFill="1" applyProtection="1"/>
    <xf numFmtId="0" fontId="4" fillId="2" borderId="0" xfId="0" applyFon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0" fillId="0" borderId="0" xfId="0" applyBorder="1"/>
    <xf numFmtId="0" fontId="8" fillId="3" borderId="1" xfId="0" applyFont="1" applyFill="1" applyBorder="1" applyAlignment="1" applyProtection="1">
      <alignment horizontal="center"/>
    </xf>
    <xf numFmtId="0" fontId="9" fillId="3" borderId="1" xfId="0" applyFont="1" applyFill="1" applyBorder="1" applyProtection="1">
      <protection locked="0"/>
    </xf>
    <xf numFmtId="0" fontId="9" fillId="3" borderId="1" xfId="0" applyFont="1" applyFill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left" vertical="center"/>
    </xf>
    <xf numFmtId="0" fontId="14" fillId="0" borderId="0" xfId="0" applyFont="1" applyAlignment="1" applyProtection="1">
      <alignment horizontal="left"/>
    </xf>
    <xf numFmtId="9" fontId="4" fillId="4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/>
    <xf numFmtId="0" fontId="2" fillId="4" borderId="0" xfId="0" applyFont="1" applyFill="1" applyProtection="1">
      <protection locked="0"/>
    </xf>
    <xf numFmtId="0" fontId="2" fillId="0" borderId="0" xfId="0" applyFont="1" applyProtection="1"/>
    <xf numFmtId="1" fontId="4" fillId="4" borderId="0" xfId="0" applyNumberFormat="1" applyFont="1" applyFill="1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8" fillId="3" borderId="1" xfId="0" applyFont="1" applyFill="1" applyBorder="1" applyAlignment="1" applyProtection="1">
      <alignment horizontal="center" vertical="center"/>
    </xf>
    <xf numFmtId="164" fontId="4" fillId="0" borderId="0" xfId="0" applyNumberFormat="1" applyFont="1" applyAlignment="1" applyProtection="1">
      <alignment horizontal="center" vertical="center"/>
    </xf>
    <xf numFmtId="164" fontId="4" fillId="0" borderId="0" xfId="0" applyNumberFormat="1" applyFont="1" applyAlignment="1" applyProtection="1">
      <alignment horizontal="center"/>
    </xf>
    <xf numFmtId="0" fontId="0" fillId="2" borderId="0" xfId="0" applyFill="1" applyAlignment="1" applyProtection="1">
      <alignment horizontal="center" vertical="center"/>
    </xf>
    <xf numFmtId="0" fontId="6" fillId="0" borderId="1" xfId="0" applyFont="1" applyBorder="1" applyProtection="1"/>
    <xf numFmtId="0" fontId="2" fillId="0" borderId="0" xfId="0" applyFont="1" applyBorder="1" applyProtection="1"/>
    <xf numFmtId="0" fontId="2" fillId="0" borderId="1" xfId="0" applyFont="1" applyBorder="1" applyProtection="1"/>
    <xf numFmtId="164" fontId="0" fillId="0" borderId="0" xfId="2" applyNumberFormat="1" applyFont="1" applyBorder="1"/>
    <xf numFmtId="0" fontId="6" fillId="0" borderId="0" xfId="0" applyFont="1" applyBorder="1" applyProtection="1"/>
    <xf numFmtId="164" fontId="6" fillId="0" borderId="0" xfId="2" applyNumberFormat="1" applyFont="1" applyBorder="1" applyProtection="1"/>
    <xf numFmtId="164" fontId="2" fillId="0" borderId="0" xfId="2" applyNumberFormat="1" applyFont="1" applyBorder="1" applyProtection="1"/>
    <xf numFmtId="0" fontId="2" fillId="0" borderId="0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6" fillId="0" borderId="11" xfId="0" applyFont="1" applyBorder="1" applyProtection="1"/>
    <xf numFmtId="0" fontId="6" fillId="0" borderId="12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164" fontId="6" fillId="0" borderId="14" xfId="2" applyNumberFormat="1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4" borderId="6" xfId="0" applyFont="1" applyFill="1" applyBorder="1" applyAlignment="1" applyProtection="1">
      <alignment horizontal="center" vertical="center"/>
    </xf>
    <xf numFmtId="0" fontId="2" fillId="6" borderId="0" xfId="0" applyFont="1" applyFill="1" applyBorder="1" applyProtection="1"/>
    <xf numFmtId="0" fontId="2" fillId="6" borderId="6" xfId="0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0" fillId="6" borderId="0" xfId="0" applyFill="1" applyBorder="1"/>
    <xf numFmtId="0" fontId="6" fillId="0" borderId="0" xfId="0" applyFont="1" applyBorder="1" applyAlignment="1">
      <alignment horizontal="right"/>
    </xf>
    <xf numFmtId="0" fontId="0" fillId="8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9" borderId="0" xfId="0" applyFont="1" applyFill="1" applyAlignment="1" applyProtection="1">
      <alignment horizontal="left" vertical="center"/>
    </xf>
    <xf numFmtId="0" fontId="2" fillId="9" borderId="0" xfId="0" applyFont="1" applyFill="1" applyAlignment="1" applyProtection="1">
      <alignment horizontal="center"/>
    </xf>
    <xf numFmtId="0" fontId="15" fillId="4" borderId="7" xfId="0" applyFont="1" applyFill="1" applyBorder="1" applyAlignment="1" applyProtection="1">
      <alignment horizontal="center" vertical="center"/>
    </xf>
    <xf numFmtId="0" fontId="15" fillId="4" borderId="0" xfId="0" applyFont="1" applyFill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0" fontId="6" fillId="9" borderId="1" xfId="0" applyFont="1" applyFill="1" applyBorder="1" applyProtection="1"/>
    <xf numFmtId="0" fontId="6" fillId="9" borderId="16" xfId="0" applyFont="1" applyFill="1" applyBorder="1" applyAlignment="1" applyProtection="1">
      <alignment horizontal="center"/>
    </xf>
    <xf numFmtId="0" fontId="6" fillId="9" borderId="5" xfId="0" applyFont="1" applyFill="1" applyBorder="1" applyAlignment="1" applyProtection="1">
      <alignment horizontal="center"/>
    </xf>
    <xf numFmtId="0" fontId="2" fillId="9" borderId="0" xfId="0" applyFont="1" applyFill="1" applyProtection="1"/>
    <xf numFmtId="0" fontId="2" fillId="10" borderId="7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1" borderId="7" xfId="0" applyFont="1" applyFill="1" applyBorder="1" applyAlignment="1" applyProtection="1">
      <alignment horizontal="center" vertical="center"/>
    </xf>
    <xf numFmtId="0" fontId="2" fillId="11" borderId="0" xfId="0" applyFont="1" applyFill="1" applyBorder="1" applyAlignment="1" applyProtection="1">
      <alignment horizontal="center" vertical="center"/>
    </xf>
    <xf numFmtId="0" fontId="2" fillId="12" borderId="7" xfId="0" applyFont="1" applyFill="1" applyBorder="1" applyAlignment="1" applyProtection="1">
      <alignment horizontal="center" vertical="center"/>
    </xf>
    <xf numFmtId="0" fontId="2" fillId="9" borderId="0" xfId="0" applyFont="1" applyFill="1" applyBorder="1" applyProtection="1"/>
    <xf numFmtId="0" fontId="2" fillId="9" borderId="17" xfId="0" applyFont="1" applyFill="1" applyBorder="1" applyAlignment="1" applyProtection="1">
      <alignment horizontal="center"/>
    </xf>
    <xf numFmtId="0" fontId="2" fillId="9" borderId="1" xfId="0" applyFont="1" applyFill="1" applyBorder="1" applyAlignment="1" applyProtection="1">
      <alignment horizontal="left" vertical="center"/>
    </xf>
    <xf numFmtId="0" fontId="2" fillId="9" borderId="1" xfId="0" applyFont="1" applyFill="1" applyBorder="1" applyProtection="1"/>
    <xf numFmtId="0" fontId="2" fillId="10" borderId="5" xfId="0" applyFont="1" applyFill="1" applyBorder="1" applyAlignment="1" applyProtection="1">
      <alignment horizontal="center" vertical="center"/>
    </xf>
    <xf numFmtId="0" fontId="2" fillId="10" borderId="1" xfId="0" applyFont="1" applyFill="1" applyBorder="1" applyAlignment="1" applyProtection="1">
      <alignment horizontal="center" vertical="center"/>
    </xf>
    <xf numFmtId="0" fontId="2" fillId="11" borderId="5" xfId="0" applyFont="1" applyFill="1" applyBorder="1" applyAlignment="1" applyProtection="1">
      <alignment horizontal="center" vertical="center"/>
    </xf>
    <xf numFmtId="0" fontId="2" fillId="11" borderId="1" xfId="0" applyFont="1" applyFill="1" applyBorder="1" applyAlignment="1" applyProtection="1">
      <alignment horizontal="center" vertical="center"/>
    </xf>
    <xf numFmtId="0" fontId="2" fillId="9" borderId="18" xfId="0" applyFont="1" applyFill="1" applyBorder="1" applyAlignment="1" applyProtection="1">
      <alignment horizontal="left" vertical="center"/>
    </xf>
    <xf numFmtId="9" fontId="11" fillId="0" borderId="0" xfId="0" applyNumberFormat="1" applyFont="1" applyBorder="1" applyAlignment="1" applyProtection="1">
      <alignment horizontal="center"/>
    </xf>
    <xf numFmtId="0" fontId="0" fillId="6" borderId="6" xfId="0" applyFill="1" applyBorder="1"/>
    <xf numFmtId="0" fontId="2" fillId="13" borderId="0" xfId="0" applyFont="1" applyFill="1" applyProtection="1">
      <protection locked="0"/>
    </xf>
    <xf numFmtId="0" fontId="4" fillId="14" borderId="0" xfId="0" applyFont="1" applyFill="1" applyProtection="1"/>
    <xf numFmtId="164" fontId="2" fillId="0" borderId="7" xfId="2" applyNumberFormat="1" applyFont="1" applyBorder="1" applyAlignment="1" applyProtection="1">
      <alignment horizontal="center" vertical="center"/>
    </xf>
    <xf numFmtId="164" fontId="2" fillId="5" borderId="7" xfId="2" applyNumberFormat="1" applyFont="1" applyFill="1" applyBorder="1" applyAlignment="1" applyProtection="1">
      <alignment horizontal="center" vertical="center"/>
    </xf>
    <xf numFmtId="164" fontId="2" fillId="6" borderId="7" xfId="2" applyNumberFormat="1" applyFont="1" applyFill="1" applyBorder="1" applyAlignment="1" applyProtection="1">
      <alignment horizontal="center" vertical="center"/>
    </xf>
    <xf numFmtId="164" fontId="2" fillId="0" borderId="5" xfId="2" applyNumberFormat="1" applyFont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15" borderId="0" xfId="0" applyFont="1" applyFill="1" applyBorder="1" applyAlignment="1" applyProtection="1">
      <alignment horizontal="center" vertical="center"/>
    </xf>
    <xf numFmtId="0" fontId="2" fillId="15" borderId="0" xfId="0" applyFont="1" applyFill="1" applyBorder="1" applyAlignment="1" applyProtection="1">
      <alignment horizontal="center" vertical="center" wrapText="1"/>
    </xf>
    <xf numFmtId="0" fontId="2" fillId="12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</xf>
    <xf numFmtId="0" fontId="2" fillId="5" borderId="0" xfId="0" applyFont="1" applyFill="1" applyAlignment="1" applyProtection="1">
      <alignment horizontal="center"/>
    </xf>
    <xf numFmtId="0" fontId="2" fillId="15" borderId="0" xfId="0" applyFont="1" applyFill="1" applyProtection="1"/>
    <xf numFmtId="0" fontId="2" fillId="15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2" fillId="0" borderId="0" xfId="0" applyFont="1" applyAlignment="1" applyProtection="1">
      <alignment horizontal="center"/>
    </xf>
    <xf numFmtId="0" fontId="2" fillId="8" borderId="0" xfId="0" applyFont="1" applyFill="1" applyProtection="1"/>
    <xf numFmtId="0" fontId="2" fillId="12" borderId="0" xfId="0" applyFont="1" applyFill="1" applyProtection="1"/>
    <xf numFmtId="0" fontId="2" fillId="12" borderId="0" xfId="0" applyFont="1" applyFill="1" applyAlignment="1" applyProtection="1">
      <alignment horizontal="center"/>
    </xf>
    <xf numFmtId="0" fontId="2" fillId="11" borderId="4" xfId="0" applyFont="1" applyFill="1" applyBorder="1" applyAlignment="1" applyProtection="1">
      <alignment horizontal="center" vertical="center"/>
    </xf>
    <xf numFmtId="0" fontId="2" fillId="12" borderId="5" xfId="0" applyFont="1" applyFill="1" applyBorder="1" applyAlignment="1" applyProtection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2" fillId="0" borderId="0" xfId="0" applyFont="1" applyFill="1" applyBorder="1" applyProtection="1"/>
    <xf numFmtId="0" fontId="2" fillId="9" borderId="6" xfId="0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0" fontId="2" fillId="9" borderId="0" xfId="0" applyFont="1" applyFill="1" applyBorder="1" applyAlignment="1" applyProtection="1">
      <alignment horizontal="left" vertical="center"/>
    </xf>
    <xf numFmtId="0" fontId="4" fillId="9" borderId="0" xfId="0" applyFont="1" applyFill="1" applyProtection="1"/>
    <xf numFmtId="0" fontId="4" fillId="9" borderId="17" xfId="0" applyFont="1" applyFill="1" applyBorder="1" applyAlignment="1" applyProtection="1">
      <alignment horizontal="center" vertical="center"/>
    </xf>
    <xf numFmtId="0" fontId="4" fillId="9" borderId="7" xfId="0" applyFont="1" applyFill="1" applyBorder="1" applyProtection="1"/>
    <xf numFmtId="0" fontId="4" fillId="0" borderId="0" xfId="0" applyFont="1" applyFill="1" applyProtection="1"/>
    <xf numFmtId="0" fontId="2" fillId="0" borderId="7" xfId="0" applyFont="1" applyBorder="1" applyProtection="1"/>
    <xf numFmtId="164" fontId="0" fillId="0" borderId="7" xfId="2" applyNumberFormat="1" applyFont="1" applyBorder="1"/>
    <xf numFmtId="164" fontId="0" fillId="0" borderId="5" xfId="2" applyNumberFormat="1" applyFont="1" applyBorder="1"/>
    <xf numFmtId="0" fontId="2" fillId="0" borderId="5" xfId="0" applyFont="1" applyBorder="1" applyProtection="1"/>
    <xf numFmtId="0" fontId="4" fillId="14" borderId="0" xfId="0" applyFont="1" applyFill="1" applyAlignment="1" applyProtection="1">
      <alignment horizontal="center" vertical="center"/>
    </xf>
    <xf numFmtId="2" fontId="4" fillId="13" borderId="0" xfId="0" applyNumberFormat="1" applyFont="1" applyFill="1" applyAlignment="1" applyProtection="1">
      <alignment horizontal="center"/>
      <protection locked="0"/>
    </xf>
    <xf numFmtId="2" fontId="4" fillId="4" borderId="0" xfId="0" applyNumberFormat="1" applyFont="1" applyFill="1" applyAlignment="1" applyProtection="1">
      <alignment horizontal="center"/>
      <protection locked="0"/>
    </xf>
    <xf numFmtId="0" fontId="2" fillId="13" borderId="0" xfId="0" applyFont="1" applyFill="1" applyAlignment="1" applyProtection="1">
      <alignment horizontal="center"/>
      <protection locked="0"/>
    </xf>
    <xf numFmtId="0" fontId="2" fillId="13" borderId="0" xfId="0" applyFont="1" applyFill="1" applyAlignment="1" applyProtection="1">
      <alignment horizontal="left"/>
      <protection locked="0"/>
    </xf>
    <xf numFmtId="0" fontId="2" fillId="4" borderId="0" xfId="0" applyFont="1" applyFill="1" applyAlignment="1" applyProtection="1">
      <alignment horizontal="left"/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2" fillId="0" borderId="0" xfId="0" applyFont="1" applyFill="1" applyAlignment="1" applyProtection="1">
      <alignment horizontal="center"/>
    </xf>
    <xf numFmtId="0" fontId="2" fillId="9" borderId="22" xfId="0" applyFont="1" applyFill="1" applyBorder="1" applyProtection="1"/>
    <xf numFmtId="0" fontId="2" fillId="10" borderId="21" xfId="0" applyFont="1" applyFill="1" applyBorder="1" applyAlignment="1" applyProtection="1">
      <alignment horizontal="center" vertical="center"/>
    </xf>
    <xf numFmtId="0" fontId="2" fillId="0" borderId="22" xfId="0" applyFont="1" applyBorder="1" applyAlignment="1" applyProtection="1">
      <alignment horizontal="center" vertical="center"/>
    </xf>
    <xf numFmtId="164" fontId="2" fillId="0" borderId="0" xfId="2" applyNumberFormat="1" applyFont="1" applyBorder="1" applyAlignment="1" applyProtection="1">
      <alignment horizontal="center" vertical="center"/>
    </xf>
    <xf numFmtId="164" fontId="2" fillId="0" borderId="1" xfId="2" applyNumberFormat="1" applyFont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9" borderId="0" xfId="0" applyFont="1" applyFill="1" applyAlignment="1" applyProtection="1">
      <alignment horizontal="center"/>
    </xf>
    <xf numFmtId="0" fontId="2" fillId="15" borderId="0" xfId="0" applyFont="1" applyFill="1" applyBorder="1" applyAlignment="1" applyProtection="1">
      <alignment horizontal="center" vertical="center" wrapText="1"/>
    </xf>
    <xf numFmtId="0" fontId="2" fillId="12" borderId="0" xfId="0" applyFont="1" applyFill="1" applyAlignment="1" applyProtection="1">
      <alignment horizontal="center"/>
    </xf>
    <xf numFmtId="0" fontId="2" fillId="0" borderId="0" xfId="0" applyFont="1"/>
    <xf numFmtId="1" fontId="0" fillId="0" borderId="0" xfId="0" applyNumberFormat="1"/>
    <xf numFmtId="165" fontId="0" fillId="0" borderId="0" xfId="0" applyNumberFormat="1" applyAlignment="1">
      <alignment horizontal="center" vertical="center"/>
    </xf>
    <xf numFmtId="2" fontId="2" fillId="10" borderId="0" xfId="0" applyNumberFormat="1" applyFont="1" applyFill="1" applyBorder="1" applyAlignment="1" applyProtection="1">
      <alignment horizontal="center" vertical="center"/>
    </xf>
    <xf numFmtId="2" fontId="2" fillId="10" borderId="1" xfId="0" applyNumberFormat="1" applyFont="1" applyFill="1" applyBorder="1" applyAlignment="1" applyProtection="1">
      <alignment horizontal="center" vertical="center"/>
    </xf>
    <xf numFmtId="2" fontId="2" fillId="10" borderId="22" xfId="0" applyNumberFormat="1" applyFont="1" applyFill="1" applyBorder="1" applyAlignment="1" applyProtection="1">
      <alignment horizontal="center" vertical="center"/>
    </xf>
    <xf numFmtId="2" fontId="6" fillId="9" borderId="5" xfId="0" applyNumberFormat="1" applyFont="1" applyFill="1" applyBorder="1" applyAlignment="1" applyProtection="1">
      <alignment horizontal="center"/>
    </xf>
    <xf numFmtId="2" fontId="2" fillId="9" borderId="17" xfId="0" applyNumberFormat="1" applyFont="1" applyFill="1" applyBorder="1" applyAlignment="1" applyProtection="1">
      <alignment horizontal="center"/>
    </xf>
    <xf numFmtId="2" fontId="4" fillId="0" borderId="0" xfId="0" applyNumberFormat="1" applyFont="1" applyProtection="1"/>
    <xf numFmtId="2" fontId="2" fillId="12" borderId="7" xfId="0" applyNumberFormat="1" applyFont="1" applyFill="1" applyBorder="1" applyAlignment="1" applyProtection="1">
      <alignment horizontal="center" vertical="center"/>
    </xf>
    <xf numFmtId="2" fontId="2" fillId="12" borderId="5" xfId="0" applyNumberFormat="1" applyFont="1" applyFill="1" applyBorder="1" applyAlignment="1" applyProtection="1">
      <alignment horizontal="center" vertical="center"/>
    </xf>
    <xf numFmtId="2" fontId="2" fillId="15" borderId="0" xfId="0" applyNumberFormat="1" applyFont="1" applyFill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2" fontId="4" fillId="0" borderId="0" xfId="0" applyNumberFormat="1" applyFont="1" applyAlignment="1" applyProtection="1">
      <alignment vertical="center"/>
    </xf>
    <xf numFmtId="2" fontId="2" fillId="15" borderId="0" xfId="0" applyNumberFormat="1" applyFont="1" applyFill="1" applyProtection="1"/>
    <xf numFmtId="2" fontId="2" fillId="0" borderId="0" xfId="0" applyNumberFormat="1" applyFont="1" applyFill="1" applyProtection="1"/>
    <xf numFmtId="2" fontId="2" fillId="0" borderId="0" xfId="0" applyNumberFormat="1" applyFont="1" applyBorder="1" applyAlignment="1" applyProtection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/>
    </xf>
    <xf numFmtId="2" fontId="2" fillId="4" borderId="0" xfId="0" applyNumberFormat="1" applyFont="1" applyFill="1" applyBorder="1" applyAlignment="1" applyProtection="1">
      <alignment horizontal="center" vertical="center"/>
    </xf>
    <xf numFmtId="2" fontId="2" fillId="6" borderId="0" xfId="0" applyNumberFormat="1" applyFont="1" applyFill="1" applyBorder="1" applyAlignment="1" applyProtection="1">
      <alignment horizontal="center" vertical="center"/>
    </xf>
    <xf numFmtId="2" fontId="2" fillId="7" borderId="0" xfId="0" applyNumberFormat="1" applyFont="1" applyFill="1" applyBorder="1" applyAlignment="1" applyProtection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6" borderId="0" xfId="0" applyNumberFormat="1" applyFill="1" applyBorder="1"/>
    <xf numFmtId="2" fontId="0" fillId="8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4" fillId="0" borderId="0" xfId="0" applyNumberFormat="1" applyFont="1" applyAlignment="1" applyProtection="1">
      <alignment horizontal="center" vertical="center"/>
    </xf>
    <xf numFmtId="0" fontId="2" fillId="0" borderId="0" xfId="0" applyFont="1" applyFill="1" applyBorder="1"/>
    <xf numFmtId="1" fontId="0" fillId="0" borderId="0" xfId="0" applyNumberFormat="1" applyFill="1" applyBorder="1"/>
    <xf numFmtId="0" fontId="2" fillId="16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15" borderId="1" xfId="0" applyFont="1" applyFill="1" applyBorder="1" applyProtection="1"/>
    <xf numFmtId="0" fontId="2" fillId="15" borderId="1" xfId="0" applyFont="1" applyFill="1" applyBorder="1" applyAlignment="1" applyProtection="1">
      <alignment horizontal="center"/>
    </xf>
    <xf numFmtId="2" fontId="2" fillId="15" borderId="1" xfId="0" applyNumberFormat="1" applyFont="1" applyFill="1" applyBorder="1" applyAlignment="1" applyProtection="1">
      <alignment horizontal="center"/>
    </xf>
    <xf numFmtId="0" fontId="2" fillId="15" borderId="0" xfId="0" applyFont="1" applyFill="1" applyBorder="1" applyProtection="1"/>
    <xf numFmtId="0" fontId="2" fillId="15" borderId="0" xfId="0" applyFont="1" applyFill="1" applyBorder="1" applyAlignment="1" applyProtection="1">
      <alignment horizontal="center"/>
    </xf>
    <xf numFmtId="2" fontId="2" fillId="15" borderId="0" xfId="0" applyNumberFormat="1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 vertical="center"/>
    </xf>
    <xf numFmtId="0" fontId="4" fillId="14" borderId="1" xfId="0" applyFont="1" applyFill="1" applyBorder="1" applyProtection="1"/>
    <xf numFmtId="0" fontId="4" fillId="14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/>
    </xf>
    <xf numFmtId="2" fontId="2" fillId="15" borderId="1" xfId="0" applyNumberFormat="1" applyFont="1" applyFill="1" applyBorder="1" applyProtection="1"/>
    <xf numFmtId="0" fontId="2" fillId="0" borderId="0" xfId="0" applyFont="1" applyBorder="1" applyAlignment="1" applyProtection="1">
      <alignment horizontal="center"/>
    </xf>
    <xf numFmtId="2" fontId="4" fillId="9" borderId="0" xfId="0" applyNumberFormat="1" applyFont="1" applyFill="1" applyAlignment="1" applyProtection="1">
      <alignment horizontal="center" vertical="center"/>
    </xf>
    <xf numFmtId="0" fontId="4" fillId="9" borderId="0" xfId="0" applyFont="1" applyFill="1" applyAlignment="1" applyProtection="1">
      <alignment horizontal="center" vertical="center"/>
    </xf>
    <xf numFmtId="0" fontId="2" fillId="7" borderId="0" xfId="0" applyFont="1" applyFill="1" applyAlignment="1" applyProtection="1">
      <alignment horizontal="left"/>
      <protection locked="0"/>
    </xf>
    <xf numFmtId="0" fontId="2" fillId="7" borderId="0" xfId="0" applyFont="1" applyFill="1" applyAlignment="1" applyProtection="1">
      <alignment horizontal="center"/>
      <protection locked="0"/>
    </xf>
    <xf numFmtId="0" fontId="2" fillId="7" borderId="0" xfId="0" applyFont="1" applyFill="1" applyProtection="1">
      <protection locked="0"/>
    </xf>
    <xf numFmtId="2" fontId="4" fillId="7" borderId="0" xfId="0" applyNumberFormat="1" applyFont="1" applyFill="1" applyAlignment="1" applyProtection="1">
      <alignment horizontal="center"/>
      <protection locked="0"/>
    </xf>
    <xf numFmtId="0" fontId="0" fillId="14" borderId="0" xfId="0" applyFill="1" applyBorder="1" applyAlignment="1">
      <alignment horizontal="center"/>
    </xf>
    <xf numFmtId="1" fontId="0" fillId="14" borderId="0" xfId="0" applyNumberFormat="1" applyFill="1" applyBorder="1" applyAlignment="1">
      <alignment horizontal="center"/>
    </xf>
    <xf numFmtId="1" fontId="0" fillId="16" borderId="0" xfId="0" applyNumberFormat="1" applyFill="1" applyBorder="1"/>
    <xf numFmtId="0" fontId="0" fillId="16" borderId="0" xfId="0" applyFill="1" applyBorder="1"/>
    <xf numFmtId="0" fontId="0" fillId="0" borderId="0" xfId="0" applyNumberFormat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2" fontId="4" fillId="0" borderId="0" xfId="0" applyNumberFormat="1" applyFont="1" applyFill="1" applyAlignment="1" applyProtection="1">
      <alignment horizontal="center" vertical="center"/>
    </xf>
    <xf numFmtId="0" fontId="2" fillId="9" borderId="0" xfId="0" applyFont="1" applyFill="1" applyAlignment="1" applyProtection="1">
      <alignment horizontal="left"/>
      <protection locked="0"/>
    </xf>
    <xf numFmtId="0" fontId="2" fillId="9" borderId="0" xfId="0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</xf>
    <xf numFmtId="164" fontId="4" fillId="0" borderId="0" xfId="2" applyNumberFormat="1" applyFont="1" applyFill="1" applyAlignment="1" applyProtection="1">
      <alignment horizont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2" fillId="9" borderId="0" xfId="0" applyFont="1" applyFill="1" applyProtection="1">
      <protection locked="0"/>
    </xf>
    <xf numFmtId="2" fontId="4" fillId="9" borderId="0" xfId="0" applyNumberFormat="1" applyFont="1" applyFill="1" applyAlignment="1" applyProtection="1">
      <alignment horizontal="center"/>
      <protection locked="0"/>
    </xf>
    <xf numFmtId="164" fontId="4" fillId="0" borderId="0" xfId="0" applyNumberFormat="1" applyFont="1" applyFill="1" applyAlignment="1" applyProtection="1">
      <alignment horizontal="center"/>
    </xf>
    <xf numFmtId="0" fontId="11" fillId="0" borderId="2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9" fontId="11" fillId="0" borderId="3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right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Border="1" applyAlignment="1">
      <alignment horizontal="center"/>
    </xf>
    <xf numFmtId="0" fontId="6" fillId="7" borderId="19" xfId="0" applyFont="1" applyFill="1" applyBorder="1" applyAlignment="1" applyProtection="1">
      <alignment horizontal="right"/>
    </xf>
    <xf numFmtId="0" fontId="6" fillId="7" borderId="7" xfId="0" applyFont="1" applyFill="1" applyBorder="1" applyAlignment="1" applyProtection="1">
      <alignment horizontal="right"/>
    </xf>
    <xf numFmtId="0" fontId="6" fillId="7" borderId="0" xfId="0" applyFont="1" applyFill="1" applyBorder="1" applyAlignment="1" applyProtection="1">
      <alignment horizontal="right"/>
    </xf>
    <xf numFmtId="0" fontId="6" fillId="7" borderId="20" xfId="0" applyFont="1" applyFill="1" applyBorder="1" applyAlignment="1" applyProtection="1">
      <alignment horizontal="right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9" borderId="0" xfId="0" applyFont="1" applyFill="1" applyAlignment="1" applyProtection="1">
      <alignment horizontal="center"/>
    </xf>
    <xf numFmtId="0" fontId="2" fillId="15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12" borderId="0" xfId="0" applyFont="1" applyFill="1" applyAlignment="1" applyProtection="1">
      <alignment horizontal="center"/>
    </xf>
    <xf numFmtId="0" fontId="2" fillId="15" borderId="0" xfId="0" applyFont="1" applyFill="1" applyAlignment="1" applyProtection="1">
      <alignment horizontal="center" vertical="center"/>
    </xf>
    <xf numFmtId="0" fontId="2" fillId="15" borderId="0" xfId="0" applyFont="1" applyFill="1" applyAlignment="1" applyProtection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Percent" xfId="2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Annual Maint Spending (Jan '15 - Mar '20)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Costs!$C$34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Costs!$D$33:$I$33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Costs!$D$34:$I$34</c:f>
              <c:numCache>
                <c:formatCode>0.0</c:formatCode>
                <c:ptCount val="6"/>
                <c:pt idx="0">
                  <c:v>87.948999999999998</c:v>
                </c:pt>
                <c:pt idx="1">
                  <c:v>178.62400000000002</c:v>
                </c:pt>
                <c:pt idx="2">
                  <c:v>50.12</c:v>
                </c:pt>
                <c:pt idx="3">
                  <c:v>119.18300000000001</c:v>
                </c:pt>
                <c:pt idx="4">
                  <c:v>53.023000000000003</c:v>
                </c:pt>
                <c:pt idx="5">
                  <c:v>68.593000000000004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311-AFB0-93E325E231F2}"/>
            </c:ext>
          </c:extLst>
        </c:ser>
        <c:ser>
          <c:idx val="1"/>
          <c:order val="1"/>
          <c:tx>
            <c:strRef>
              <c:f>Costs!$C$35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Costs!$D$33:$I$33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Costs!$D$35:$I$35</c:f>
              <c:numCache>
                <c:formatCode>0.0</c:formatCode>
                <c:ptCount val="6"/>
                <c:pt idx="0">
                  <c:v>189.876</c:v>
                </c:pt>
                <c:pt idx="1">
                  <c:v>173.38900000000001</c:v>
                </c:pt>
                <c:pt idx="2">
                  <c:v>23.331</c:v>
                </c:pt>
                <c:pt idx="3">
                  <c:v>293.005</c:v>
                </c:pt>
                <c:pt idx="4">
                  <c:v>38.137999999999998</c:v>
                </c:pt>
                <c:pt idx="5">
                  <c:v>150.74799999999999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311-AFB0-93E325E231F2}"/>
            </c:ext>
          </c:extLst>
        </c:ser>
        <c:ser>
          <c:idx val="2"/>
          <c:order val="2"/>
          <c:tx>
            <c:strRef>
              <c:f>Costs!$C$36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Costs!$D$33:$I$33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Costs!$D$36:$I$36</c:f>
              <c:numCache>
                <c:formatCode>0.0</c:formatCode>
                <c:ptCount val="6"/>
                <c:pt idx="0">
                  <c:v>167.05</c:v>
                </c:pt>
                <c:pt idx="1">
                  <c:v>176.52600000000001</c:v>
                </c:pt>
                <c:pt idx="2">
                  <c:v>113.327</c:v>
                </c:pt>
                <c:pt idx="3">
                  <c:v>98.503</c:v>
                </c:pt>
                <c:pt idx="4">
                  <c:v>52.703000000000003</c:v>
                </c:pt>
                <c:pt idx="5">
                  <c:v>29.98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311-AFB0-93E325E231F2}"/>
            </c:ext>
          </c:extLst>
        </c:ser>
        <c:ser>
          <c:idx val="3"/>
          <c:order val="3"/>
          <c:tx>
            <c:strRef>
              <c:f>Costs!$C$37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Costs!$D$33:$I$33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Costs!$D$37:$I$37</c:f>
              <c:numCache>
                <c:formatCode>0.0</c:formatCode>
                <c:ptCount val="6"/>
                <c:pt idx="0">
                  <c:v>0</c:v>
                </c:pt>
                <c:pt idx="1">
                  <c:v>89.135000000000005</c:v>
                </c:pt>
                <c:pt idx="2">
                  <c:v>2.1930000000000001</c:v>
                </c:pt>
                <c:pt idx="3">
                  <c:v>0.41899999999999998</c:v>
                </c:pt>
                <c:pt idx="4">
                  <c:v>23.373000000000001</c:v>
                </c:pt>
                <c:pt idx="5">
                  <c:v>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311-AFB0-93E325E23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880448"/>
        <c:axId val="373882088"/>
        <c:axId val="0"/>
      </c:bar3DChart>
      <c:catAx>
        <c:axId val="3738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82088"/>
        <c:crosses val="autoZero"/>
        <c:auto val="1"/>
        <c:lblAlgn val="ctr"/>
        <c:lblOffset val="100"/>
        <c:noMultiLvlLbl val="0"/>
      </c:catAx>
      <c:valAx>
        <c:axId val="3738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Costs in $ (x1000)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DREDGE-55</a:t>
            </a:r>
          </a:p>
        </c:rich>
      </c:tx>
      <c:layout>
        <c:manualLayout>
          <c:xMode val="edge"/>
          <c:yMode val="edge"/>
          <c:x val="0.40827272863966479"/>
          <c:y val="8.3725597458212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'55 count'!$H$32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'55 count'!$C$33:$C$63</c:f>
              <c:strCache>
                <c:ptCount val="30"/>
                <c:pt idx="0">
                  <c:v>Tugs and Scows (Scow Repair)</c:v>
                </c:pt>
                <c:pt idx="1">
                  <c:v>Buckets (Weld / Repair Bucket)</c:v>
                </c:pt>
                <c:pt idx="2">
                  <c:v>Main / Aux. Generators (Main Generator Engine)</c:v>
                </c:pt>
                <c:pt idx="3">
                  <c:v>Main Hoist (Closer Wire)</c:v>
                </c:pt>
                <c:pt idx="4">
                  <c:v>Main Hoist (Holder)</c:v>
                </c:pt>
                <c:pt idx="5">
                  <c:v>Main Hoist (Holder Wire)</c:v>
                </c:pt>
                <c:pt idx="6">
                  <c:v>Electrical/Electronics (PLC)</c:v>
                </c:pt>
                <c:pt idx="7">
                  <c:v>Tagline (Tagline Wire)</c:v>
                </c:pt>
                <c:pt idx="8">
                  <c:v>Deck Winch (Winch)</c:v>
                </c:pt>
                <c:pt idx="9">
                  <c:v>Spud System (Walking Mechanisms (Carriage / Travel))</c:v>
                </c:pt>
                <c:pt idx="10">
                  <c:v>Spud System (Spud Winch)</c:v>
                </c:pt>
                <c:pt idx="11">
                  <c:v>Main / Aux. Generators (Main Generator)</c:v>
                </c:pt>
                <c:pt idx="12">
                  <c:v>Crane Swing (Drive (motor, gear box, etc.))</c:v>
                </c:pt>
                <c:pt idx="13">
                  <c:v>Auxiliary Systems (Compressed Air)</c:v>
                </c:pt>
                <c:pt idx="14">
                  <c:v>Deck Winch (Fairleads)</c:v>
                </c:pt>
                <c:pt idx="15">
                  <c:v>Electrical/Electronics (MCC / Switch Gear)</c:v>
                </c:pt>
                <c:pt idx="16">
                  <c:v>Tagline (Tagline Winch (motor, gearbox, etc.))</c:v>
                </c:pt>
                <c:pt idx="17">
                  <c:v>Main Hoist (Closer)</c:v>
                </c:pt>
                <c:pt idx="18">
                  <c:v>Hull (Hull / House Repair)</c:v>
                </c:pt>
                <c:pt idx="19">
                  <c:v>Crane Boom (Boom Winch)</c:v>
                </c:pt>
                <c:pt idx="20">
                  <c:v>Spud System (Spud Wires)</c:v>
                </c:pt>
                <c:pt idx="21">
                  <c:v>Tagline (Tagline Sheaves)</c:v>
                </c:pt>
                <c:pt idx="22">
                  <c:v>Spud System (Spud Sheaves)</c:v>
                </c:pt>
                <c:pt idx="23">
                  <c:v>Auxiliary Systems (Deck Crane)</c:v>
                </c:pt>
                <c:pt idx="24">
                  <c:v>Tugs and Scows (Tug Repair)</c:v>
                </c:pt>
                <c:pt idx="25">
                  <c:v>Crane Swing (Swing Circle (rollers, etc.))</c:v>
                </c:pt>
                <c:pt idx="26">
                  <c:v>Crane Boom (Boom / Gantry Sheaves)</c:v>
                </c:pt>
                <c:pt idx="27">
                  <c:v>Electrical/Electronics (Transformers)</c:v>
                </c:pt>
                <c:pt idx="28">
                  <c:v>Spud System (Spud Structure)</c:v>
                </c:pt>
                <c:pt idx="29">
                  <c:v>Hull (Deck Fittings (cleats, timbers, etc.))</c:v>
                </c:pt>
              </c:strCache>
            </c:strRef>
          </c:cat>
          <c:val>
            <c:numRef>
              <c:f>'55 count'!$H$33:$H$63</c:f>
              <c:numCache>
                <c:formatCode>General</c:formatCode>
                <c:ptCount val="31"/>
                <c:pt idx="0">
                  <c:v>110</c:v>
                </c:pt>
                <c:pt idx="1">
                  <c:v>79</c:v>
                </c:pt>
                <c:pt idx="2">
                  <c:v>57</c:v>
                </c:pt>
                <c:pt idx="3">
                  <c:v>55</c:v>
                </c:pt>
                <c:pt idx="4">
                  <c:v>49</c:v>
                </c:pt>
                <c:pt idx="5">
                  <c:v>36</c:v>
                </c:pt>
                <c:pt idx="6">
                  <c:v>33</c:v>
                </c:pt>
                <c:pt idx="7">
                  <c:v>30</c:v>
                </c:pt>
                <c:pt idx="8">
                  <c:v>25</c:v>
                </c:pt>
                <c:pt idx="9">
                  <c:v>22</c:v>
                </c:pt>
                <c:pt idx="10">
                  <c:v>22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E-4AB0-92E2-F217BE7BBB8D}"/>
            </c:ext>
          </c:extLst>
        </c:ser>
        <c:ser>
          <c:idx val="0"/>
          <c:order val="1"/>
          <c:tx>
            <c:strRef>
              <c:f>'55 count'!$I$32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'55 count'!$C$33:$C$63</c:f>
              <c:strCache>
                <c:ptCount val="30"/>
                <c:pt idx="0">
                  <c:v>Tugs and Scows (Scow Repair)</c:v>
                </c:pt>
                <c:pt idx="1">
                  <c:v>Buckets (Weld / Repair Bucket)</c:v>
                </c:pt>
                <c:pt idx="2">
                  <c:v>Main / Aux. Generators (Main Generator Engine)</c:v>
                </c:pt>
                <c:pt idx="3">
                  <c:v>Main Hoist (Closer Wire)</c:v>
                </c:pt>
                <c:pt idx="4">
                  <c:v>Main Hoist (Holder)</c:v>
                </c:pt>
                <c:pt idx="5">
                  <c:v>Main Hoist (Holder Wire)</c:v>
                </c:pt>
                <c:pt idx="6">
                  <c:v>Electrical/Electronics (PLC)</c:v>
                </c:pt>
                <c:pt idx="7">
                  <c:v>Tagline (Tagline Wire)</c:v>
                </c:pt>
                <c:pt idx="8">
                  <c:v>Deck Winch (Winch)</c:v>
                </c:pt>
                <c:pt idx="9">
                  <c:v>Spud System (Walking Mechanisms (Carriage / Travel))</c:v>
                </c:pt>
                <c:pt idx="10">
                  <c:v>Spud System (Spud Winch)</c:v>
                </c:pt>
                <c:pt idx="11">
                  <c:v>Main / Aux. Generators (Main Generator)</c:v>
                </c:pt>
                <c:pt idx="12">
                  <c:v>Crane Swing (Drive (motor, gear box, etc.))</c:v>
                </c:pt>
                <c:pt idx="13">
                  <c:v>Auxiliary Systems (Compressed Air)</c:v>
                </c:pt>
                <c:pt idx="14">
                  <c:v>Deck Winch (Fairleads)</c:v>
                </c:pt>
                <c:pt idx="15">
                  <c:v>Electrical/Electronics (MCC / Switch Gear)</c:v>
                </c:pt>
                <c:pt idx="16">
                  <c:v>Tagline (Tagline Winch (motor, gearbox, etc.))</c:v>
                </c:pt>
                <c:pt idx="17">
                  <c:v>Main Hoist (Closer)</c:v>
                </c:pt>
                <c:pt idx="18">
                  <c:v>Hull (Hull / House Repair)</c:v>
                </c:pt>
                <c:pt idx="19">
                  <c:v>Crane Boom (Boom Winch)</c:v>
                </c:pt>
                <c:pt idx="20">
                  <c:v>Spud System (Spud Wires)</c:v>
                </c:pt>
                <c:pt idx="21">
                  <c:v>Tagline (Tagline Sheaves)</c:v>
                </c:pt>
                <c:pt idx="22">
                  <c:v>Spud System (Spud Sheaves)</c:v>
                </c:pt>
                <c:pt idx="23">
                  <c:v>Auxiliary Systems (Deck Crane)</c:v>
                </c:pt>
                <c:pt idx="24">
                  <c:v>Tugs and Scows (Tug Repair)</c:v>
                </c:pt>
                <c:pt idx="25">
                  <c:v>Crane Swing (Swing Circle (rollers, etc.))</c:v>
                </c:pt>
                <c:pt idx="26">
                  <c:v>Crane Boom (Boom / Gantry Sheaves)</c:v>
                </c:pt>
                <c:pt idx="27">
                  <c:v>Electrical/Electronics (Transformers)</c:v>
                </c:pt>
                <c:pt idx="28">
                  <c:v>Spud System (Spud Structure)</c:v>
                </c:pt>
                <c:pt idx="29">
                  <c:v>Hull (Deck Fittings (cleats, timbers, etc.))</c:v>
                </c:pt>
              </c:strCache>
            </c:strRef>
          </c:cat>
          <c:val>
            <c:numRef>
              <c:f>'55 count'!$I$33:$I$63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14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E-4AB0-92E2-F217BE7BBB8D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'55 count'!$C$33:$C$63</c:f>
              <c:strCache>
                <c:ptCount val="30"/>
                <c:pt idx="0">
                  <c:v>Tugs and Scows (Scow Repair)</c:v>
                </c:pt>
                <c:pt idx="1">
                  <c:v>Buckets (Weld / Repair Bucket)</c:v>
                </c:pt>
                <c:pt idx="2">
                  <c:v>Main / Aux. Generators (Main Generator Engine)</c:v>
                </c:pt>
                <c:pt idx="3">
                  <c:v>Main Hoist (Closer Wire)</c:v>
                </c:pt>
                <c:pt idx="4">
                  <c:v>Main Hoist (Holder)</c:v>
                </c:pt>
                <c:pt idx="5">
                  <c:v>Main Hoist (Holder Wire)</c:v>
                </c:pt>
                <c:pt idx="6">
                  <c:v>Electrical/Electronics (PLC)</c:v>
                </c:pt>
                <c:pt idx="7">
                  <c:v>Tagline (Tagline Wire)</c:v>
                </c:pt>
                <c:pt idx="8">
                  <c:v>Deck Winch (Winch)</c:v>
                </c:pt>
                <c:pt idx="9">
                  <c:v>Spud System (Walking Mechanisms (Carriage / Travel))</c:v>
                </c:pt>
                <c:pt idx="10">
                  <c:v>Spud System (Spud Winch)</c:v>
                </c:pt>
                <c:pt idx="11">
                  <c:v>Main / Aux. Generators (Main Generator)</c:v>
                </c:pt>
                <c:pt idx="12">
                  <c:v>Crane Swing (Drive (motor, gear box, etc.))</c:v>
                </c:pt>
                <c:pt idx="13">
                  <c:v>Auxiliary Systems (Compressed Air)</c:v>
                </c:pt>
                <c:pt idx="14">
                  <c:v>Deck Winch (Fairleads)</c:v>
                </c:pt>
                <c:pt idx="15">
                  <c:v>Electrical/Electronics (MCC / Switch Gear)</c:v>
                </c:pt>
                <c:pt idx="16">
                  <c:v>Tagline (Tagline Winch (motor, gearbox, etc.))</c:v>
                </c:pt>
                <c:pt idx="17">
                  <c:v>Main Hoist (Closer)</c:v>
                </c:pt>
                <c:pt idx="18">
                  <c:v>Hull (Hull / House Repair)</c:v>
                </c:pt>
                <c:pt idx="19">
                  <c:v>Crane Boom (Boom Winch)</c:v>
                </c:pt>
                <c:pt idx="20">
                  <c:v>Spud System (Spud Wires)</c:v>
                </c:pt>
                <c:pt idx="21">
                  <c:v>Tagline (Tagline Sheaves)</c:v>
                </c:pt>
                <c:pt idx="22">
                  <c:v>Spud System (Spud Sheaves)</c:v>
                </c:pt>
                <c:pt idx="23">
                  <c:v>Auxiliary Systems (Deck Crane)</c:v>
                </c:pt>
                <c:pt idx="24">
                  <c:v>Tugs and Scows (Tug Repair)</c:v>
                </c:pt>
                <c:pt idx="25">
                  <c:v>Crane Swing (Swing Circle (rollers, etc.))</c:v>
                </c:pt>
                <c:pt idx="26">
                  <c:v>Crane Boom (Boom / Gantry Sheaves)</c:v>
                </c:pt>
                <c:pt idx="27">
                  <c:v>Electrical/Electronics (Transformers)</c:v>
                </c:pt>
                <c:pt idx="28">
                  <c:v>Spud System (Spud Structure)</c:v>
                </c:pt>
                <c:pt idx="29">
                  <c:v>Hull (Deck Fittings (cleats, timbers, etc.))</c:v>
                </c:pt>
              </c:strCache>
            </c:strRef>
          </c:cat>
          <c:val>
            <c:numRef>
              <c:f>'55 count'!$C$33:$C$63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E-4AB0-92E2-F217BE7BB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06005632"/>
        <c:axId val="106007552"/>
      </c:barChart>
      <c:lineChart>
        <c:grouping val="standard"/>
        <c:varyColors val="0"/>
        <c:ser>
          <c:idx val="2"/>
          <c:order val="2"/>
          <c:tx>
            <c:strRef>
              <c:f>'55 count'!$E$32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'55 count'!$E$33:$E$63</c:f>
              <c:numCache>
                <c:formatCode>0.0%</c:formatCode>
                <c:ptCount val="31"/>
                <c:pt idx="0">
                  <c:v>0.16793893129770993</c:v>
                </c:pt>
                <c:pt idx="1">
                  <c:v>0.28854961832061071</c:v>
                </c:pt>
                <c:pt idx="2">
                  <c:v>0.37557251908396949</c:v>
                </c:pt>
                <c:pt idx="3">
                  <c:v>0.45954198473282443</c:v>
                </c:pt>
                <c:pt idx="4">
                  <c:v>0.53435114503816794</c:v>
                </c:pt>
                <c:pt idx="5">
                  <c:v>0.58931297709923669</c:v>
                </c:pt>
                <c:pt idx="6">
                  <c:v>0.63969465648854962</c:v>
                </c:pt>
                <c:pt idx="7">
                  <c:v>0.68549618320610683</c:v>
                </c:pt>
                <c:pt idx="8">
                  <c:v>0.72366412213740461</c:v>
                </c:pt>
                <c:pt idx="9">
                  <c:v>0.75725190839694656</c:v>
                </c:pt>
                <c:pt idx="10">
                  <c:v>0.79083969465648851</c:v>
                </c:pt>
                <c:pt idx="11">
                  <c:v>0.81832061068702289</c:v>
                </c:pt>
                <c:pt idx="12">
                  <c:v>0.84580152671755726</c:v>
                </c:pt>
                <c:pt idx="13">
                  <c:v>0.86717557251908395</c:v>
                </c:pt>
                <c:pt idx="14">
                  <c:v>0.88396946564885492</c:v>
                </c:pt>
                <c:pt idx="15">
                  <c:v>0.89923664122137403</c:v>
                </c:pt>
                <c:pt idx="16">
                  <c:v>0.9114503816793893</c:v>
                </c:pt>
                <c:pt idx="17">
                  <c:v>0.92366412213740456</c:v>
                </c:pt>
                <c:pt idx="18">
                  <c:v>0.93435114503816796</c:v>
                </c:pt>
                <c:pt idx="19">
                  <c:v>0.94503816793893125</c:v>
                </c:pt>
                <c:pt idx="20">
                  <c:v>0.95419847328244278</c:v>
                </c:pt>
                <c:pt idx="21">
                  <c:v>0.96183206106870234</c:v>
                </c:pt>
                <c:pt idx="22">
                  <c:v>0.96946564885496178</c:v>
                </c:pt>
                <c:pt idx="23">
                  <c:v>0.97709923664122134</c:v>
                </c:pt>
                <c:pt idx="24">
                  <c:v>0.98320610687022902</c:v>
                </c:pt>
                <c:pt idx="25">
                  <c:v>0.9893129770992366</c:v>
                </c:pt>
                <c:pt idx="26">
                  <c:v>0.99389312977099231</c:v>
                </c:pt>
                <c:pt idx="27">
                  <c:v>0.99694656488549616</c:v>
                </c:pt>
                <c:pt idx="28">
                  <c:v>0.99847328244274813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E-4AB0-92E2-F217BE7BBB8D}"/>
            </c:ext>
          </c:extLst>
        </c:ser>
        <c:ser>
          <c:idx val="3"/>
          <c:order val="3"/>
          <c:tx>
            <c:strRef>
              <c:f>'55 count'!$J$32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'55 count'!$J$33:$J$63</c:f>
              <c:numCache>
                <c:formatCode>0%</c:formatCode>
                <c:ptCount val="3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E-4AB0-92E2-F217BE7BB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22016"/>
        <c:axId val="106023552"/>
      </c:lineChart>
      <c:catAx>
        <c:axId val="106005632"/>
        <c:scaling>
          <c:orientation val="minMax"/>
        </c:scaling>
        <c:delete val="0"/>
        <c:axPos val="b"/>
        <c:title>
          <c:tx>
            <c:strRef>
              <c:f>'55 count'!$C$32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6007552"/>
        <c:crosses val="autoZero"/>
        <c:auto val="1"/>
        <c:lblAlgn val="ctr"/>
        <c:lblOffset val="100"/>
        <c:tickMarkSkip val="1"/>
        <c:noMultiLvlLbl val="0"/>
      </c:catAx>
      <c:valAx>
        <c:axId val="106007552"/>
        <c:scaling>
          <c:orientation val="minMax"/>
        </c:scaling>
        <c:delete val="0"/>
        <c:axPos val="l"/>
        <c:title>
          <c:tx>
            <c:strRef>
              <c:f>'55 count'!$D$32</c:f>
              <c:strCache>
                <c:ptCount val="1"/>
                <c:pt idx="0">
                  <c:v>Count</c:v>
                </c:pt>
              </c:strCache>
            </c:strRef>
          </c:tx>
          <c:layout>
            <c:manualLayout>
              <c:xMode val="edge"/>
              <c:yMode val="edge"/>
              <c:x val="3.9801370309296952E-2"/>
              <c:y val="0.3764038126813095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05632"/>
        <c:crosses val="autoZero"/>
        <c:crossBetween val="between"/>
      </c:valAx>
      <c:catAx>
        <c:axId val="10602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6023552"/>
        <c:crosses val="autoZero"/>
        <c:auto val="1"/>
        <c:lblAlgn val="ctr"/>
        <c:lblOffset val="100"/>
        <c:noMultiLvlLbl val="0"/>
      </c:catAx>
      <c:valAx>
        <c:axId val="106023552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3253866420739417"/>
              <c:y val="0.3495943638624119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22016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DREDGE-55</a:t>
            </a:r>
          </a:p>
        </c:rich>
      </c:tx>
      <c:layout>
        <c:manualLayout>
          <c:xMode val="edge"/>
          <c:yMode val="edge"/>
          <c:x val="0.39872470395469489"/>
          <c:y val="1.35501713620304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'55 hrs'!$H$32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'55 hrs'!$C$33:$C$63</c:f>
              <c:strCache>
                <c:ptCount val="30"/>
                <c:pt idx="0">
                  <c:v>Main / Aux. Generators (Main Generator Engine)</c:v>
                </c:pt>
                <c:pt idx="1">
                  <c:v>Tagline (Tagline Winch (motor, gearbox, etc.))</c:v>
                </c:pt>
                <c:pt idx="2">
                  <c:v>Tugs and Scows (Scow Repair)</c:v>
                </c:pt>
                <c:pt idx="3">
                  <c:v>Buckets (Weld / Repair Bucket)</c:v>
                </c:pt>
                <c:pt idx="4">
                  <c:v>Spud System (Spud Winch)</c:v>
                </c:pt>
                <c:pt idx="5">
                  <c:v>Main Hoist (Holder)</c:v>
                </c:pt>
                <c:pt idx="6">
                  <c:v>Main Hoist (Closer Wire)</c:v>
                </c:pt>
                <c:pt idx="7">
                  <c:v>Main / Aux. Generators (Main Generator)</c:v>
                </c:pt>
                <c:pt idx="8">
                  <c:v>Main Hoist (Closer)</c:v>
                </c:pt>
                <c:pt idx="9">
                  <c:v>Electrical/Electronics (PLC)</c:v>
                </c:pt>
                <c:pt idx="10">
                  <c:v>Spud System (Walking Mechanisms (Carriage / Travel))</c:v>
                </c:pt>
                <c:pt idx="11">
                  <c:v>Main Hoist (Holder Wire)</c:v>
                </c:pt>
                <c:pt idx="12">
                  <c:v>Hull (Hull / House Repair)</c:v>
                </c:pt>
                <c:pt idx="13">
                  <c:v>Tagline (Tagline Wire)</c:v>
                </c:pt>
                <c:pt idx="14">
                  <c:v>Crane Boom (Boom Winch)</c:v>
                </c:pt>
                <c:pt idx="15">
                  <c:v>Tugs and Scows (Tug Repair)</c:v>
                </c:pt>
                <c:pt idx="16">
                  <c:v>Electrical/Electronics (MCC / Switch Gear)</c:v>
                </c:pt>
                <c:pt idx="17">
                  <c:v>Crane Swing (Drive (motor, gear box, etc.))</c:v>
                </c:pt>
                <c:pt idx="18">
                  <c:v>Deck Winch (Winch)</c:v>
                </c:pt>
                <c:pt idx="19">
                  <c:v>Auxiliary Systems (Compressed Air)</c:v>
                </c:pt>
                <c:pt idx="20">
                  <c:v>Spud System (Spud Sheaves)</c:v>
                </c:pt>
                <c:pt idx="21">
                  <c:v>Deck Winch (Fairleads)</c:v>
                </c:pt>
                <c:pt idx="22">
                  <c:v>Spud System (Spud Wires)</c:v>
                </c:pt>
                <c:pt idx="23">
                  <c:v>Auxiliary Systems (Deck Crane)</c:v>
                </c:pt>
                <c:pt idx="24">
                  <c:v>Electrical/Electronics (Transformers)</c:v>
                </c:pt>
                <c:pt idx="25">
                  <c:v>Crane Boom (Boom / Gantry Sheaves)</c:v>
                </c:pt>
                <c:pt idx="26">
                  <c:v>Hull (Deck Fittings (cleats, timbers, etc.))</c:v>
                </c:pt>
                <c:pt idx="27">
                  <c:v>Tagline (Tagline Sheaves)</c:v>
                </c:pt>
                <c:pt idx="28">
                  <c:v>Crane Swing (Swing Circle (rollers, etc.))</c:v>
                </c:pt>
                <c:pt idx="29">
                  <c:v>Spud System (Spud Structure)</c:v>
                </c:pt>
              </c:strCache>
            </c:strRef>
          </c:cat>
          <c:val>
            <c:numRef>
              <c:f>'55 hrs'!$H$33:$H$63</c:f>
              <c:numCache>
                <c:formatCode>General</c:formatCode>
                <c:ptCount val="31"/>
                <c:pt idx="0">
                  <c:v>1182.08</c:v>
                </c:pt>
                <c:pt idx="1">
                  <c:v>211.26</c:v>
                </c:pt>
                <c:pt idx="2">
                  <c:v>204.60027777779845</c:v>
                </c:pt>
                <c:pt idx="3">
                  <c:v>143.89000000000001</c:v>
                </c:pt>
                <c:pt idx="4">
                  <c:v>112.77027777774026</c:v>
                </c:pt>
                <c:pt idx="5">
                  <c:v>104.00999999999999</c:v>
                </c:pt>
                <c:pt idx="6">
                  <c:v>96.69</c:v>
                </c:pt>
                <c:pt idx="7">
                  <c:v>86.33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A-49B6-9CE9-5C416DB69E22}"/>
            </c:ext>
          </c:extLst>
        </c:ser>
        <c:ser>
          <c:idx val="0"/>
          <c:order val="1"/>
          <c:tx>
            <c:strRef>
              <c:f>'55 hrs'!$I$32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'55 hrs'!$C$33:$C$63</c:f>
              <c:strCache>
                <c:ptCount val="30"/>
                <c:pt idx="0">
                  <c:v>Main / Aux. Generators (Main Generator Engine)</c:v>
                </c:pt>
                <c:pt idx="1">
                  <c:v>Tagline (Tagline Winch (motor, gearbox, etc.))</c:v>
                </c:pt>
                <c:pt idx="2">
                  <c:v>Tugs and Scows (Scow Repair)</c:v>
                </c:pt>
                <c:pt idx="3">
                  <c:v>Buckets (Weld / Repair Bucket)</c:v>
                </c:pt>
                <c:pt idx="4">
                  <c:v>Spud System (Spud Winch)</c:v>
                </c:pt>
                <c:pt idx="5">
                  <c:v>Main Hoist (Holder)</c:v>
                </c:pt>
                <c:pt idx="6">
                  <c:v>Main Hoist (Closer Wire)</c:v>
                </c:pt>
                <c:pt idx="7">
                  <c:v>Main / Aux. Generators (Main Generator)</c:v>
                </c:pt>
                <c:pt idx="8">
                  <c:v>Main Hoist (Closer)</c:v>
                </c:pt>
                <c:pt idx="9">
                  <c:v>Electrical/Electronics (PLC)</c:v>
                </c:pt>
                <c:pt idx="10">
                  <c:v>Spud System (Walking Mechanisms (Carriage / Travel))</c:v>
                </c:pt>
                <c:pt idx="11">
                  <c:v>Main Hoist (Holder Wire)</c:v>
                </c:pt>
                <c:pt idx="12">
                  <c:v>Hull (Hull / House Repair)</c:v>
                </c:pt>
                <c:pt idx="13">
                  <c:v>Tagline (Tagline Wire)</c:v>
                </c:pt>
                <c:pt idx="14">
                  <c:v>Crane Boom (Boom Winch)</c:v>
                </c:pt>
                <c:pt idx="15">
                  <c:v>Tugs and Scows (Tug Repair)</c:v>
                </c:pt>
                <c:pt idx="16">
                  <c:v>Electrical/Electronics (MCC / Switch Gear)</c:v>
                </c:pt>
                <c:pt idx="17">
                  <c:v>Crane Swing (Drive (motor, gear box, etc.))</c:v>
                </c:pt>
                <c:pt idx="18">
                  <c:v>Deck Winch (Winch)</c:v>
                </c:pt>
                <c:pt idx="19">
                  <c:v>Auxiliary Systems (Compressed Air)</c:v>
                </c:pt>
                <c:pt idx="20">
                  <c:v>Spud System (Spud Sheaves)</c:v>
                </c:pt>
                <c:pt idx="21">
                  <c:v>Deck Winch (Fairleads)</c:v>
                </c:pt>
                <c:pt idx="22">
                  <c:v>Spud System (Spud Wires)</c:v>
                </c:pt>
                <c:pt idx="23">
                  <c:v>Auxiliary Systems (Deck Crane)</c:v>
                </c:pt>
                <c:pt idx="24">
                  <c:v>Electrical/Electronics (Transformers)</c:v>
                </c:pt>
                <c:pt idx="25">
                  <c:v>Crane Boom (Boom / Gantry Sheaves)</c:v>
                </c:pt>
                <c:pt idx="26">
                  <c:v>Hull (Deck Fittings (cleats, timbers, etc.))</c:v>
                </c:pt>
                <c:pt idx="27">
                  <c:v>Tagline (Tagline Sheaves)</c:v>
                </c:pt>
                <c:pt idx="28">
                  <c:v>Crane Swing (Swing Circle (rollers, etc.))</c:v>
                </c:pt>
                <c:pt idx="29">
                  <c:v>Spud System (Spud Structure)</c:v>
                </c:pt>
              </c:strCache>
            </c:strRef>
          </c:cat>
          <c:val>
            <c:numRef>
              <c:f>'55 hrs'!$I$33:$I$63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81.38</c:v>
                </c:pt>
                <c:pt idx="9">
                  <c:v>71.22</c:v>
                </c:pt>
                <c:pt idx="10">
                  <c:v>62.84</c:v>
                </c:pt>
                <c:pt idx="11">
                  <c:v>54.8</c:v>
                </c:pt>
                <c:pt idx="12">
                  <c:v>41.3</c:v>
                </c:pt>
                <c:pt idx="13">
                  <c:v>35.940000000000005</c:v>
                </c:pt>
                <c:pt idx="14">
                  <c:v>34.583611111098435</c:v>
                </c:pt>
                <c:pt idx="15">
                  <c:v>31.17</c:v>
                </c:pt>
                <c:pt idx="16">
                  <c:v>24.76</c:v>
                </c:pt>
                <c:pt idx="17">
                  <c:v>17.43</c:v>
                </c:pt>
                <c:pt idx="18">
                  <c:v>11.728888888864311</c:v>
                </c:pt>
                <c:pt idx="19">
                  <c:v>7.6400000000000006</c:v>
                </c:pt>
                <c:pt idx="20">
                  <c:v>5.53</c:v>
                </c:pt>
                <c:pt idx="21">
                  <c:v>5.4447222222131675</c:v>
                </c:pt>
                <c:pt idx="22">
                  <c:v>5.35</c:v>
                </c:pt>
                <c:pt idx="23">
                  <c:v>2.81</c:v>
                </c:pt>
                <c:pt idx="24">
                  <c:v>2.41</c:v>
                </c:pt>
                <c:pt idx="25">
                  <c:v>1.73</c:v>
                </c:pt>
                <c:pt idx="26">
                  <c:v>0.78</c:v>
                </c:pt>
                <c:pt idx="27">
                  <c:v>0.60000000000000009</c:v>
                </c:pt>
                <c:pt idx="28">
                  <c:v>0.57000000000000006</c:v>
                </c:pt>
                <c:pt idx="2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A-49B6-9CE9-5C416DB69E22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'55 hrs'!$C$33:$C$63</c:f>
              <c:strCache>
                <c:ptCount val="30"/>
                <c:pt idx="0">
                  <c:v>Main / Aux. Generators (Main Generator Engine)</c:v>
                </c:pt>
                <c:pt idx="1">
                  <c:v>Tagline (Tagline Winch (motor, gearbox, etc.))</c:v>
                </c:pt>
                <c:pt idx="2">
                  <c:v>Tugs and Scows (Scow Repair)</c:v>
                </c:pt>
                <c:pt idx="3">
                  <c:v>Buckets (Weld / Repair Bucket)</c:v>
                </c:pt>
                <c:pt idx="4">
                  <c:v>Spud System (Spud Winch)</c:v>
                </c:pt>
                <c:pt idx="5">
                  <c:v>Main Hoist (Holder)</c:v>
                </c:pt>
                <c:pt idx="6">
                  <c:v>Main Hoist (Closer Wire)</c:v>
                </c:pt>
                <c:pt idx="7">
                  <c:v>Main / Aux. Generators (Main Generator)</c:v>
                </c:pt>
                <c:pt idx="8">
                  <c:v>Main Hoist (Closer)</c:v>
                </c:pt>
                <c:pt idx="9">
                  <c:v>Electrical/Electronics (PLC)</c:v>
                </c:pt>
                <c:pt idx="10">
                  <c:v>Spud System (Walking Mechanisms (Carriage / Travel))</c:v>
                </c:pt>
                <c:pt idx="11">
                  <c:v>Main Hoist (Holder Wire)</c:v>
                </c:pt>
                <c:pt idx="12">
                  <c:v>Hull (Hull / House Repair)</c:v>
                </c:pt>
                <c:pt idx="13">
                  <c:v>Tagline (Tagline Wire)</c:v>
                </c:pt>
                <c:pt idx="14">
                  <c:v>Crane Boom (Boom Winch)</c:v>
                </c:pt>
                <c:pt idx="15">
                  <c:v>Tugs and Scows (Tug Repair)</c:v>
                </c:pt>
                <c:pt idx="16">
                  <c:v>Electrical/Electronics (MCC / Switch Gear)</c:v>
                </c:pt>
                <c:pt idx="17">
                  <c:v>Crane Swing (Drive (motor, gear box, etc.))</c:v>
                </c:pt>
                <c:pt idx="18">
                  <c:v>Deck Winch (Winch)</c:v>
                </c:pt>
                <c:pt idx="19">
                  <c:v>Auxiliary Systems (Compressed Air)</c:v>
                </c:pt>
                <c:pt idx="20">
                  <c:v>Spud System (Spud Sheaves)</c:v>
                </c:pt>
                <c:pt idx="21">
                  <c:v>Deck Winch (Fairleads)</c:v>
                </c:pt>
                <c:pt idx="22">
                  <c:v>Spud System (Spud Wires)</c:v>
                </c:pt>
                <c:pt idx="23">
                  <c:v>Auxiliary Systems (Deck Crane)</c:v>
                </c:pt>
                <c:pt idx="24">
                  <c:v>Electrical/Electronics (Transformers)</c:v>
                </c:pt>
                <c:pt idx="25">
                  <c:v>Crane Boom (Boom / Gantry Sheaves)</c:v>
                </c:pt>
                <c:pt idx="26">
                  <c:v>Hull (Deck Fittings (cleats, timbers, etc.))</c:v>
                </c:pt>
                <c:pt idx="27">
                  <c:v>Tagline (Tagline Sheaves)</c:v>
                </c:pt>
                <c:pt idx="28">
                  <c:v>Crane Swing (Swing Circle (rollers, etc.))</c:v>
                </c:pt>
                <c:pt idx="29">
                  <c:v>Spud System (Spud Structure)</c:v>
                </c:pt>
              </c:strCache>
            </c:strRef>
          </c:cat>
          <c:val>
            <c:numRef>
              <c:f>'55 hrs'!$C$33:$C$63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A-49B6-9CE9-5C416DB6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2259456"/>
        <c:axId val="112261376"/>
      </c:barChart>
      <c:lineChart>
        <c:grouping val="standard"/>
        <c:varyColors val="0"/>
        <c:ser>
          <c:idx val="2"/>
          <c:order val="2"/>
          <c:tx>
            <c:strRef>
              <c:f>'55 hrs'!$E$32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'55 hrs'!$E$33:$E$63</c:f>
              <c:numCache>
                <c:formatCode>0.0%</c:formatCode>
                <c:ptCount val="31"/>
                <c:pt idx="0">
                  <c:v>0.44740883789236047</c:v>
                </c:pt>
                <c:pt idx="1">
                  <c:v>0.52736923912843592</c:v>
                </c:pt>
                <c:pt idx="2">
                  <c:v>0.60480898306541053</c:v>
                </c:pt>
                <c:pt idx="3">
                  <c:v>0.65927032044048817</c:v>
                </c:pt>
                <c:pt idx="4">
                  <c:v>0.70195306520339551</c:v>
                </c:pt>
                <c:pt idx="5">
                  <c:v>0.74132010739105159</c:v>
                </c:pt>
                <c:pt idx="6">
                  <c:v>0.77791658185624191</c:v>
                </c:pt>
                <c:pt idx="7">
                  <c:v>0.81059187030985547</c:v>
                </c:pt>
                <c:pt idx="8">
                  <c:v>0.84139361911508037</c:v>
                </c:pt>
                <c:pt idx="9">
                  <c:v>0.86834988048038042</c:v>
                </c:pt>
                <c:pt idx="10">
                  <c:v>0.89213437169345911</c:v>
                </c:pt>
                <c:pt idx="11">
                  <c:v>0.91287578032612471</c:v>
                </c:pt>
                <c:pt idx="12">
                  <c:v>0.92850753537227604</c:v>
                </c:pt>
                <c:pt idx="13">
                  <c:v>0.94211056869815202</c:v>
                </c:pt>
                <c:pt idx="14">
                  <c:v>0.95520021851655512</c:v>
                </c:pt>
                <c:pt idx="15">
                  <c:v>0.96699784090852936</c:v>
                </c:pt>
                <c:pt idx="16">
                  <c:v>0.97636932407905497</c:v>
                </c:pt>
                <c:pt idx="17">
                  <c:v>0.98296645459853227</c:v>
                </c:pt>
                <c:pt idx="18">
                  <c:v>0.98740575527829622</c:v>
                </c:pt>
                <c:pt idx="19">
                  <c:v>0.99029744071540504</c:v>
                </c:pt>
                <c:pt idx="20">
                  <c:v>0.99239050622158476</c:v>
                </c:pt>
                <c:pt idx="21">
                  <c:v>0.99445129469790372</c:v>
                </c:pt>
                <c:pt idx="22">
                  <c:v>0.99647623148959641</c:v>
                </c:pt>
                <c:pt idx="23">
                  <c:v>0.99753979642130797</c:v>
                </c:pt>
                <c:pt idx="24">
                  <c:v>0.99845196420971527</c:v>
                </c:pt>
                <c:pt idx="25">
                  <c:v>0.99910675685450556</c:v>
                </c:pt>
                <c:pt idx="26">
                  <c:v>0.99940198128394875</c:v>
                </c:pt>
                <c:pt idx="27">
                  <c:v>0.99962907699890491</c:v>
                </c:pt>
                <c:pt idx="28">
                  <c:v>0.99984481792811331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A-49B6-9CE9-5C416DB69E22}"/>
            </c:ext>
          </c:extLst>
        </c:ser>
        <c:ser>
          <c:idx val="3"/>
          <c:order val="3"/>
          <c:tx>
            <c:strRef>
              <c:f>'55 hrs'!$J$32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'55 hrs'!$J$33:$J$63</c:f>
              <c:numCache>
                <c:formatCode>0%</c:formatCode>
                <c:ptCount val="3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1A-49B6-9CE9-5C416DB6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8528"/>
        <c:axId val="111880064"/>
      </c:lineChart>
      <c:catAx>
        <c:axId val="112259456"/>
        <c:scaling>
          <c:orientation val="minMax"/>
        </c:scaling>
        <c:delete val="0"/>
        <c:axPos val="b"/>
        <c:title>
          <c:tx>
            <c:strRef>
              <c:f>'55 hrs'!$C$32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2261376"/>
        <c:crosses val="autoZero"/>
        <c:auto val="1"/>
        <c:lblAlgn val="ctr"/>
        <c:lblOffset val="100"/>
        <c:tickMarkSkip val="1"/>
        <c:noMultiLvlLbl val="0"/>
      </c:catAx>
      <c:valAx>
        <c:axId val="112261376"/>
        <c:scaling>
          <c:orientation val="minMax"/>
        </c:scaling>
        <c:delete val="0"/>
        <c:axPos val="l"/>
        <c:title>
          <c:tx>
            <c:strRef>
              <c:f>'55 hrs'!$D$32</c:f>
              <c:strCache>
                <c:ptCount val="1"/>
                <c:pt idx="0">
                  <c:v>Hours</c:v>
                </c:pt>
              </c:strCache>
            </c:strRef>
          </c:tx>
          <c:layout>
            <c:manualLayout>
              <c:xMode val="edge"/>
              <c:yMode val="edge"/>
              <c:x val="2.3038882670479661E-2"/>
              <c:y val="0.381336398884205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59456"/>
        <c:crosses val="autoZero"/>
        <c:crossBetween val="between"/>
      </c:valAx>
      <c:catAx>
        <c:axId val="11187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1880064"/>
        <c:crosses val="autoZero"/>
        <c:auto val="1"/>
        <c:lblAlgn val="ctr"/>
        <c:lblOffset val="100"/>
        <c:noMultiLvlLbl val="0"/>
      </c:catAx>
      <c:valAx>
        <c:axId val="11188006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4324443524263657"/>
              <c:y val="0.3461059125851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78528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DREDGE-58</a:t>
            </a:r>
          </a:p>
        </c:rich>
      </c:tx>
      <c:layout>
        <c:manualLayout>
          <c:xMode val="edge"/>
          <c:yMode val="edge"/>
          <c:x val="0.40827272863966479"/>
          <c:y val="8.3725597458212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'58 count'!$H$32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'58 count'!$C$33:$C$63</c:f>
              <c:strCache>
                <c:ptCount val="30"/>
                <c:pt idx="0">
                  <c:v>Crane Swing (Drive (motor, gear box, etc.))</c:v>
                </c:pt>
                <c:pt idx="1">
                  <c:v>Tugs and Scows (Scow Repair)</c:v>
                </c:pt>
                <c:pt idx="2">
                  <c:v>Main Hoist (Holder)</c:v>
                </c:pt>
                <c:pt idx="3">
                  <c:v>Buckets (Weld / Repair Bucket)</c:v>
                </c:pt>
                <c:pt idx="4">
                  <c:v>Spud System (Walking Mechanisms (Carriage / Travel))</c:v>
                </c:pt>
                <c:pt idx="5">
                  <c:v>Main Hoist (Closer Wire)</c:v>
                </c:pt>
                <c:pt idx="6">
                  <c:v>Auxiliary Systems (Heating, Ventilation, A/C)</c:v>
                </c:pt>
                <c:pt idx="7">
                  <c:v>Tagline (Tagline Wire)</c:v>
                </c:pt>
                <c:pt idx="8">
                  <c:v>Main Hoist (Holder Wire)</c:v>
                </c:pt>
                <c:pt idx="9">
                  <c:v>Main Hoist (Closer)</c:v>
                </c:pt>
                <c:pt idx="10">
                  <c:v>Spud System (Spud Winch)</c:v>
                </c:pt>
                <c:pt idx="11">
                  <c:v>Tugs and Scows (Tug Repair)</c:v>
                </c:pt>
                <c:pt idx="12">
                  <c:v>Main / Aux. Generators (Main Generator Engine)</c:v>
                </c:pt>
                <c:pt idx="13">
                  <c:v>Main / Aux. Generators (Main Generator)</c:v>
                </c:pt>
                <c:pt idx="14">
                  <c:v>Electrical/Electronics (PLC)</c:v>
                </c:pt>
                <c:pt idx="15">
                  <c:v>Hull (Deck Fittings (cleats, timbers, etc.))</c:v>
                </c:pt>
                <c:pt idx="16">
                  <c:v>Deck Winch (Winch)</c:v>
                </c:pt>
                <c:pt idx="17">
                  <c:v>Deck Winch (Fairleads)</c:v>
                </c:pt>
                <c:pt idx="18">
                  <c:v>Crane Boom (Boom Winch)</c:v>
                </c:pt>
                <c:pt idx="19">
                  <c:v>Spud System (Spud Wires)</c:v>
                </c:pt>
                <c:pt idx="20">
                  <c:v>Spud System (Spud Structure)</c:v>
                </c:pt>
                <c:pt idx="21">
                  <c:v>Electrical/Electronics (Transformers)</c:v>
                </c:pt>
                <c:pt idx="22">
                  <c:v>Crane Swing (Swing Circle (rollers, etc.))</c:v>
                </c:pt>
                <c:pt idx="23">
                  <c:v>Tagline (Tagline Winch (motor, gearbox, etc.))</c:v>
                </c:pt>
                <c:pt idx="24">
                  <c:v>Tagline (Tagline Sheaves)</c:v>
                </c:pt>
                <c:pt idx="25">
                  <c:v>Hull (Hull / House Repair)</c:v>
                </c:pt>
                <c:pt idx="26">
                  <c:v>Electrical/Electronics (MCC / Switch Gear)</c:v>
                </c:pt>
                <c:pt idx="27">
                  <c:v>Crane Boom (Boom / Gantry Sheaves)</c:v>
                </c:pt>
                <c:pt idx="28">
                  <c:v>Auxiliary Systems (Fuel)</c:v>
                </c:pt>
                <c:pt idx="29">
                  <c:v>Auxiliary Systems (Compressed Air)</c:v>
                </c:pt>
              </c:strCache>
            </c:strRef>
          </c:cat>
          <c:val>
            <c:numRef>
              <c:f>'58 count'!$H$33:$H$63</c:f>
              <c:numCache>
                <c:formatCode>General</c:formatCode>
                <c:ptCount val="31"/>
                <c:pt idx="0">
                  <c:v>86</c:v>
                </c:pt>
                <c:pt idx="1">
                  <c:v>49</c:v>
                </c:pt>
                <c:pt idx="2">
                  <c:v>44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31</c:v>
                </c:pt>
                <c:pt idx="7">
                  <c:v>25</c:v>
                </c:pt>
                <c:pt idx="8">
                  <c:v>19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8-4C17-BF26-886FFECFC6CE}"/>
            </c:ext>
          </c:extLst>
        </c:ser>
        <c:ser>
          <c:idx val="0"/>
          <c:order val="1"/>
          <c:tx>
            <c:strRef>
              <c:f>'58 count'!$I$32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'58 count'!$C$33:$C$63</c:f>
              <c:strCache>
                <c:ptCount val="30"/>
                <c:pt idx="0">
                  <c:v>Crane Swing (Drive (motor, gear box, etc.))</c:v>
                </c:pt>
                <c:pt idx="1">
                  <c:v>Tugs and Scows (Scow Repair)</c:v>
                </c:pt>
                <c:pt idx="2">
                  <c:v>Main Hoist (Holder)</c:v>
                </c:pt>
                <c:pt idx="3">
                  <c:v>Buckets (Weld / Repair Bucket)</c:v>
                </c:pt>
                <c:pt idx="4">
                  <c:v>Spud System (Walking Mechanisms (Carriage / Travel))</c:v>
                </c:pt>
                <c:pt idx="5">
                  <c:v>Main Hoist (Closer Wire)</c:v>
                </c:pt>
                <c:pt idx="6">
                  <c:v>Auxiliary Systems (Heating, Ventilation, A/C)</c:v>
                </c:pt>
                <c:pt idx="7">
                  <c:v>Tagline (Tagline Wire)</c:v>
                </c:pt>
                <c:pt idx="8">
                  <c:v>Main Hoist (Holder Wire)</c:v>
                </c:pt>
                <c:pt idx="9">
                  <c:v>Main Hoist (Closer)</c:v>
                </c:pt>
                <c:pt idx="10">
                  <c:v>Spud System (Spud Winch)</c:v>
                </c:pt>
                <c:pt idx="11">
                  <c:v>Tugs and Scows (Tug Repair)</c:v>
                </c:pt>
                <c:pt idx="12">
                  <c:v>Main / Aux. Generators (Main Generator Engine)</c:v>
                </c:pt>
                <c:pt idx="13">
                  <c:v>Main / Aux. Generators (Main Generator)</c:v>
                </c:pt>
                <c:pt idx="14">
                  <c:v>Electrical/Electronics (PLC)</c:v>
                </c:pt>
                <c:pt idx="15">
                  <c:v>Hull (Deck Fittings (cleats, timbers, etc.))</c:v>
                </c:pt>
                <c:pt idx="16">
                  <c:v>Deck Winch (Winch)</c:v>
                </c:pt>
                <c:pt idx="17">
                  <c:v>Deck Winch (Fairleads)</c:v>
                </c:pt>
                <c:pt idx="18">
                  <c:v>Crane Boom (Boom Winch)</c:v>
                </c:pt>
                <c:pt idx="19">
                  <c:v>Spud System (Spud Wires)</c:v>
                </c:pt>
                <c:pt idx="20">
                  <c:v>Spud System (Spud Structure)</c:v>
                </c:pt>
                <c:pt idx="21">
                  <c:v>Electrical/Electronics (Transformers)</c:v>
                </c:pt>
                <c:pt idx="22">
                  <c:v>Crane Swing (Swing Circle (rollers, etc.))</c:v>
                </c:pt>
                <c:pt idx="23">
                  <c:v>Tagline (Tagline Winch (motor, gearbox, etc.))</c:v>
                </c:pt>
                <c:pt idx="24">
                  <c:v>Tagline (Tagline Sheaves)</c:v>
                </c:pt>
                <c:pt idx="25">
                  <c:v>Hull (Hull / House Repair)</c:v>
                </c:pt>
                <c:pt idx="26">
                  <c:v>Electrical/Electronics (MCC / Switch Gear)</c:v>
                </c:pt>
                <c:pt idx="27">
                  <c:v>Crane Boom (Boom / Gantry Sheaves)</c:v>
                </c:pt>
                <c:pt idx="28">
                  <c:v>Auxiliary Systems (Fuel)</c:v>
                </c:pt>
                <c:pt idx="29">
                  <c:v>Auxiliary Systems (Compressed Air)</c:v>
                </c:pt>
              </c:strCache>
            </c:strRef>
          </c:cat>
          <c:val>
            <c:numRef>
              <c:f>'58 count'!$I$33:$I$63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8-4C17-BF26-886FFECFC6CE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'58 count'!$C$33:$C$63</c:f>
              <c:strCache>
                <c:ptCount val="30"/>
                <c:pt idx="0">
                  <c:v>Crane Swing (Drive (motor, gear box, etc.))</c:v>
                </c:pt>
                <c:pt idx="1">
                  <c:v>Tugs and Scows (Scow Repair)</c:v>
                </c:pt>
                <c:pt idx="2">
                  <c:v>Main Hoist (Holder)</c:v>
                </c:pt>
                <c:pt idx="3">
                  <c:v>Buckets (Weld / Repair Bucket)</c:v>
                </c:pt>
                <c:pt idx="4">
                  <c:v>Spud System (Walking Mechanisms (Carriage / Travel))</c:v>
                </c:pt>
                <c:pt idx="5">
                  <c:v>Main Hoist (Closer Wire)</c:v>
                </c:pt>
                <c:pt idx="6">
                  <c:v>Auxiliary Systems (Heating, Ventilation, A/C)</c:v>
                </c:pt>
                <c:pt idx="7">
                  <c:v>Tagline (Tagline Wire)</c:v>
                </c:pt>
                <c:pt idx="8">
                  <c:v>Main Hoist (Holder Wire)</c:v>
                </c:pt>
                <c:pt idx="9">
                  <c:v>Main Hoist (Closer)</c:v>
                </c:pt>
                <c:pt idx="10">
                  <c:v>Spud System (Spud Winch)</c:v>
                </c:pt>
                <c:pt idx="11">
                  <c:v>Tugs and Scows (Tug Repair)</c:v>
                </c:pt>
                <c:pt idx="12">
                  <c:v>Main / Aux. Generators (Main Generator Engine)</c:v>
                </c:pt>
                <c:pt idx="13">
                  <c:v>Main / Aux. Generators (Main Generator)</c:v>
                </c:pt>
                <c:pt idx="14">
                  <c:v>Electrical/Electronics (PLC)</c:v>
                </c:pt>
                <c:pt idx="15">
                  <c:v>Hull (Deck Fittings (cleats, timbers, etc.))</c:v>
                </c:pt>
                <c:pt idx="16">
                  <c:v>Deck Winch (Winch)</c:v>
                </c:pt>
                <c:pt idx="17">
                  <c:v>Deck Winch (Fairleads)</c:v>
                </c:pt>
                <c:pt idx="18">
                  <c:v>Crane Boom (Boom Winch)</c:v>
                </c:pt>
                <c:pt idx="19">
                  <c:v>Spud System (Spud Wires)</c:v>
                </c:pt>
                <c:pt idx="20">
                  <c:v>Spud System (Spud Structure)</c:v>
                </c:pt>
                <c:pt idx="21">
                  <c:v>Electrical/Electronics (Transformers)</c:v>
                </c:pt>
                <c:pt idx="22">
                  <c:v>Crane Swing (Swing Circle (rollers, etc.))</c:v>
                </c:pt>
                <c:pt idx="23">
                  <c:v>Tagline (Tagline Winch (motor, gearbox, etc.))</c:v>
                </c:pt>
                <c:pt idx="24">
                  <c:v>Tagline (Tagline Sheaves)</c:v>
                </c:pt>
                <c:pt idx="25">
                  <c:v>Hull (Hull / House Repair)</c:v>
                </c:pt>
                <c:pt idx="26">
                  <c:v>Electrical/Electronics (MCC / Switch Gear)</c:v>
                </c:pt>
                <c:pt idx="27">
                  <c:v>Crane Boom (Boom / Gantry Sheaves)</c:v>
                </c:pt>
                <c:pt idx="28">
                  <c:v>Auxiliary Systems (Fuel)</c:v>
                </c:pt>
                <c:pt idx="29">
                  <c:v>Auxiliary Systems (Compressed Air)</c:v>
                </c:pt>
              </c:strCache>
            </c:strRef>
          </c:cat>
          <c:val>
            <c:numRef>
              <c:f>'58 count'!$C$33:$C$63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8-4C17-BF26-886FFECF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06005632"/>
        <c:axId val="106007552"/>
      </c:barChart>
      <c:lineChart>
        <c:grouping val="standard"/>
        <c:varyColors val="0"/>
        <c:ser>
          <c:idx val="2"/>
          <c:order val="2"/>
          <c:tx>
            <c:strRef>
              <c:f>'58 count'!$E$32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'58 count'!$E$33:$E$63</c:f>
              <c:numCache>
                <c:formatCode>0.0%</c:formatCode>
                <c:ptCount val="31"/>
                <c:pt idx="0">
                  <c:v>0.1787941787941788</c:v>
                </c:pt>
                <c:pt idx="1">
                  <c:v>0.28066528066528068</c:v>
                </c:pt>
                <c:pt idx="2">
                  <c:v>0.37214137214137216</c:v>
                </c:pt>
                <c:pt idx="3">
                  <c:v>0.46361746361746364</c:v>
                </c:pt>
                <c:pt idx="4">
                  <c:v>0.55093555093555091</c:v>
                </c:pt>
                <c:pt idx="5">
                  <c:v>0.63409563409563408</c:v>
                </c:pt>
                <c:pt idx="6">
                  <c:v>0.69854469854469858</c:v>
                </c:pt>
                <c:pt idx="7">
                  <c:v>0.75051975051975051</c:v>
                </c:pt>
                <c:pt idx="8">
                  <c:v>0.79002079002079006</c:v>
                </c:pt>
                <c:pt idx="9">
                  <c:v>0.81704781704781704</c:v>
                </c:pt>
                <c:pt idx="10">
                  <c:v>0.84199584199584199</c:v>
                </c:pt>
                <c:pt idx="11">
                  <c:v>0.86070686070686075</c:v>
                </c:pt>
                <c:pt idx="12">
                  <c:v>0.87941787941787941</c:v>
                </c:pt>
                <c:pt idx="13">
                  <c:v>0.89604989604989604</c:v>
                </c:pt>
                <c:pt idx="14">
                  <c:v>0.91268191268191268</c:v>
                </c:pt>
                <c:pt idx="15">
                  <c:v>0.92515592515592515</c:v>
                </c:pt>
                <c:pt idx="16">
                  <c:v>0.93762993762993763</c:v>
                </c:pt>
                <c:pt idx="17">
                  <c:v>0.9501039501039501</c:v>
                </c:pt>
                <c:pt idx="18">
                  <c:v>0.96049896049896055</c:v>
                </c:pt>
                <c:pt idx="19">
                  <c:v>0.96881496881496887</c:v>
                </c:pt>
                <c:pt idx="20">
                  <c:v>0.97505197505197505</c:v>
                </c:pt>
                <c:pt idx="21">
                  <c:v>0.98128898128898134</c:v>
                </c:pt>
                <c:pt idx="22">
                  <c:v>0.9854469854469855</c:v>
                </c:pt>
                <c:pt idx="23">
                  <c:v>0.98752598752598753</c:v>
                </c:pt>
                <c:pt idx="24">
                  <c:v>0.98960498960498966</c:v>
                </c:pt>
                <c:pt idx="25">
                  <c:v>0.99168399168399168</c:v>
                </c:pt>
                <c:pt idx="26">
                  <c:v>0.99376299376299382</c:v>
                </c:pt>
                <c:pt idx="27">
                  <c:v>0.99584199584199584</c:v>
                </c:pt>
                <c:pt idx="28">
                  <c:v>0.99792099792099798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8-4C17-BF26-886FFECFC6CE}"/>
            </c:ext>
          </c:extLst>
        </c:ser>
        <c:ser>
          <c:idx val="3"/>
          <c:order val="3"/>
          <c:tx>
            <c:strRef>
              <c:f>'58 count'!$J$32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'58 count'!$J$33:$J$63</c:f>
              <c:numCache>
                <c:formatCode>0%</c:formatCode>
                <c:ptCount val="3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98-4C17-BF26-886FFECF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22016"/>
        <c:axId val="106023552"/>
      </c:lineChart>
      <c:catAx>
        <c:axId val="106005632"/>
        <c:scaling>
          <c:orientation val="minMax"/>
        </c:scaling>
        <c:delete val="0"/>
        <c:axPos val="b"/>
        <c:title>
          <c:tx>
            <c:strRef>
              <c:f>'58 count'!$C$32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6007552"/>
        <c:crosses val="autoZero"/>
        <c:auto val="1"/>
        <c:lblAlgn val="ctr"/>
        <c:lblOffset val="100"/>
        <c:tickMarkSkip val="1"/>
        <c:noMultiLvlLbl val="0"/>
      </c:catAx>
      <c:valAx>
        <c:axId val="106007552"/>
        <c:scaling>
          <c:orientation val="minMax"/>
        </c:scaling>
        <c:delete val="0"/>
        <c:axPos val="l"/>
        <c:title>
          <c:tx>
            <c:strRef>
              <c:f>'58 count'!$D$32</c:f>
              <c:strCache>
                <c:ptCount val="1"/>
                <c:pt idx="0">
                  <c:v>Count</c:v>
                </c:pt>
              </c:strCache>
            </c:strRef>
          </c:tx>
          <c:layout>
            <c:manualLayout>
              <c:xMode val="edge"/>
              <c:yMode val="edge"/>
              <c:x val="3.9801370309296952E-2"/>
              <c:y val="0.3764038126813095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05632"/>
        <c:crosses val="autoZero"/>
        <c:crossBetween val="between"/>
      </c:valAx>
      <c:catAx>
        <c:axId val="10602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6023552"/>
        <c:crosses val="autoZero"/>
        <c:auto val="1"/>
        <c:lblAlgn val="ctr"/>
        <c:lblOffset val="100"/>
        <c:noMultiLvlLbl val="0"/>
      </c:catAx>
      <c:valAx>
        <c:axId val="106023552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3253866420739417"/>
              <c:y val="0.3495943638624119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22016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DREDGE-58</a:t>
            </a:r>
          </a:p>
        </c:rich>
      </c:tx>
      <c:layout>
        <c:manualLayout>
          <c:xMode val="edge"/>
          <c:yMode val="edge"/>
          <c:x val="0.39872470395469489"/>
          <c:y val="1.35501713620304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'58 hrs'!$H$32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'58 hrs'!$C$33:$C$63</c:f>
              <c:strCache>
                <c:ptCount val="30"/>
                <c:pt idx="0">
                  <c:v>Main Hoist (Closer)</c:v>
                </c:pt>
                <c:pt idx="1">
                  <c:v>Main Hoist (Closer Wire)</c:v>
                </c:pt>
                <c:pt idx="2">
                  <c:v>Crane Swing (Drive (motor, gear box, etc.))</c:v>
                </c:pt>
                <c:pt idx="3">
                  <c:v>Electrical/Electronics (MCC / Switch Gear)</c:v>
                </c:pt>
                <c:pt idx="4">
                  <c:v>Main / Aux. Generators (Main Generator Engine)</c:v>
                </c:pt>
                <c:pt idx="5">
                  <c:v>Main Hoist (Holder)</c:v>
                </c:pt>
                <c:pt idx="6">
                  <c:v>Tugs and Scows (Scow Repair)</c:v>
                </c:pt>
                <c:pt idx="7">
                  <c:v>Spud System (Walking Mechanisms (Carriage / Travel))</c:v>
                </c:pt>
                <c:pt idx="8">
                  <c:v>Buckets (Weld / Repair Bucket)</c:v>
                </c:pt>
                <c:pt idx="9">
                  <c:v>Auxiliary Systems (Heating, Ventilation, A/C)</c:v>
                </c:pt>
                <c:pt idx="10">
                  <c:v>Electrical/Electronics (PLC)</c:v>
                </c:pt>
                <c:pt idx="11">
                  <c:v>Main Hoist (Holder Wire)</c:v>
                </c:pt>
                <c:pt idx="12">
                  <c:v>Crane Boom (Boom Winch)</c:v>
                </c:pt>
                <c:pt idx="13">
                  <c:v>Spud System (Spud Structure)</c:v>
                </c:pt>
                <c:pt idx="14">
                  <c:v>Tagline (Tagline Wire)</c:v>
                </c:pt>
                <c:pt idx="15">
                  <c:v>Main / Aux. Generators (Main Generator)</c:v>
                </c:pt>
                <c:pt idx="16">
                  <c:v>Crane Swing (Swing Circle (rollers, etc.))</c:v>
                </c:pt>
                <c:pt idx="17">
                  <c:v>Spud System (Spud Winch)</c:v>
                </c:pt>
                <c:pt idx="18">
                  <c:v>Spud System (Spud Wires)</c:v>
                </c:pt>
                <c:pt idx="19">
                  <c:v>Electrical/Electronics (Transformers)</c:v>
                </c:pt>
                <c:pt idx="20">
                  <c:v>Deck Winch (Fairleads)</c:v>
                </c:pt>
                <c:pt idx="21">
                  <c:v>Tugs and Scows (Tug Repair)</c:v>
                </c:pt>
                <c:pt idx="22">
                  <c:v>Deck Winch (Winch)</c:v>
                </c:pt>
                <c:pt idx="23">
                  <c:v>Hull (Deck Fittings (cleats, timbers, etc.))</c:v>
                </c:pt>
                <c:pt idx="24">
                  <c:v>Hull (Hull / House Repair)</c:v>
                </c:pt>
                <c:pt idx="25">
                  <c:v>Tagline (Tagline Sheaves)</c:v>
                </c:pt>
                <c:pt idx="26">
                  <c:v>Crane Boom (Boom / Gantry Sheaves)</c:v>
                </c:pt>
                <c:pt idx="27">
                  <c:v>Auxiliary Systems (Fuel)</c:v>
                </c:pt>
                <c:pt idx="28">
                  <c:v>Auxiliary Systems (Compressed Air)</c:v>
                </c:pt>
                <c:pt idx="29">
                  <c:v>Tagline (Tagline Winch (motor, gearbox, etc.))</c:v>
                </c:pt>
              </c:strCache>
            </c:strRef>
          </c:cat>
          <c:val>
            <c:numRef>
              <c:f>'58 hrs'!$H$33:$H$63</c:f>
              <c:numCache>
                <c:formatCode>General</c:formatCode>
                <c:ptCount val="31"/>
                <c:pt idx="0">
                  <c:v>586.33388888886202</c:v>
                </c:pt>
                <c:pt idx="1">
                  <c:v>527.52750000011872</c:v>
                </c:pt>
                <c:pt idx="2">
                  <c:v>181.73111111119854</c:v>
                </c:pt>
                <c:pt idx="3">
                  <c:v>70.25</c:v>
                </c:pt>
                <c:pt idx="4">
                  <c:v>70.080277777747256</c:v>
                </c:pt>
                <c:pt idx="5">
                  <c:v>58.528611110751513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456-B0F6-3CB0E83D4270}"/>
            </c:ext>
          </c:extLst>
        </c:ser>
        <c:ser>
          <c:idx val="0"/>
          <c:order val="1"/>
          <c:tx>
            <c:strRef>
              <c:f>'58 hrs'!$I$32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'58 hrs'!$C$33:$C$63</c:f>
              <c:strCache>
                <c:ptCount val="30"/>
                <c:pt idx="0">
                  <c:v>Main Hoist (Closer)</c:v>
                </c:pt>
                <c:pt idx="1">
                  <c:v>Main Hoist (Closer Wire)</c:v>
                </c:pt>
                <c:pt idx="2">
                  <c:v>Crane Swing (Drive (motor, gear box, etc.))</c:v>
                </c:pt>
                <c:pt idx="3">
                  <c:v>Electrical/Electronics (MCC / Switch Gear)</c:v>
                </c:pt>
                <c:pt idx="4">
                  <c:v>Main / Aux. Generators (Main Generator Engine)</c:v>
                </c:pt>
                <c:pt idx="5">
                  <c:v>Main Hoist (Holder)</c:v>
                </c:pt>
                <c:pt idx="6">
                  <c:v>Tugs and Scows (Scow Repair)</c:v>
                </c:pt>
                <c:pt idx="7">
                  <c:v>Spud System (Walking Mechanisms (Carriage / Travel))</c:v>
                </c:pt>
                <c:pt idx="8">
                  <c:v>Buckets (Weld / Repair Bucket)</c:v>
                </c:pt>
                <c:pt idx="9">
                  <c:v>Auxiliary Systems (Heating, Ventilation, A/C)</c:v>
                </c:pt>
                <c:pt idx="10">
                  <c:v>Electrical/Electronics (PLC)</c:v>
                </c:pt>
                <c:pt idx="11">
                  <c:v>Main Hoist (Holder Wire)</c:v>
                </c:pt>
                <c:pt idx="12">
                  <c:v>Crane Boom (Boom Winch)</c:v>
                </c:pt>
                <c:pt idx="13">
                  <c:v>Spud System (Spud Structure)</c:v>
                </c:pt>
                <c:pt idx="14">
                  <c:v>Tagline (Tagline Wire)</c:v>
                </c:pt>
                <c:pt idx="15">
                  <c:v>Main / Aux. Generators (Main Generator)</c:v>
                </c:pt>
                <c:pt idx="16">
                  <c:v>Crane Swing (Swing Circle (rollers, etc.))</c:v>
                </c:pt>
                <c:pt idx="17">
                  <c:v>Spud System (Spud Winch)</c:v>
                </c:pt>
                <c:pt idx="18">
                  <c:v>Spud System (Spud Wires)</c:v>
                </c:pt>
                <c:pt idx="19">
                  <c:v>Electrical/Electronics (Transformers)</c:v>
                </c:pt>
                <c:pt idx="20">
                  <c:v>Deck Winch (Fairleads)</c:v>
                </c:pt>
                <c:pt idx="21">
                  <c:v>Tugs and Scows (Tug Repair)</c:v>
                </c:pt>
                <c:pt idx="22">
                  <c:v>Deck Winch (Winch)</c:v>
                </c:pt>
                <c:pt idx="23">
                  <c:v>Hull (Deck Fittings (cleats, timbers, etc.))</c:v>
                </c:pt>
                <c:pt idx="24">
                  <c:v>Hull (Hull / House Repair)</c:v>
                </c:pt>
                <c:pt idx="25">
                  <c:v>Tagline (Tagline Sheaves)</c:v>
                </c:pt>
                <c:pt idx="26">
                  <c:v>Crane Boom (Boom / Gantry Sheaves)</c:v>
                </c:pt>
                <c:pt idx="27">
                  <c:v>Auxiliary Systems (Fuel)</c:v>
                </c:pt>
                <c:pt idx="28">
                  <c:v>Auxiliary Systems (Compressed Air)</c:v>
                </c:pt>
                <c:pt idx="29">
                  <c:v>Tagline (Tagline Winch (motor, gearbox, etc.))</c:v>
                </c:pt>
              </c:strCache>
            </c:strRef>
          </c:cat>
          <c:val>
            <c:numRef>
              <c:f>'58 hrs'!$I$33:$I$63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47.489999999976718</c:v>
                </c:pt>
                <c:pt idx="7">
                  <c:v>43.398611111186909</c:v>
                </c:pt>
                <c:pt idx="8">
                  <c:v>37.383333333181213</c:v>
                </c:pt>
                <c:pt idx="9">
                  <c:v>35.008333333688789</c:v>
                </c:pt>
                <c:pt idx="10">
                  <c:v>29.599999999999998</c:v>
                </c:pt>
                <c:pt idx="11">
                  <c:v>26.99444444476627</c:v>
                </c:pt>
                <c:pt idx="12">
                  <c:v>16.920000000000002</c:v>
                </c:pt>
                <c:pt idx="13">
                  <c:v>15.89</c:v>
                </c:pt>
                <c:pt idx="14">
                  <c:v>13.072222222057171</c:v>
                </c:pt>
                <c:pt idx="15">
                  <c:v>9.4222222223156127</c:v>
                </c:pt>
                <c:pt idx="16">
                  <c:v>9.2102777778520242</c:v>
                </c:pt>
                <c:pt idx="17">
                  <c:v>8.5527777778450407</c:v>
                </c:pt>
                <c:pt idx="18">
                  <c:v>7.6802777778147719</c:v>
                </c:pt>
                <c:pt idx="19">
                  <c:v>3.87</c:v>
                </c:pt>
                <c:pt idx="20">
                  <c:v>2.6399999999999997</c:v>
                </c:pt>
                <c:pt idx="21">
                  <c:v>2.5722222222387789</c:v>
                </c:pt>
                <c:pt idx="22">
                  <c:v>2.4799999999580904</c:v>
                </c:pt>
                <c:pt idx="23">
                  <c:v>1.267500000083819</c:v>
                </c:pt>
                <c:pt idx="24">
                  <c:v>0.61</c:v>
                </c:pt>
                <c:pt idx="25">
                  <c:v>0.53333333332557231</c:v>
                </c:pt>
                <c:pt idx="26">
                  <c:v>0.49</c:v>
                </c:pt>
                <c:pt idx="27">
                  <c:v>0.4</c:v>
                </c:pt>
                <c:pt idx="28">
                  <c:v>0.32</c:v>
                </c:pt>
                <c:pt idx="29">
                  <c:v>7.7222222287673503E-2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E-4456-B0F6-3CB0E83D4270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'58 hrs'!$C$33:$C$63</c:f>
              <c:strCache>
                <c:ptCount val="30"/>
                <c:pt idx="0">
                  <c:v>Main Hoist (Closer)</c:v>
                </c:pt>
                <c:pt idx="1">
                  <c:v>Main Hoist (Closer Wire)</c:v>
                </c:pt>
                <c:pt idx="2">
                  <c:v>Crane Swing (Drive (motor, gear box, etc.))</c:v>
                </c:pt>
                <c:pt idx="3">
                  <c:v>Electrical/Electronics (MCC / Switch Gear)</c:v>
                </c:pt>
                <c:pt idx="4">
                  <c:v>Main / Aux. Generators (Main Generator Engine)</c:v>
                </c:pt>
                <c:pt idx="5">
                  <c:v>Main Hoist (Holder)</c:v>
                </c:pt>
                <c:pt idx="6">
                  <c:v>Tugs and Scows (Scow Repair)</c:v>
                </c:pt>
                <c:pt idx="7">
                  <c:v>Spud System (Walking Mechanisms (Carriage / Travel))</c:v>
                </c:pt>
                <c:pt idx="8">
                  <c:v>Buckets (Weld / Repair Bucket)</c:v>
                </c:pt>
                <c:pt idx="9">
                  <c:v>Auxiliary Systems (Heating, Ventilation, A/C)</c:v>
                </c:pt>
                <c:pt idx="10">
                  <c:v>Electrical/Electronics (PLC)</c:v>
                </c:pt>
                <c:pt idx="11">
                  <c:v>Main Hoist (Holder Wire)</c:v>
                </c:pt>
                <c:pt idx="12">
                  <c:v>Crane Boom (Boom Winch)</c:v>
                </c:pt>
                <c:pt idx="13">
                  <c:v>Spud System (Spud Structure)</c:v>
                </c:pt>
                <c:pt idx="14">
                  <c:v>Tagline (Tagline Wire)</c:v>
                </c:pt>
                <c:pt idx="15">
                  <c:v>Main / Aux. Generators (Main Generator)</c:v>
                </c:pt>
                <c:pt idx="16">
                  <c:v>Crane Swing (Swing Circle (rollers, etc.))</c:v>
                </c:pt>
                <c:pt idx="17">
                  <c:v>Spud System (Spud Winch)</c:v>
                </c:pt>
                <c:pt idx="18">
                  <c:v>Spud System (Spud Wires)</c:v>
                </c:pt>
                <c:pt idx="19">
                  <c:v>Electrical/Electronics (Transformers)</c:v>
                </c:pt>
                <c:pt idx="20">
                  <c:v>Deck Winch (Fairleads)</c:v>
                </c:pt>
                <c:pt idx="21">
                  <c:v>Tugs and Scows (Tug Repair)</c:v>
                </c:pt>
                <c:pt idx="22">
                  <c:v>Deck Winch (Winch)</c:v>
                </c:pt>
                <c:pt idx="23">
                  <c:v>Hull (Deck Fittings (cleats, timbers, etc.))</c:v>
                </c:pt>
                <c:pt idx="24">
                  <c:v>Hull (Hull / House Repair)</c:v>
                </c:pt>
                <c:pt idx="25">
                  <c:v>Tagline (Tagline Sheaves)</c:v>
                </c:pt>
                <c:pt idx="26">
                  <c:v>Crane Boom (Boom / Gantry Sheaves)</c:v>
                </c:pt>
                <c:pt idx="27">
                  <c:v>Auxiliary Systems (Fuel)</c:v>
                </c:pt>
                <c:pt idx="28">
                  <c:v>Auxiliary Systems (Compressed Air)</c:v>
                </c:pt>
                <c:pt idx="29">
                  <c:v>Tagline (Tagline Winch (motor, gearbox, etc.))</c:v>
                </c:pt>
              </c:strCache>
            </c:strRef>
          </c:cat>
          <c:val>
            <c:numRef>
              <c:f>'58 hrs'!$C$33:$C$63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E-4456-B0F6-3CB0E83D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2259456"/>
        <c:axId val="112261376"/>
      </c:barChart>
      <c:lineChart>
        <c:grouping val="standard"/>
        <c:varyColors val="0"/>
        <c:ser>
          <c:idx val="2"/>
          <c:order val="2"/>
          <c:tx>
            <c:strRef>
              <c:f>'58 hrs'!$E$32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'58 hrs'!$E$33:$E$63</c:f>
              <c:numCache>
                <c:formatCode>0.0%</c:formatCode>
                <c:ptCount val="31"/>
                <c:pt idx="0">
                  <c:v>0.3238815792601849</c:v>
                </c:pt>
                <c:pt idx="1">
                  <c:v>0.61527943812691177</c:v>
                </c:pt>
                <c:pt idx="2">
                  <c:v>0.71566483351817101</c:v>
                </c:pt>
                <c:pt idx="3">
                  <c:v>0.75446982394119722</c:v>
                </c:pt>
                <c:pt idx="4">
                  <c:v>0.79318106248936082</c:v>
                </c:pt>
                <c:pt idx="5">
                  <c:v>0.82551134282567029</c:v>
                </c:pt>
                <c:pt idx="6">
                  <c:v>0.85174406873582853</c:v>
                </c:pt>
                <c:pt idx="7">
                  <c:v>0.87571677604603837</c:v>
                </c:pt>
                <c:pt idx="8">
                  <c:v>0.89636673892112595</c:v>
                </c:pt>
                <c:pt idx="9">
                  <c:v>0.91570478930888255</c:v>
                </c:pt>
                <c:pt idx="10">
                  <c:v>0.93205536178605797</c:v>
                </c:pt>
                <c:pt idx="11">
                  <c:v>0.94696666652846462</c:v>
                </c:pt>
                <c:pt idx="12">
                  <c:v>0.9563130072823095</c:v>
                </c:pt>
                <c:pt idx="13">
                  <c:v>0.96509039230468519</c:v>
                </c:pt>
                <c:pt idx="14">
                  <c:v>0.97231128138845169</c:v>
                </c:pt>
                <c:pt idx="15">
                  <c:v>0.97751596812297958</c:v>
                </c:pt>
                <c:pt idx="16">
                  <c:v>0.98260358009398263</c:v>
                </c:pt>
                <c:pt idx="17">
                  <c:v>0.98732799944999039</c:v>
                </c:pt>
                <c:pt idx="18">
                  <c:v>0.99157046358684853</c:v>
                </c:pt>
                <c:pt idx="19">
                  <c:v>0.99370819046139813</c:v>
                </c:pt>
                <c:pt idx="20">
                  <c:v>0.99516648476341651</c:v>
                </c:pt>
                <c:pt idx="21">
                  <c:v>0.99658733969152846</c:v>
                </c:pt>
                <c:pt idx="22">
                  <c:v>0.99795725252067413</c:v>
                </c:pt>
                <c:pt idx="23">
                  <c:v>0.99865739950095089</c:v>
                </c:pt>
                <c:pt idx="24">
                  <c:v>0.99899435386618984</c:v>
                </c:pt>
                <c:pt idx="25">
                  <c:v>0.99928895877568424</c:v>
                </c:pt>
                <c:pt idx="26">
                  <c:v>0.9995596270362862</c:v>
                </c:pt>
                <c:pt idx="27">
                  <c:v>0.99978058071841014</c:v>
                </c:pt>
                <c:pt idx="28">
                  <c:v>0.99995734366410938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E-4456-B0F6-3CB0E83D4270}"/>
            </c:ext>
          </c:extLst>
        </c:ser>
        <c:ser>
          <c:idx val="3"/>
          <c:order val="3"/>
          <c:tx>
            <c:strRef>
              <c:f>'58 hrs'!$J$32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'58 hrs'!$J$33:$J$63</c:f>
              <c:numCache>
                <c:formatCode>0%</c:formatCode>
                <c:ptCount val="3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E-4456-B0F6-3CB0E83D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8528"/>
        <c:axId val="111880064"/>
      </c:lineChart>
      <c:catAx>
        <c:axId val="112259456"/>
        <c:scaling>
          <c:orientation val="minMax"/>
        </c:scaling>
        <c:delete val="0"/>
        <c:axPos val="b"/>
        <c:title>
          <c:tx>
            <c:strRef>
              <c:f>'58 hrs'!$C$32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2261376"/>
        <c:crosses val="autoZero"/>
        <c:auto val="1"/>
        <c:lblAlgn val="ctr"/>
        <c:lblOffset val="100"/>
        <c:tickMarkSkip val="1"/>
        <c:noMultiLvlLbl val="0"/>
      </c:catAx>
      <c:valAx>
        <c:axId val="112261376"/>
        <c:scaling>
          <c:orientation val="minMax"/>
        </c:scaling>
        <c:delete val="0"/>
        <c:axPos val="l"/>
        <c:title>
          <c:tx>
            <c:strRef>
              <c:f>'58 hrs'!$D$32</c:f>
              <c:strCache>
                <c:ptCount val="1"/>
                <c:pt idx="0">
                  <c:v>Hours</c:v>
                </c:pt>
              </c:strCache>
            </c:strRef>
          </c:tx>
          <c:layout>
            <c:manualLayout>
              <c:xMode val="edge"/>
              <c:yMode val="edge"/>
              <c:x val="2.3038882670479661E-2"/>
              <c:y val="0.381336398884205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59456"/>
        <c:crosses val="autoZero"/>
        <c:crossBetween val="between"/>
      </c:valAx>
      <c:catAx>
        <c:axId val="11187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1880064"/>
        <c:crosses val="autoZero"/>
        <c:auto val="1"/>
        <c:lblAlgn val="ctr"/>
        <c:lblOffset val="100"/>
        <c:noMultiLvlLbl val="0"/>
      </c:catAx>
      <c:valAx>
        <c:axId val="11188006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4324443524263657"/>
              <c:y val="0.3461059125851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78528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</a:t>
            </a:r>
          </a:p>
        </c:rich>
      </c:tx>
      <c:layout>
        <c:manualLayout>
          <c:xMode val="edge"/>
          <c:yMode val="edge"/>
          <c:x val="0.40153999964531467"/>
          <c:y val="7.8345039483455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'NY count'!$H$32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numRef>
              <c:f>'NY count'!$C$33:$C$54</c:f>
              <c:numCache>
                <c:formatCode>General</c:formatCode>
                <c:ptCount val="22"/>
              </c:numCache>
            </c:numRef>
          </c:cat>
          <c:val>
            <c:numRef>
              <c:f>'NY count'!$H$33:$H$54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4-4F4F-AC2A-CC92ABEDAE22}"/>
            </c:ext>
          </c:extLst>
        </c:ser>
        <c:ser>
          <c:idx val="0"/>
          <c:order val="1"/>
          <c:tx>
            <c:strRef>
              <c:f>'NY count'!$I$32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numRef>
              <c:f>'NY count'!$C$33:$C$54</c:f>
              <c:numCache>
                <c:formatCode>General</c:formatCode>
                <c:ptCount val="22"/>
              </c:numCache>
            </c:numRef>
          </c:cat>
          <c:val>
            <c:numRef>
              <c:f>'NY count'!$I$33:$I$54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4-4F4F-AC2A-CC92ABEDAE22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'NY count'!$C$33:$C$54</c:f>
              <c:numCache>
                <c:formatCode>General</c:formatCode>
                <c:ptCount val="22"/>
              </c:numCache>
            </c:numRef>
          </c:cat>
          <c:val>
            <c:numRef>
              <c:f>'NY count'!$C$33:$C$54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2-FB14-4F4F-AC2A-CC92ABED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2994176"/>
        <c:axId val="113004544"/>
      </c:barChart>
      <c:lineChart>
        <c:grouping val="standard"/>
        <c:varyColors val="0"/>
        <c:ser>
          <c:idx val="2"/>
          <c:order val="2"/>
          <c:tx>
            <c:strRef>
              <c:f>'NY count'!$E$32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'NY count'!$E$33:$E$54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4-4F4F-AC2A-CC92ABEDAE22}"/>
            </c:ext>
          </c:extLst>
        </c:ser>
        <c:ser>
          <c:idx val="3"/>
          <c:order val="3"/>
          <c:tx>
            <c:strRef>
              <c:f>'NY count'!$J$32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'NY count'!$J$33:$J$54</c:f>
              <c:numCache>
                <c:formatCode>0%</c:formatCode>
                <c:ptCount val="2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4-4F4F-AC2A-CC92ABED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06464"/>
        <c:axId val="113008000"/>
      </c:lineChart>
      <c:catAx>
        <c:axId val="112994176"/>
        <c:scaling>
          <c:orientation val="minMax"/>
        </c:scaling>
        <c:delete val="0"/>
        <c:axPos val="b"/>
        <c:title>
          <c:tx>
            <c:strRef>
              <c:f>'NY count'!$C$32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3004544"/>
        <c:crosses val="autoZero"/>
        <c:auto val="1"/>
        <c:lblAlgn val="ctr"/>
        <c:lblOffset val="100"/>
        <c:tickMarkSkip val="1"/>
        <c:noMultiLvlLbl val="0"/>
      </c:catAx>
      <c:valAx>
        <c:axId val="113004544"/>
        <c:scaling>
          <c:orientation val="minMax"/>
        </c:scaling>
        <c:delete val="0"/>
        <c:axPos val="l"/>
        <c:title>
          <c:tx>
            <c:strRef>
              <c:f>'NY count'!$D$32</c:f>
              <c:strCache>
                <c:ptCount val="1"/>
                <c:pt idx="0">
                  <c:v>Count</c:v>
                </c:pt>
              </c:strCache>
            </c:strRef>
          </c:tx>
          <c:layout>
            <c:manualLayout>
              <c:xMode val="edge"/>
              <c:yMode val="edge"/>
              <c:x val="2.9089411754273958E-2"/>
              <c:y val="0.3884245165898539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994176"/>
        <c:crosses val="autoZero"/>
        <c:crossBetween val="between"/>
      </c:valAx>
      <c:catAx>
        <c:axId val="11300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3008000"/>
        <c:crosses val="autoZero"/>
        <c:auto val="1"/>
        <c:lblAlgn val="ctr"/>
        <c:lblOffset val="100"/>
        <c:noMultiLvlLbl val="0"/>
      </c:catAx>
      <c:valAx>
        <c:axId val="113008000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4145507466127543"/>
              <c:y val="0.35319410667619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06464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</a:t>
            </a:r>
          </a:p>
        </c:rich>
      </c:tx>
      <c:layout>
        <c:manualLayout>
          <c:xMode val="edge"/>
          <c:yMode val="edge"/>
          <c:x val="0.39872465099627535"/>
          <c:y val="5.458547085023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'NY hrs'!$H$32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numRef>
              <c:f>'NY hrs'!$C$33:$C$54</c:f>
              <c:numCache>
                <c:formatCode>General</c:formatCode>
                <c:ptCount val="22"/>
              </c:numCache>
            </c:numRef>
          </c:cat>
          <c:val>
            <c:numRef>
              <c:f>'NY hrs'!$H$33:$H$54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E-4F84-8D80-A337D7E23A86}"/>
            </c:ext>
          </c:extLst>
        </c:ser>
        <c:ser>
          <c:idx val="0"/>
          <c:order val="1"/>
          <c:tx>
            <c:strRef>
              <c:f>'NY hrs'!$I$32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numRef>
              <c:f>'NY hrs'!$C$33:$C$54</c:f>
              <c:numCache>
                <c:formatCode>General</c:formatCode>
                <c:ptCount val="22"/>
              </c:numCache>
            </c:numRef>
          </c:cat>
          <c:val>
            <c:numRef>
              <c:f>'NY hrs'!$I$33:$I$54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E-4F84-8D80-A337D7E23A86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'NY hrs'!$C$33:$C$54</c:f>
              <c:numCache>
                <c:formatCode>General</c:formatCode>
                <c:ptCount val="22"/>
              </c:numCache>
            </c:numRef>
          </c:cat>
          <c:val>
            <c:numRef>
              <c:f>'NY hrs'!$C$33:$C$54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2-364E-4F84-8D80-A337D7E2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0697472"/>
        <c:axId val="110707840"/>
      </c:barChart>
      <c:lineChart>
        <c:grouping val="standard"/>
        <c:varyColors val="0"/>
        <c:ser>
          <c:idx val="2"/>
          <c:order val="2"/>
          <c:tx>
            <c:strRef>
              <c:f>'NY hrs'!$E$32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'NY hrs'!$E$33:$E$54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E-4F84-8D80-A337D7E23A86}"/>
            </c:ext>
          </c:extLst>
        </c:ser>
        <c:ser>
          <c:idx val="3"/>
          <c:order val="3"/>
          <c:tx>
            <c:strRef>
              <c:f>'NY hrs'!$J$32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'NY hrs'!$J$33:$J$54</c:f>
              <c:numCache>
                <c:formatCode>0%</c:formatCode>
                <c:ptCount val="2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E-4F84-8D80-A337D7E2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09760"/>
        <c:axId val="110715648"/>
      </c:lineChart>
      <c:catAx>
        <c:axId val="110697472"/>
        <c:scaling>
          <c:orientation val="minMax"/>
        </c:scaling>
        <c:delete val="0"/>
        <c:axPos val="b"/>
        <c:title>
          <c:tx>
            <c:strRef>
              <c:f>'NY hrs'!$C$32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0707840"/>
        <c:crosses val="autoZero"/>
        <c:auto val="1"/>
        <c:lblAlgn val="ctr"/>
        <c:lblOffset val="100"/>
        <c:tickMarkSkip val="1"/>
        <c:noMultiLvlLbl val="0"/>
      </c:catAx>
      <c:valAx>
        <c:axId val="110707840"/>
        <c:scaling>
          <c:orientation val="minMax"/>
        </c:scaling>
        <c:delete val="0"/>
        <c:axPos val="l"/>
        <c:title>
          <c:tx>
            <c:strRef>
              <c:f>'NY hrs'!$D$32</c:f>
              <c:strCache>
                <c:ptCount val="1"/>
                <c:pt idx="0">
                  <c:v>Hours</c:v>
                </c:pt>
              </c:strCache>
            </c:strRef>
          </c:tx>
          <c:layout>
            <c:manualLayout>
              <c:xMode val="edge"/>
              <c:yMode val="edge"/>
              <c:x val="3.125580953983053E-2"/>
              <c:y val="0.381668307086614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697472"/>
        <c:crosses val="autoZero"/>
        <c:crossBetween val="between"/>
      </c:valAx>
      <c:catAx>
        <c:axId val="11070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10715648"/>
        <c:crosses val="autoZero"/>
        <c:auto val="1"/>
        <c:lblAlgn val="ctr"/>
        <c:lblOffset val="100"/>
        <c:noMultiLvlLbl val="0"/>
      </c:catAx>
      <c:valAx>
        <c:axId val="110715648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3913597180796116"/>
              <c:y val="0.34959436888570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709760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Delay Hours (Oct '18 - Sep '20) vs AVG Annual</a:t>
            </a:r>
            <a:r>
              <a:rPr lang="en-US" baseline="0"/>
              <a:t> Maint Costs (Jan '15 - Mar '20)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Costs!$C$18</c:f>
              <c:strCache>
                <c:ptCount val="1"/>
                <c:pt idx="0">
                  <c:v>Hours (EDL)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Costs!$D$17:$I$17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Costs!$D$18:$I$18</c:f>
              <c:numCache>
                <c:formatCode>0</c:formatCode>
                <c:ptCount val="6"/>
                <c:pt idx="0">
                  <c:v>311.01777777785435</c:v>
                </c:pt>
                <c:pt idx="1">
                  <c:v>129.863888888855</c:v>
                </c:pt>
                <c:pt idx="2">
                  <c:v>558.82583333342336</c:v>
                </c:pt>
                <c:pt idx="3">
                  <c:v>285.66444444450087</c:v>
                </c:pt>
                <c:pt idx="4">
                  <c:v>110.8908333333279</c:v>
                </c:pt>
                <c:pt idx="5">
                  <c:v>465.83666666517036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579-855D-CF093CEB2D70}"/>
            </c:ext>
          </c:extLst>
        </c:ser>
        <c:ser>
          <c:idx val="1"/>
          <c:order val="1"/>
          <c:tx>
            <c:strRef>
              <c:f>Costs!$C$19</c:f>
              <c:strCache>
                <c:ptCount val="1"/>
                <c:pt idx="0">
                  <c:v>Avg Cost in $ (x1000)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Costs!$D$17:$I$17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Costs!$D$19:$I$19</c:f>
              <c:numCache>
                <c:formatCode>0.0</c:formatCode>
                <c:ptCount val="6"/>
                <c:pt idx="0">
                  <c:v>87.948999999999998</c:v>
                </c:pt>
                <c:pt idx="1">
                  <c:v>178.62400000000002</c:v>
                </c:pt>
                <c:pt idx="2">
                  <c:v>50.12</c:v>
                </c:pt>
                <c:pt idx="3">
                  <c:v>119.18300000000001</c:v>
                </c:pt>
                <c:pt idx="4">
                  <c:v>53.023000000000003</c:v>
                </c:pt>
                <c:pt idx="5">
                  <c:v>68.593000000000004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E-4579-855D-CF093CEB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389528"/>
        <c:axId val="378393464"/>
        <c:axId val="0"/>
      </c:bar3DChart>
      <c:catAx>
        <c:axId val="37838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93464"/>
        <c:crosses val="autoZero"/>
        <c:auto val="1"/>
        <c:lblAlgn val="ctr"/>
        <c:lblOffset val="100"/>
        <c:noMultiLvlLbl val="0"/>
      </c:catAx>
      <c:valAx>
        <c:axId val="3783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8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Delay Hours (Feb '17 - Sep '20) vs AVG Annaul Maint Costs (Jan</a:t>
            </a:r>
            <a:r>
              <a:rPr lang="en-US" baseline="0"/>
              <a:t> '15 - Mar '20)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Costs!$C$22</c:f>
              <c:strCache>
                <c:ptCount val="1"/>
                <c:pt idx="0">
                  <c:v>Hours (EDL)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Costs!$D$21:$I$21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Costs!$D$22:$I$22</c:f>
              <c:numCache>
                <c:formatCode>0</c:formatCode>
                <c:ptCount val="6"/>
                <c:pt idx="0">
                  <c:v>165.11166666660458</c:v>
                </c:pt>
                <c:pt idx="1">
                  <c:v>75.47</c:v>
                </c:pt>
                <c:pt idx="2">
                  <c:v>571.31250000017928</c:v>
                </c:pt>
                <c:pt idx="3">
                  <c:v>299.80388888908317</c:v>
                </c:pt>
                <c:pt idx="4">
                  <c:v>126.84916666669073</c:v>
                </c:pt>
                <c:pt idx="5">
                  <c:v>11.73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8-4C9D-9CCD-B091419A57A9}"/>
            </c:ext>
          </c:extLst>
        </c:ser>
        <c:ser>
          <c:idx val="1"/>
          <c:order val="1"/>
          <c:tx>
            <c:strRef>
              <c:f>Costs!$C$23</c:f>
              <c:strCache>
                <c:ptCount val="1"/>
                <c:pt idx="0">
                  <c:v>Avg Cost in $ (x1000)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Costs!$D$21:$I$21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Costs!$D$23:$I$23</c:f>
              <c:numCache>
                <c:formatCode>0.0</c:formatCode>
                <c:ptCount val="6"/>
                <c:pt idx="0">
                  <c:v>189.876</c:v>
                </c:pt>
                <c:pt idx="1">
                  <c:v>173.38900000000001</c:v>
                </c:pt>
                <c:pt idx="2">
                  <c:v>23.331</c:v>
                </c:pt>
                <c:pt idx="3">
                  <c:v>293.005</c:v>
                </c:pt>
                <c:pt idx="4">
                  <c:v>38.137999999999998</c:v>
                </c:pt>
                <c:pt idx="5">
                  <c:v>150.74799999999999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8-4C9D-9CCD-B091419A5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852472"/>
        <c:axId val="378848208"/>
        <c:axId val="0"/>
      </c:bar3DChart>
      <c:catAx>
        <c:axId val="37885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48208"/>
        <c:crosses val="autoZero"/>
        <c:auto val="1"/>
        <c:lblAlgn val="ctr"/>
        <c:lblOffset val="100"/>
        <c:noMultiLvlLbl val="0"/>
      </c:catAx>
      <c:valAx>
        <c:axId val="3788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Delay Hours (Mar '17 - Sep '20) vs AVG Annual Maint Costs</a:t>
            </a:r>
            <a:r>
              <a:rPr lang="en-US" baseline="0"/>
              <a:t> (Jan '15 - Mar '20)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Costs!$C$26</c:f>
              <c:strCache>
                <c:ptCount val="1"/>
                <c:pt idx="0">
                  <c:v>Hours (EDL)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Costs!$D$25:$I$25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Costs!$D$26:$I$26</c:f>
              <c:numCache>
                <c:formatCode>0</c:formatCode>
                <c:ptCount val="6"/>
                <c:pt idx="0">
                  <c:v>1268.4099999999999</c:v>
                </c:pt>
                <c:pt idx="1">
                  <c:v>36.313611111098432</c:v>
                </c:pt>
                <c:pt idx="2">
                  <c:v>336.88</c:v>
                </c:pt>
                <c:pt idx="3">
                  <c:v>186.90027777774026</c:v>
                </c:pt>
                <c:pt idx="4">
                  <c:v>98.39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0-47BF-924D-00AF0472F223}"/>
            </c:ext>
          </c:extLst>
        </c:ser>
        <c:ser>
          <c:idx val="1"/>
          <c:order val="1"/>
          <c:tx>
            <c:strRef>
              <c:f>Costs!$C$27</c:f>
              <c:strCache>
                <c:ptCount val="1"/>
                <c:pt idx="0">
                  <c:v>Avg Cost in $ (x1000)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Costs!$D$25:$I$25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Costs!$D$27:$I$27</c:f>
              <c:numCache>
                <c:formatCode>0.0</c:formatCode>
                <c:ptCount val="6"/>
                <c:pt idx="0">
                  <c:v>167.05</c:v>
                </c:pt>
                <c:pt idx="1">
                  <c:v>176.52600000000001</c:v>
                </c:pt>
                <c:pt idx="2">
                  <c:v>113.327</c:v>
                </c:pt>
                <c:pt idx="3">
                  <c:v>98.503</c:v>
                </c:pt>
                <c:pt idx="4">
                  <c:v>52.703000000000003</c:v>
                </c:pt>
                <c:pt idx="5">
                  <c:v>29.98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0-47BF-924D-00AF0472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2814096"/>
        <c:axId val="452809176"/>
        <c:axId val="0"/>
      </c:bar3DChart>
      <c:catAx>
        <c:axId val="4528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09176"/>
        <c:crosses val="autoZero"/>
        <c:auto val="1"/>
        <c:lblAlgn val="ctr"/>
        <c:lblOffset val="100"/>
        <c:noMultiLvlLbl val="0"/>
      </c:catAx>
      <c:valAx>
        <c:axId val="4528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Delays Hours (May '19 - Sep '20) vs AVG Annaul Maint Costs (Jan '15</a:t>
            </a:r>
            <a:r>
              <a:rPr lang="en-US" baseline="0"/>
              <a:t> - Mar '20)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6861111111111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Costs!$C$30</c:f>
              <c:strCache>
                <c:ptCount val="1"/>
                <c:pt idx="0">
                  <c:v>Hours (EDL)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Costs!$D$29:$I$29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Costs!$D$30:$I$30</c:f>
              <c:numCache>
                <c:formatCode>0</c:formatCode>
                <c:ptCount val="6"/>
                <c:pt idx="0">
                  <c:v>79.502500000062867</c:v>
                </c:pt>
                <c:pt idx="1">
                  <c:v>17.41</c:v>
                </c:pt>
                <c:pt idx="2">
                  <c:v>505.72444444449849</c:v>
                </c:pt>
                <c:pt idx="3">
                  <c:v>75.521666666846727</c:v>
                </c:pt>
                <c:pt idx="4">
                  <c:v>103.72</c:v>
                </c:pt>
                <c:pt idx="5">
                  <c:v>190.94138888905056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5-43D6-B1C4-9C31F55BA725}"/>
            </c:ext>
          </c:extLst>
        </c:ser>
        <c:ser>
          <c:idx val="1"/>
          <c:order val="1"/>
          <c:tx>
            <c:strRef>
              <c:f>Costs!$C$31</c:f>
              <c:strCache>
                <c:ptCount val="1"/>
                <c:pt idx="0">
                  <c:v>Avg Cost in $ (x1000)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Costs!$D$29:$I$29</c:f>
              <c:strCache>
                <c:ptCount val="6"/>
                <c:pt idx="0">
                  <c:v>Generator</c:v>
                </c:pt>
                <c:pt idx="1">
                  <c:v>Dredge Crane</c:v>
                </c:pt>
                <c:pt idx="2">
                  <c:v>Closing Winch</c:v>
                </c:pt>
                <c:pt idx="3">
                  <c:v>Spud</c:v>
                </c:pt>
                <c:pt idx="4">
                  <c:v>Electrical</c:v>
                </c:pt>
                <c:pt idx="5">
                  <c:v>Swing Circle</c:v>
                </c:pt>
              </c:strCache>
            </c:strRef>
          </c:cat>
          <c:val>
            <c:numRef>
              <c:f>Costs!$D$31:$I$31</c:f>
              <c:numCache>
                <c:formatCode>0.0</c:formatCode>
                <c:ptCount val="6"/>
                <c:pt idx="0">
                  <c:v>0</c:v>
                </c:pt>
                <c:pt idx="1">
                  <c:v>89.135000000000005</c:v>
                </c:pt>
                <c:pt idx="2">
                  <c:v>2.1930000000000001</c:v>
                </c:pt>
                <c:pt idx="3">
                  <c:v>0.41899999999999998</c:v>
                </c:pt>
                <c:pt idx="4">
                  <c:v>23.373000000000001</c:v>
                </c:pt>
                <c:pt idx="5">
                  <c:v>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5-43D6-B1C4-9C31F55B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030992"/>
        <c:axId val="653030008"/>
        <c:axId val="0"/>
      </c:bar3DChart>
      <c:catAx>
        <c:axId val="6530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30008"/>
        <c:crosses val="autoZero"/>
        <c:auto val="1"/>
        <c:lblAlgn val="ctr"/>
        <c:lblOffset val="100"/>
        <c:noMultiLvlLbl val="0"/>
      </c:catAx>
      <c:valAx>
        <c:axId val="6530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DREDGE-53</a:t>
            </a:r>
          </a:p>
        </c:rich>
      </c:tx>
      <c:layout>
        <c:manualLayout>
          <c:xMode val="edge"/>
          <c:yMode val="edge"/>
          <c:x val="0.40827272863966479"/>
          <c:y val="8.3725597458212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'53 count'!$H$32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'53 count'!$C$33:$C$63</c:f>
              <c:strCache>
                <c:ptCount val="30"/>
                <c:pt idx="0">
                  <c:v>Main / Aux. Generators (Main Generator Engine)</c:v>
                </c:pt>
                <c:pt idx="1">
                  <c:v>Buckets (Weld / Repair Bucket)</c:v>
                </c:pt>
                <c:pt idx="2">
                  <c:v>Main Hoist (Holder)</c:v>
                </c:pt>
                <c:pt idx="3">
                  <c:v>Main Hoist (Closer)</c:v>
                </c:pt>
                <c:pt idx="4">
                  <c:v>Main / Aux. Generators (Main Generator)</c:v>
                </c:pt>
                <c:pt idx="5">
                  <c:v>Crane Swing (Drive (motor, gear box, etc.))</c:v>
                </c:pt>
                <c:pt idx="6">
                  <c:v>Tugs and Scows (Scow Repair)</c:v>
                </c:pt>
                <c:pt idx="7">
                  <c:v>Tagline (Tagline Wire)</c:v>
                </c:pt>
                <c:pt idx="8">
                  <c:v>Crane Boom (Boom Winch)</c:v>
                </c:pt>
                <c:pt idx="9">
                  <c:v>Main Hoist (Closer Wire)</c:v>
                </c:pt>
                <c:pt idx="10">
                  <c:v>Crane Swing (Swing Circle (rollers, etc.))</c:v>
                </c:pt>
                <c:pt idx="11">
                  <c:v>Electrical/Electronics (MCC / Switch Gear)</c:v>
                </c:pt>
                <c:pt idx="12">
                  <c:v>Spud System (Spud Winch)</c:v>
                </c:pt>
                <c:pt idx="13">
                  <c:v>Electrical/Electronics (PLC)</c:v>
                </c:pt>
                <c:pt idx="14">
                  <c:v>Deck Winch (Winch)</c:v>
                </c:pt>
                <c:pt idx="15">
                  <c:v>Main Hoist (Holder Wire)</c:v>
                </c:pt>
                <c:pt idx="16">
                  <c:v>Spud System (Walking Mechanisms (Carriage / Travel))</c:v>
                </c:pt>
                <c:pt idx="17">
                  <c:v>Tagline (Tagline Winch (motor, gearbox, etc.))</c:v>
                </c:pt>
                <c:pt idx="18">
                  <c:v>Auxiliary Systems (Compressed Air)</c:v>
                </c:pt>
                <c:pt idx="19">
                  <c:v>Spud System (Spud Wires)</c:v>
                </c:pt>
                <c:pt idx="20">
                  <c:v>Spud System (Spud Structure)</c:v>
                </c:pt>
                <c:pt idx="21">
                  <c:v>Electrical/Electronics (Transformers)</c:v>
                </c:pt>
                <c:pt idx="22">
                  <c:v>Tugs and Scows (Tug Repair)</c:v>
                </c:pt>
                <c:pt idx="23">
                  <c:v>Deck Winch (Fairleads)</c:v>
                </c:pt>
                <c:pt idx="24">
                  <c:v>Crane Boom (Boom / Gantry Structure)</c:v>
                </c:pt>
                <c:pt idx="25">
                  <c:v>Auxiliary Systems (Deck Crane)</c:v>
                </c:pt>
                <c:pt idx="26">
                  <c:v>Crane Boom (Boom Wires)</c:v>
                </c:pt>
                <c:pt idx="27">
                  <c:v>Spud System (Spud Sheaves)</c:v>
                </c:pt>
                <c:pt idx="28">
                  <c:v>Auxiliary Systems (Heating, Ventilation, A/C)</c:v>
                </c:pt>
                <c:pt idx="29">
                  <c:v>Auxiliary Systems (Fuel)</c:v>
                </c:pt>
              </c:strCache>
            </c:strRef>
          </c:cat>
          <c:val>
            <c:numRef>
              <c:f>'53 count'!$H$33:$H$63</c:f>
              <c:numCache>
                <c:formatCode>General</c:formatCode>
                <c:ptCount val="31"/>
                <c:pt idx="0">
                  <c:v>112</c:v>
                </c:pt>
                <c:pt idx="1">
                  <c:v>105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62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47</c:v>
                </c:pt>
                <c:pt idx="10">
                  <c:v>38</c:v>
                </c:pt>
                <c:pt idx="11">
                  <c:v>34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C0B-9359-4A50216A20A3}"/>
            </c:ext>
          </c:extLst>
        </c:ser>
        <c:ser>
          <c:idx val="0"/>
          <c:order val="1"/>
          <c:tx>
            <c:strRef>
              <c:f>'53 count'!$I$32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'53 count'!$C$33:$C$63</c:f>
              <c:strCache>
                <c:ptCount val="30"/>
                <c:pt idx="0">
                  <c:v>Main / Aux. Generators (Main Generator Engine)</c:v>
                </c:pt>
                <c:pt idx="1">
                  <c:v>Buckets (Weld / Repair Bucket)</c:v>
                </c:pt>
                <c:pt idx="2">
                  <c:v>Main Hoist (Holder)</c:v>
                </c:pt>
                <c:pt idx="3">
                  <c:v>Main Hoist (Closer)</c:v>
                </c:pt>
                <c:pt idx="4">
                  <c:v>Main / Aux. Generators (Main Generator)</c:v>
                </c:pt>
                <c:pt idx="5">
                  <c:v>Crane Swing (Drive (motor, gear box, etc.))</c:v>
                </c:pt>
                <c:pt idx="6">
                  <c:v>Tugs and Scows (Scow Repair)</c:v>
                </c:pt>
                <c:pt idx="7">
                  <c:v>Tagline (Tagline Wire)</c:v>
                </c:pt>
                <c:pt idx="8">
                  <c:v>Crane Boom (Boom Winch)</c:v>
                </c:pt>
                <c:pt idx="9">
                  <c:v>Main Hoist (Closer Wire)</c:v>
                </c:pt>
                <c:pt idx="10">
                  <c:v>Crane Swing (Swing Circle (rollers, etc.))</c:v>
                </c:pt>
                <c:pt idx="11">
                  <c:v>Electrical/Electronics (MCC / Switch Gear)</c:v>
                </c:pt>
                <c:pt idx="12">
                  <c:v>Spud System (Spud Winch)</c:v>
                </c:pt>
                <c:pt idx="13">
                  <c:v>Electrical/Electronics (PLC)</c:v>
                </c:pt>
                <c:pt idx="14">
                  <c:v>Deck Winch (Winch)</c:v>
                </c:pt>
                <c:pt idx="15">
                  <c:v>Main Hoist (Holder Wire)</c:v>
                </c:pt>
                <c:pt idx="16">
                  <c:v>Spud System (Walking Mechanisms (Carriage / Travel))</c:v>
                </c:pt>
                <c:pt idx="17">
                  <c:v>Tagline (Tagline Winch (motor, gearbox, etc.))</c:v>
                </c:pt>
                <c:pt idx="18">
                  <c:v>Auxiliary Systems (Compressed Air)</c:v>
                </c:pt>
                <c:pt idx="19">
                  <c:v>Spud System (Spud Wires)</c:v>
                </c:pt>
                <c:pt idx="20">
                  <c:v>Spud System (Spud Structure)</c:v>
                </c:pt>
                <c:pt idx="21">
                  <c:v>Electrical/Electronics (Transformers)</c:v>
                </c:pt>
                <c:pt idx="22">
                  <c:v>Tugs and Scows (Tug Repair)</c:v>
                </c:pt>
                <c:pt idx="23">
                  <c:v>Deck Winch (Fairleads)</c:v>
                </c:pt>
                <c:pt idx="24">
                  <c:v>Crane Boom (Boom / Gantry Structure)</c:v>
                </c:pt>
                <c:pt idx="25">
                  <c:v>Auxiliary Systems (Deck Crane)</c:v>
                </c:pt>
                <c:pt idx="26">
                  <c:v>Crane Boom (Boom Wires)</c:v>
                </c:pt>
                <c:pt idx="27">
                  <c:v>Spud System (Spud Sheaves)</c:v>
                </c:pt>
                <c:pt idx="28">
                  <c:v>Auxiliary Systems (Heating, Ventilation, A/C)</c:v>
                </c:pt>
                <c:pt idx="29">
                  <c:v>Auxiliary Systems (Fuel)</c:v>
                </c:pt>
              </c:strCache>
            </c:strRef>
          </c:cat>
          <c:val>
            <c:numRef>
              <c:f>'53 count'!$I$33:$I$63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28</c:v>
                </c:pt>
                <c:pt idx="15">
                  <c:v>25</c:v>
                </c:pt>
                <c:pt idx="16">
                  <c:v>24</c:v>
                </c:pt>
                <c:pt idx="17">
                  <c:v>22</c:v>
                </c:pt>
                <c:pt idx="18">
                  <c:v>12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C0B-9359-4A50216A20A3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'53 count'!$C$33:$C$63</c:f>
              <c:strCache>
                <c:ptCount val="30"/>
                <c:pt idx="0">
                  <c:v>Main / Aux. Generators (Main Generator Engine)</c:v>
                </c:pt>
                <c:pt idx="1">
                  <c:v>Buckets (Weld / Repair Bucket)</c:v>
                </c:pt>
                <c:pt idx="2">
                  <c:v>Main Hoist (Holder)</c:v>
                </c:pt>
                <c:pt idx="3">
                  <c:v>Main Hoist (Closer)</c:v>
                </c:pt>
                <c:pt idx="4">
                  <c:v>Main / Aux. Generators (Main Generator)</c:v>
                </c:pt>
                <c:pt idx="5">
                  <c:v>Crane Swing (Drive (motor, gear box, etc.))</c:v>
                </c:pt>
                <c:pt idx="6">
                  <c:v>Tugs and Scows (Scow Repair)</c:v>
                </c:pt>
                <c:pt idx="7">
                  <c:v>Tagline (Tagline Wire)</c:v>
                </c:pt>
                <c:pt idx="8">
                  <c:v>Crane Boom (Boom Winch)</c:v>
                </c:pt>
                <c:pt idx="9">
                  <c:v>Main Hoist (Closer Wire)</c:v>
                </c:pt>
                <c:pt idx="10">
                  <c:v>Crane Swing (Swing Circle (rollers, etc.))</c:v>
                </c:pt>
                <c:pt idx="11">
                  <c:v>Electrical/Electronics (MCC / Switch Gear)</c:v>
                </c:pt>
                <c:pt idx="12">
                  <c:v>Spud System (Spud Winch)</c:v>
                </c:pt>
                <c:pt idx="13">
                  <c:v>Electrical/Electronics (PLC)</c:v>
                </c:pt>
                <c:pt idx="14">
                  <c:v>Deck Winch (Winch)</c:v>
                </c:pt>
                <c:pt idx="15">
                  <c:v>Main Hoist (Holder Wire)</c:v>
                </c:pt>
                <c:pt idx="16">
                  <c:v>Spud System (Walking Mechanisms (Carriage / Travel))</c:v>
                </c:pt>
                <c:pt idx="17">
                  <c:v>Tagline (Tagline Winch (motor, gearbox, etc.))</c:v>
                </c:pt>
                <c:pt idx="18">
                  <c:v>Auxiliary Systems (Compressed Air)</c:v>
                </c:pt>
                <c:pt idx="19">
                  <c:v>Spud System (Spud Wires)</c:v>
                </c:pt>
                <c:pt idx="20">
                  <c:v>Spud System (Spud Structure)</c:v>
                </c:pt>
                <c:pt idx="21">
                  <c:v>Electrical/Electronics (Transformers)</c:v>
                </c:pt>
                <c:pt idx="22">
                  <c:v>Tugs and Scows (Tug Repair)</c:v>
                </c:pt>
                <c:pt idx="23">
                  <c:v>Deck Winch (Fairleads)</c:v>
                </c:pt>
                <c:pt idx="24">
                  <c:v>Crane Boom (Boom / Gantry Structure)</c:v>
                </c:pt>
                <c:pt idx="25">
                  <c:v>Auxiliary Systems (Deck Crane)</c:v>
                </c:pt>
                <c:pt idx="26">
                  <c:v>Crane Boom (Boom Wires)</c:v>
                </c:pt>
                <c:pt idx="27">
                  <c:v>Spud System (Spud Sheaves)</c:v>
                </c:pt>
                <c:pt idx="28">
                  <c:v>Auxiliary Systems (Heating, Ventilation, A/C)</c:v>
                </c:pt>
                <c:pt idx="29">
                  <c:v>Auxiliary Systems (Fuel)</c:v>
                </c:pt>
              </c:strCache>
            </c:strRef>
          </c:cat>
          <c:val>
            <c:numRef>
              <c:f>'53 count'!$C$33:$C$63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06005632"/>
        <c:axId val="106007552"/>
      </c:barChart>
      <c:lineChart>
        <c:grouping val="standard"/>
        <c:varyColors val="0"/>
        <c:ser>
          <c:idx val="2"/>
          <c:order val="2"/>
          <c:tx>
            <c:strRef>
              <c:f>'53 count'!$E$32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'53 count'!$E$33:$E$63</c:f>
              <c:numCache>
                <c:formatCode>0.0%</c:formatCode>
                <c:ptCount val="31"/>
                <c:pt idx="0">
                  <c:v>0.11510791366906475</c:v>
                </c:pt>
                <c:pt idx="1">
                  <c:v>0.22302158273381295</c:v>
                </c:pt>
                <c:pt idx="2">
                  <c:v>0.28982528263103802</c:v>
                </c:pt>
                <c:pt idx="3">
                  <c:v>0.35662898252826308</c:v>
                </c:pt>
                <c:pt idx="4">
                  <c:v>0.4234326824254882</c:v>
                </c:pt>
                <c:pt idx="5">
                  <c:v>0.48715313463514903</c:v>
                </c:pt>
                <c:pt idx="6">
                  <c:v>0.54573484069886946</c:v>
                </c:pt>
                <c:pt idx="7">
                  <c:v>0.59712230215827333</c:v>
                </c:pt>
                <c:pt idx="8">
                  <c:v>0.64748201438848918</c:v>
                </c:pt>
                <c:pt idx="9">
                  <c:v>0.69578622816032887</c:v>
                </c:pt>
                <c:pt idx="10">
                  <c:v>0.73484069886947589</c:v>
                </c:pt>
                <c:pt idx="11">
                  <c:v>0.76978417266187049</c:v>
                </c:pt>
                <c:pt idx="12">
                  <c:v>0.80164439876670091</c:v>
                </c:pt>
                <c:pt idx="13">
                  <c:v>0.83247687564234329</c:v>
                </c:pt>
                <c:pt idx="14">
                  <c:v>0.86125385405960941</c:v>
                </c:pt>
                <c:pt idx="15">
                  <c:v>0.88694758478931146</c:v>
                </c:pt>
                <c:pt idx="16">
                  <c:v>0.91161356628982526</c:v>
                </c:pt>
                <c:pt idx="17">
                  <c:v>0.93422404933196301</c:v>
                </c:pt>
                <c:pt idx="18">
                  <c:v>0.94655704008221997</c:v>
                </c:pt>
                <c:pt idx="19">
                  <c:v>0.95786228160328879</c:v>
                </c:pt>
                <c:pt idx="20">
                  <c:v>0.96711202466598145</c:v>
                </c:pt>
                <c:pt idx="21">
                  <c:v>0.97533401849948609</c:v>
                </c:pt>
                <c:pt idx="22">
                  <c:v>0.9825282631038027</c:v>
                </c:pt>
                <c:pt idx="23">
                  <c:v>0.98663926002055502</c:v>
                </c:pt>
                <c:pt idx="24">
                  <c:v>0.99075025693730734</c:v>
                </c:pt>
                <c:pt idx="25">
                  <c:v>0.99486125385405966</c:v>
                </c:pt>
                <c:pt idx="26">
                  <c:v>0.99691675231243582</c:v>
                </c:pt>
                <c:pt idx="27">
                  <c:v>0.99794450154162384</c:v>
                </c:pt>
                <c:pt idx="28">
                  <c:v>0.99897225077081198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C0B-9359-4A50216A20A3}"/>
            </c:ext>
          </c:extLst>
        </c:ser>
        <c:ser>
          <c:idx val="3"/>
          <c:order val="3"/>
          <c:tx>
            <c:strRef>
              <c:f>'53 count'!$J$32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'53 count'!$J$33:$J$63</c:f>
              <c:numCache>
                <c:formatCode>0%</c:formatCode>
                <c:ptCount val="3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22016"/>
        <c:axId val="106023552"/>
      </c:lineChart>
      <c:catAx>
        <c:axId val="106005632"/>
        <c:scaling>
          <c:orientation val="minMax"/>
        </c:scaling>
        <c:delete val="0"/>
        <c:axPos val="b"/>
        <c:title>
          <c:tx>
            <c:strRef>
              <c:f>'53 count'!$C$32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6007552"/>
        <c:crosses val="autoZero"/>
        <c:auto val="1"/>
        <c:lblAlgn val="ctr"/>
        <c:lblOffset val="100"/>
        <c:tickMarkSkip val="1"/>
        <c:noMultiLvlLbl val="0"/>
      </c:catAx>
      <c:valAx>
        <c:axId val="106007552"/>
        <c:scaling>
          <c:orientation val="minMax"/>
        </c:scaling>
        <c:delete val="0"/>
        <c:axPos val="l"/>
        <c:title>
          <c:tx>
            <c:strRef>
              <c:f>'53 count'!$D$32</c:f>
              <c:strCache>
                <c:ptCount val="1"/>
                <c:pt idx="0">
                  <c:v>Count</c:v>
                </c:pt>
              </c:strCache>
            </c:strRef>
          </c:tx>
          <c:layout>
            <c:manualLayout>
              <c:xMode val="edge"/>
              <c:yMode val="edge"/>
              <c:x val="3.9801370309296952E-2"/>
              <c:y val="0.3764038126813095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05632"/>
        <c:crosses val="autoZero"/>
        <c:crossBetween val="between"/>
      </c:valAx>
      <c:catAx>
        <c:axId val="10602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6023552"/>
        <c:crosses val="autoZero"/>
        <c:auto val="1"/>
        <c:lblAlgn val="ctr"/>
        <c:lblOffset val="100"/>
        <c:noMultiLvlLbl val="0"/>
      </c:catAx>
      <c:valAx>
        <c:axId val="106023552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3253866420739417"/>
              <c:y val="0.3495943638624119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22016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DREDGE-53</a:t>
            </a:r>
          </a:p>
        </c:rich>
      </c:tx>
      <c:layout>
        <c:manualLayout>
          <c:xMode val="edge"/>
          <c:yMode val="edge"/>
          <c:x val="0.39872470395469489"/>
          <c:y val="1.35501713620304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'53 hrs'!$H$32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'53 hrs'!$C$33:$C$63</c:f>
              <c:strCache>
                <c:ptCount val="30"/>
                <c:pt idx="0">
                  <c:v>Crane Swing (Drive (motor, gear box, etc.))</c:v>
                </c:pt>
                <c:pt idx="1">
                  <c:v>Main Hoist (Holder)</c:v>
                </c:pt>
                <c:pt idx="2">
                  <c:v>Buckets (Weld / Repair Bucket)</c:v>
                </c:pt>
                <c:pt idx="3">
                  <c:v>Main / Aux. Generators (Main Generator)</c:v>
                </c:pt>
                <c:pt idx="4">
                  <c:v>Tugs and Scows (Scow Repair)</c:v>
                </c:pt>
                <c:pt idx="5">
                  <c:v>Crane Boom (Boom Winch)</c:v>
                </c:pt>
                <c:pt idx="6">
                  <c:v>Main Hoist (Closer Wire)</c:v>
                </c:pt>
                <c:pt idx="7">
                  <c:v>Main / Aux. Generators (Main Generator Engine)</c:v>
                </c:pt>
                <c:pt idx="8">
                  <c:v>Crane Swing (Swing Circle (rollers, etc.))</c:v>
                </c:pt>
                <c:pt idx="9">
                  <c:v>Spud System (Spud Structure)</c:v>
                </c:pt>
                <c:pt idx="10">
                  <c:v>Spud System (Walking Mechanisms (Carriage / Travel))</c:v>
                </c:pt>
                <c:pt idx="11">
                  <c:v>Spud System (Spud Wires)</c:v>
                </c:pt>
                <c:pt idx="12">
                  <c:v>Spud System (Spud Winch)</c:v>
                </c:pt>
                <c:pt idx="13">
                  <c:v>Main Hoist (Holder Wire)</c:v>
                </c:pt>
                <c:pt idx="14">
                  <c:v>Electrical/Electronics (PLC)</c:v>
                </c:pt>
                <c:pt idx="15">
                  <c:v>Tagline (Tagline Wire)</c:v>
                </c:pt>
                <c:pt idx="16">
                  <c:v>Electrical/Electronics (Transformers)</c:v>
                </c:pt>
                <c:pt idx="17">
                  <c:v>Main Hoist (Closer)</c:v>
                </c:pt>
                <c:pt idx="18">
                  <c:v>Electrical/Electronics (MCC / Switch Gear)</c:v>
                </c:pt>
                <c:pt idx="19">
                  <c:v>Tagline (Tagline Winch (motor, gearbox, etc.))</c:v>
                </c:pt>
                <c:pt idx="20">
                  <c:v>Deck Winch (Winch)</c:v>
                </c:pt>
                <c:pt idx="21">
                  <c:v>Auxiliary Systems (Fuel)</c:v>
                </c:pt>
                <c:pt idx="22">
                  <c:v>Tugs and Scows (Tug Repair)</c:v>
                </c:pt>
                <c:pt idx="23">
                  <c:v>Auxiliary Systems (Compressed Air)</c:v>
                </c:pt>
                <c:pt idx="24">
                  <c:v>Deck Winch (Fairleads)</c:v>
                </c:pt>
                <c:pt idx="25">
                  <c:v>Crane Boom (Boom / Gantry Structure)</c:v>
                </c:pt>
                <c:pt idx="26">
                  <c:v>Auxiliary Systems (Deck Crane)</c:v>
                </c:pt>
                <c:pt idx="27">
                  <c:v>Crane Boom (Boom Wires)</c:v>
                </c:pt>
                <c:pt idx="28">
                  <c:v>Auxiliary Systems (Heating, Ventilation, A/C)</c:v>
                </c:pt>
                <c:pt idx="29">
                  <c:v>Spud System (Spud Sheaves)</c:v>
                </c:pt>
              </c:strCache>
            </c:strRef>
          </c:cat>
          <c:val>
            <c:numRef>
              <c:f>'53 hrs'!$H$33:$H$63</c:f>
              <c:numCache>
                <c:formatCode>General</c:formatCode>
                <c:ptCount val="31"/>
                <c:pt idx="0">
                  <c:v>364.68722222075331</c:v>
                </c:pt>
                <c:pt idx="1">
                  <c:v>362.12249999986727</c:v>
                </c:pt>
                <c:pt idx="2">
                  <c:v>199.31472222228069</c:v>
                </c:pt>
                <c:pt idx="3">
                  <c:v>196.53777777785433</c:v>
                </c:pt>
                <c:pt idx="4">
                  <c:v>132.47499999981142</c:v>
                </c:pt>
                <c:pt idx="5">
                  <c:v>122.53722222222713</c:v>
                </c:pt>
                <c:pt idx="6">
                  <c:v>116.56027777804528</c:v>
                </c:pt>
                <c:pt idx="7">
                  <c:v>114.47999999999999</c:v>
                </c:pt>
                <c:pt idx="8">
                  <c:v>101.14944444441703</c:v>
                </c:pt>
                <c:pt idx="9">
                  <c:v>82.18666666660458</c:v>
                </c:pt>
                <c:pt idx="10">
                  <c:v>76.235000000176939</c:v>
                </c:pt>
                <c:pt idx="11">
                  <c:v>71.84277777771932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C0B-9359-4A50216A20A3}"/>
            </c:ext>
          </c:extLst>
        </c:ser>
        <c:ser>
          <c:idx val="0"/>
          <c:order val="1"/>
          <c:tx>
            <c:strRef>
              <c:f>'53 hrs'!$I$32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'53 hrs'!$C$33:$C$63</c:f>
              <c:strCache>
                <c:ptCount val="30"/>
                <c:pt idx="0">
                  <c:v>Crane Swing (Drive (motor, gear box, etc.))</c:v>
                </c:pt>
                <c:pt idx="1">
                  <c:v>Main Hoist (Holder)</c:v>
                </c:pt>
                <c:pt idx="2">
                  <c:v>Buckets (Weld / Repair Bucket)</c:v>
                </c:pt>
                <c:pt idx="3">
                  <c:v>Main / Aux. Generators (Main Generator)</c:v>
                </c:pt>
                <c:pt idx="4">
                  <c:v>Tugs and Scows (Scow Repair)</c:v>
                </c:pt>
                <c:pt idx="5">
                  <c:v>Crane Boom (Boom Winch)</c:v>
                </c:pt>
                <c:pt idx="6">
                  <c:v>Main Hoist (Closer Wire)</c:v>
                </c:pt>
                <c:pt idx="7">
                  <c:v>Main / Aux. Generators (Main Generator Engine)</c:v>
                </c:pt>
                <c:pt idx="8">
                  <c:v>Crane Swing (Swing Circle (rollers, etc.))</c:v>
                </c:pt>
                <c:pt idx="9">
                  <c:v>Spud System (Spud Structure)</c:v>
                </c:pt>
                <c:pt idx="10">
                  <c:v>Spud System (Walking Mechanisms (Carriage / Travel))</c:v>
                </c:pt>
                <c:pt idx="11">
                  <c:v>Spud System (Spud Wires)</c:v>
                </c:pt>
                <c:pt idx="12">
                  <c:v>Spud System (Spud Winch)</c:v>
                </c:pt>
                <c:pt idx="13">
                  <c:v>Main Hoist (Holder Wire)</c:v>
                </c:pt>
                <c:pt idx="14">
                  <c:v>Electrical/Electronics (PLC)</c:v>
                </c:pt>
                <c:pt idx="15">
                  <c:v>Tagline (Tagline Wire)</c:v>
                </c:pt>
                <c:pt idx="16">
                  <c:v>Electrical/Electronics (Transformers)</c:v>
                </c:pt>
                <c:pt idx="17">
                  <c:v>Main Hoist (Closer)</c:v>
                </c:pt>
                <c:pt idx="18">
                  <c:v>Electrical/Electronics (MCC / Switch Gear)</c:v>
                </c:pt>
                <c:pt idx="19">
                  <c:v>Tagline (Tagline Winch (motor, gearbox, etc.))</c:v>
                </c:pt>
                <c:pt idx="20">
                  <c:v>Deck Winch (Winch)</c:v>
                </c:pt>
                <c:pt idx="21">
                  <c:v>Auxiliary Systems (Fuel)</c:v>
                </c:pt>
                <c:pt idx="22">
                  <c:v>Tugs and Scows (Tug Repair)</c:v>
                </c:pt>
                <c:pt idx="23">
                  <c:v>Auxiliary Systems (Compressed Air)</c:v>
                </c:pt>
                <c:pt idx="24">
                  <c:v>Deck Winch (Fairleads)</c:v>
                </c:pt>
                <c:pt idx="25">
                  <c:v>Crane Boom (Boom / Gantry Structure)</c:v>
                </c:pt>
                <c:pt idx="26">
                  <c:v>Auxiliary Systems (Deck Crane)</c:v>
                </c:pt>
                <c:pt idx="27">
                  <c:v>Crane Boom (Boom Wires)</c:v>
                </c:pt>
                <c:pt idx="28">
                  <c:v>Auxiliary Systems (Heating, Ventilation, A/C)</c:v>
                </c:pt>
                <c:pt idx="29">
                  <c:v>Spud System (Spud Sheaves)</c:v>
                </c:pt>
              </c:strCache>
            </c:strRef>
          </c:cat>
          <c:val>
            <c:numRef>
              <c:f>'53 hrs'!$I$33:$I$63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55.15</c:v>
                </c:pt>
                <c:pt idx="13">
                  <c:v>46.349166666711682</c:v>
                </c:pt>
                <c:pt idx="14">
                  <c:v>45.625277777682058</c:v>
                </c:pt>
                <c:pt idx="15">
                  <c:v>41.579444444531106</c:v>
                </c:pt>
                <c:pt idx="16">
                  <c:v>34.58</c:v>
                </c:pt>
                <c:pt idx="17">
                  <c:v>33.793888888799117</c:v>
                </c:pt>
                <c:pt idx="18">
                  <c:v>30.685555555645841</c:v>
                </c:pt>
                <c:pt idx="19">
                  <c:v>28.66999999994179</c:v>
                </c:pt>
                <c:pt idx="20">
                  <c:v>21.969999999976718</c:v>
                </c:pt>
                <c:pt idx="21">
                  <c:v>16.170000000000002</c:v>
                </c:pt>
                <c:pt idx="22">
                  <c:v>13.07</c:v>
                </c:pt>
                <c:pt idx="23">
                  <c:v>12.270000000000001</c:v>
                </c:pt>
                <c:pt idx="24">
                  <c:v>10.193888888917863</c:v>
                </c:pt>
                <c:pt idx="25">
                  <c:v>4.3266666666278617</c:v>
                </c:pt>
                <c:pt idx="26">
                  <c:v>3.16</c:v>
                </c:pt>
                <c:pt idx="27">
                  <c:v>3</c:v>
                </c:pt>
                <c:pt idx="28">
                  <c:v>0.36</c:v>
                </c:pt>
                <c:pt idx="2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C0B-9359-4A50216A20A3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 hrs'!$C$33:$C$63</c:f>
              <c:strCache>
                <c:ptCount val="30"/>
                <c:pt idx="0">
                  <c:v>Crane Swing (Drive (motor, gear box, etc.))</c:v>
                </c:pt>
                <c:pt idx="1">
                  <c:v>Main Hoist (Holder)</c:v>
                </c:pt>
                <c:pt idx="2">
                  <c:v>Buckets (Weld / Repair Bucket)</c:v>
                </c:pt>
                <c:pt idx="3">
                  <c:v>Main / Aux. Generators (Main Generator)</c:v>
                </c:pt>
                <c:pt idx="4">
                  <c:v>Tugs and Scows (Scow Repair)</c:v>
                </c:pt>
                <c:pt idx="5">
                  <c:v>Crane Boom (Boom Winch)</c:v>
                </c:pt>
                <c:pt idx="6">
                  <c:v>Main Hoist (Closer Wire)</c:v>
                </c:pt>
                <c:pt idx="7">
                  <c:v>Main / Aux. Generators (Main Generator Engine)</c:v>
                </c:pt>
                <c:pt idx="8">
                  <c:v>Crane Swing (Swing Circle (rollers, etc.))</c:v>
                </c:pt>
                <c:pt idx="9">
                  <c:v>Spud System (Spud Structure)</c:v>
                </c:pt>
                <c:pt idx="10">
                  <c:v>Spud System (Walking Mechanisms (Carriage / Travel))</c:v>
                </c:pt>
                <c:pt idx="11">
                  <c:v>Spud System (Spud Wires)</c:v>
                </c:pt>
                <c:pt idx="12">
                  <c:v>Spud System (Spud Winch)</c:v>
                </c:pt>
                <c:pt idx="13">
                  <c:v>Main Hoist (Holder Wire)</c:v>
                </c:pt>
                <c:pt idx="14">
                  <c:v>Electrical/Electronics (PLC)</c:v>
                </c:pt>
                <c:pt idx="15">
                  <c:v>Tagline (Tagline Wire)</c:v>
                </c:pt>
                <c:pt idx="16">
                  <c:v>Electrical/Electronics (Transformers)</c:v>
                </c:pt>
                <c:pt idx="17">
                  <c:v>Main Hoist (Closer)</c:v>
                </c:pt>
                <c:pt idx="18">
                  <c:v>Electrical/Electronics (MCC / Switch Gear)</c:v>
                </c:pt>
                <c:pt idx="19">
                  <c:v>Tagline (Tagline Winch (motor, gearbox, etc.))</c:v>
                </c:pt>
                <c:pt idx="20">
                  <c:v>Deck Winch (Winch)</c:v>
                </c:pt>
                <c:pt idx="21">
                  <c:v>Auxiliary Systems (Fuel)</c:v>
                </c:pt>
                <c:pt idx="22">
                  <c:v>Tugs and Scows (Tug Repair)</c:v>
                </c:pt>
                <c:pt idx="23">
                  <c:v>Auxiliary Systems (Compressed Air)</c:v>
                </c:pt>
                <c:pt idx="24">
                  <c:v>Deck Winch (Fairleads)</c:v>
                </c:pt>
                <c:pt idx="25">
                  <c:v>Crane Boom (Boom / Gantry Structure)</c:v>
                </c:pt>
                <c:pt idx="26">
                  <c:v>Auxiliary Systems (Deck Crane)</c:v>
                </c:pt>
                <c:pt idx="27">
                  <c:v>Crane Boom (Boom Wires)</c:v>
                </c:pt>
                <c:pt idx="28">
                  <c:v>Auxiliary Systems (Heating, Ventilation, A/C)</c:v>
                </c:pt>
                <c:pt idx="29">
                  <c:v>Spud System (Spud Sheaves)</c:v>
                </c:pt>
              </c:strCache>
            </c:strRef>
          </c:cat>
          <c:val>
            <c:numRef>
              <c:f>'53 hrs'!$C$33:$C$63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2259456"/>
        <c:axId val="112261376"/>
      </c:barChart>
      <c:lineChart>
        <c:grouping val="standard"/>
        <c:varyColors val="0"/>
        <c:ser>
          <c:idx val="2"/>
          <c:order val="2"/>
          <c:tx>
            <c:strRef>
              <c:f>'53 hrs'!$E$32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'53 hrs'!$E$33:$E$63</c:f>
              <c:numCache>
                <c:formatCode>0.0%</c:formatCode>
                <c:ptCount val="31"/>
                <c:pt idx="0">
                  <c:v>0.15576054328933317</c:v>
                </c:pt>
                <c:pt idx="1">
                  <c:v>0.31042567521744896</c:v>
                </c:pt>
                <c:pt idx="2">
                  <c:v>0.39555443083947217</c:v>
                </c:pt>
                <c:pt idx="3">
                  <c:v>0.47949713345773443</c:v>
                </c:pt>
                <c:pt idx="4">
                  <c:v>0.53607816156881694</c:v>
                </c:pt>
                <c:pt idx="5">
                  <c:v>0.58841469310472694</c:v>
                </c:pt>
                <c:pt idx="6">
                  <c:v>0.63819842855371389</c:v>
                </c:pt>
                <c:pt idx="7">
                  <c:v>0.68709366235757086</c:v>
                </c:pt>
                <c:pt idx="8">
                  <c:v>0.73029531972339901</c:v>
                </c:pt>
                <c:pt idx="9">
                  <c:v>0.76539783791193228</c:v>
                </c:pt>
                <c:pt idx="10">
                  <c:v>0.7979583563347632</c:v>
                </c:pt>
                <c:pt idx="11">
                  <c:v>0.8286429249629963</c:v>
                </c:pt>
                <c:pt idx="12">
                  <c:v>0.85219788778866634</c:v>
                </c:pt>
                <c:pt idx="13">
                  <c:v>0.87199395121269507</c:v>
                </c:pt>
                <c:pt idx="14">
                  <c:v>0.89148083647043153</c:v>
                </c:pt>
                <c:pt idx="15">
                  <c:v>0.90923971712687657</c:v>
                </c:pt>
                <c:pt idx="16">
                  <c:v>0.92400908457042452</c:v>
                </c:pt>
                <c:pt idx="17">
                  <c:v>0.93844269828774984</c:v>
                </c:pt>
                <c:pt idx="18">
                  <c:v>0.95154872041645833</c:v>
                </c:pt>
                <c:pt idx="19">
                  <c:v>0.96379388422807366</c:v>
                </c:pt>
                <c:pt idx="20">
                  <c:v>0.97317742970911492</c:v>
                </c:pt>
                <c:pt idx="21">
                  <c:v>0.98008375335174569</c:v>
                </c:pt>
                <c:pt idx="22">
                  <c:v>0.9856660446324621</c:v>
                </c:pt>
                <c:pt idx="23">
                  <c:v>0.9909066501423619</c:v>
                </c:pt>
                <c:pt idx="24">
                  <c:v>0.99526053362064792</c:v>
                </c:pt>
                <c:pt idx="25">
                  <c:v>0.9971084841644644</c:v>
                </c:pt>
                <c:pt idx="26">
                  <c:v>0.99845814295919</c:v>
                </c:pt>
                <c:pt idx="27">
                  <c:v>0.99973946459975227</c:v>
                </c:pt>
                <c:pt idx="28">
                  <c:v>0.99989322319661977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C0B-9359-4A50216A20A3}"/>
            </c:ext>
          </c:extLst>
        </c:ser>
        <c:ser>
          <c:idx val="3"/>
          <c:order val="3"/>
          <c:tx>
            <c:strRef>
              <c:f>'53 hrs'!$J$32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'53 hrs'!$J$33:$J$63</c:f>
              <c:numCache>
                <c:formatCode>0%</c:formatCode>
                <c:ptCount val="3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8528"/>
        <c:axId val="111880064"/>
      </c:lineChart>
      <c:catAx>
        <c:axId val="112259456"/>
        <c:scaling>
          <c:orientation val="minMax"/>
        </c:scaling>
        <c:delete val="0"/>
        <c:axPos val="b"/>
        <c:title>
          <c:tx>
            <c:strRef>
              <c:f>'53 hrs'!$C$32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2261376"/>
        <c:crosses val="autoZero"/>
        <c:auto val="1"/>
        <c:lblAlgn val="ctr"/>
        <c:lblOffset val="100"/>
        <c:tickMarkSkip val="1"/>
        <c:noMultiLvlLbl val="0"/>
      </c:catAx>
      <c:valAx>
        <c:axId val="112261376"/>
        <c:scaling>
          <c:orientation val="minMax"/>
        </c:scaling>
        <c:delete val="0"/>
        <c:axPos val="l"/>
        <c:title>
          <c:tx>
            <c:strRef>
              <c:f>'53 hrs'!$D$32</c:f>
              <c:strCache>
                <c:ptCount val="1"/>
                <c:pt idx="0">
                  <c:v>Hours</c:v>
                </c:pt>
              </c:strCache>
            </c:strRef>
          </c:tx>
          <c:layout>
            <c:manualLayout>
              <c:xMode val="edge"/>
              <c:yMode val="edge"/>
              <c:x val="2.3038882670479661E-2"/>
              <c:y val="0.381336398884205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59456"/>
        <c:crosses val="autoZero"/>
        <c:crossBetween val="between"/>
      </c:valAx>
      <c:catAx>
        <c:axId val="11187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1880064"/>
        <c:crosses val="autoZero"/>
        <c:auto val="1"/>
        <c:lblAlgn val="ctr"/>
        <c:lblOffset val="100"/>
        <c:noMultiLvlLbl val="0"/>
      </c:catAx>
      <c:valAx>
        <c:axId val="11188006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4324443524263657"/>
              <c:y val="0.3461059125851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78528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DREDGE-54</a:t>
            </a:r>
          </a:p>
        </c:rich>
      </c:tx>
      <c:layout>
        <c:manualLayout>
          <c:xMode val="edge"/>
          <c:yMode val="edge"/>
          <c:x val="0.40827272863966479"/>
          <c:y val="8.3725597458212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'54 count'!$H$32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'54 count'!$C$33:$C$65</c:f>
              <c:strCache>
                <c:ptCount val="32"/>
                <c:pt idx="0">
                  <c:v>Buckets (Weld / Repair Bucket)</c:v>
                </c:pt>
                <c:pt idx="1">
                  <c:v>Tugs and Scows (Scow Repair)</c:v>
                </c:pt>
                <c:pt idx="2">
                  <c:v>Main Hoist (Closer Wire)</c:v>
                </c:pt>
                <c:pt idx="3">
                  <c:v>Main Hoist (Holder)</c:v>
                </c:pt>
                <c:pt idx="4">
                  <c:v>Main Hoist (Holder Wire)</c:v>
                </c:pt>
                <c:pt idx="5">
                  <c:v>Tagline (Tagline Wire)</c:v>
                </c:pt>
                <c:pt idx="6">
                  <c:v>Spud System (Spud Winch)</c:v>
                </c:pt>
                <c:pt idx="7">
                  <c:v>Electrical/Electronics (PLC)</c:v>
                </c:pt>
                <c:pt idx="8">
                  <c:v>Spud System (Walking Mechanisms (Carriage / Travel))</c:v>
                </c:pt>
                <c:pt idx="9">
                  <c:v>Electrical/Electronics (MCC / Switch Gear)</c:v>
                </c:pt>
                <c:pt idx="10">
                  <c:v>Main / Aux. Generators (Main Generator Engine)</c:v>
                </c:pt>
                <c:pt idx="11">
                  <c:v>Tugs and Scows (Tug Repair)</c:v>
                </c:pt>
                <c:pt idx="12">
                  <c:v>Deck Winch (Winch)</c:v>
                </c:pt>
                <c:pt idx="13">
                  <c:v>Crane Swing (Drive (motor, gear box, etc.))</c:v>
                </c:pt>
                <c:pt idx="14">
                  <c:v>Spud System (Spud Wires)</c:v>
                </c:pt>
                <c:pt idx="15">
                  <c:v>Crane Boom (Boom Winch)</c:v>
                </c:pt>
                <c:pt idx="16">
                  <c:v>Main / Aux. Generators (Main Generator)</c:v>
                </c:pt>
                <c:pt idx="17">
                  <c:v>Main Hoist (Closer)</c:v>
                </c:pt>
                <c:pt idx="18">
                  <c:v>Crane Boom (Boom Wires)</c:v>
                </c:pt>
                <c:pt idx="19">
                  <c:v>Tagline (Tagline Winch (motor, gearbox, etc.))</c:v>
                </c:pt>
                <c:pt idx="20">
                  <c:v>Auxiliary Systems (Compressed Air)</c:v>
                </c:pt>
                <c:pt idx="21">
                  <c:v>Spud System (Spud Sheaves)</c:v>
                </c:pt>
                <c:pt idx="22">
                  <c:v>Spud System (Spud Structure)</c:v>
                </c:pt>
                <c:pt idx="23">
                  <c:v>Crane Swing (Swing Circle (rollers, etc.))</c:v>
                </c:pt>
                <c:pt idx="24">
                  <c:v>Crane Boom (Boom / Gantry Structure)</c:v>
                </c:pt>
                <c:pt idx="25">
                  <c:v>Tagline (Tagline Sheaves)</c:v>
                </c:pt>
                <c:pt idx="26">
                  <c:v>Deck Winch (Fairleads)</c:v>
                </c:pt>
                <c:pt idx="27">
                  <c:v>Auxiliary Systems (Deck Crane)</c:v>
                </c:pt>
                <c:pt idx="28">
                  <c:v>Main / Aux. Generators (Auxiliary Generator)</c:v>
                </c:pt>
                <c:pt idx="29">
                  <c:v>Hull (Hull / House Repair)</c:v>
                </c:pt>
                <c:pt idx="30">
                  <c:v>Electrical/Electronics (Transformers)</c:v>
                </c:pt>
                <c:pt idx="31">
                  <c:v>Crane Boom (Boom / Gantry Sheaves)</c:v>
                </c:pt>
              </c:strCache>
            </c:strRef>
          </c:cat>
          <c:val>
            <c:numRef>
              <c:f>'54 count'!$H$33:$H$65</c:f>
              <c:numCache>
                <c:formatCode>General</c:formatCode>
                <c:ptCount val="33"/>
                <c:pt idx="0">
                  <c:v>213</c:v>
                </c:pt>
                <c:pt idx="1">
                  <c:v>117</c:v>
                </c:pt>
                <c:pt idx="2">
                  <c:v>77</c:v>
                </c:pt>
                <c:pt idx="3">
                  <c:v>48</c:v>
                </c:pt>
                <c:pt idx="4">
                  <c:v>45</c:v>
                </c:pt>
                <c:pt idx="5">
                  <c:v>42</c:v>
                </c:pt>
                <c:pt idx="6">
                  <c:v>41</c:v>
                </c:pt>
                <c:pt idx="7">
                  <c:v>27</c:v>
                </c:pt>
                <c:pt idx="8">
                  <c:v>21</c:v>
                </c:pt>
                <c:pt idx="9">
                  <c:v>20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8-449B-B4A5-5C11E218716B}"/>
            </c:ext>
          </c:extLst>
        </c:ser>
        <c:ser>
          <c:idx val="0"/>
          <c:order val="1"/>
          <c:tx>
            <c:strRef>
              <c:f>'54 count'!$I$32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'54 count'!$C$33:$C$65</c:f>
              <c:strCache>
                <c:ptCount val="32"/>
                <c:pt idx="0">
                  <c:v>Buckets (Weld / Repair Bucket)</c:v>
                </c:pt>
                <c:pt idx="1">
                  <c:v>Tugs and Scows (Scow Repair)</c:v>
                </c:pt>
                <c:pt idx="2">
                  <c:v>Main Hoist (Closer Wire)</c:v>
                </c:pt>
                <c:pt idx="3">
                  <c:v>Main Hoist (Holder)</c:v>
                </c:pt>
                <c:pt idx="4">
                  <c:v>Main Hoist (Holder Wire)</c:v>
                </c:pt>
                <c:pt idx="5">
                  <c:v>Tagline (Tagline Wire)</c:v>
                </c:pt>
                <c:pt idx="6">
                  <c:v>Spud System (Spud Winch)</c:v>
                </c:pt>
                <c:pt idx="7">
                  <c:v>Electrical/Electronics (PLC)</c:v>
                </c:pt>
                <c:pt idx="8">
                  <c:v>Spud System (Walking Mechanisms (Carriage / Travel))</c:v>
                </c:pt>
                <c:pt idx="9">
                  <c:v>Electrical/Electronics (MCC / Switch Gear)</c:v>
                </c:pt>
                <c:pt idx="10">
                  <c:v>Main / Aux. Generators (Main Generator Engine)</c:v>
                </c:pt>
                <c:pt idx="11">
                  <c:v>Tugs and Scows (Tug Repair)</c:v>
                </c:pt>
                <c:pt idx="12">
                  <c:v>Deck Winch (Winch)</c:v>
                </c:pt>
                <c:pt idx="13">
                  <c:v>Crane Swing (Drive (motor, gear box, etc.))</c:v>
                </c:pt>
                <c:pt idx="14">
                  <c:v>Spud System (Spud Wires)</c:v>
                </c:pt>
                <c:pt idx="15">
                  <c:v>Crane Boom (Boom Winch)</c:v>
                </c:pt>
                <c:pt idx="16">
                  <c:v>Main / Aux. Generators (Main Generator)</c:v>
                </c:pt>
                <c:pt idx="17">
                  <c:v>Main Hoist (Closer)</c:v>
                </c:pt>
                <c:pt idx="18">
                  <c:v>Crane Boom (Boom Wires)</c:v>
                </c:pt>
                <c:pt idx="19">
                  <c:v>Tagline (Tagline Winch (motor, gearbox, etc.))</c:v>
                </c:pt>
                <c:pt idx="20">
                  <c:v>Auxiliary Systems (Compressed Air)</c:v>
                </c:pt>
                <c:pt idx="21">
                  <c:v>Spud System (Spud Sheaves)</c:v>
                </c:pt>
                <c:pt idx="22">
                  <c:v>Spud System (Spud Structure)</c:v>
                </c:pt>
                <c:pt idx="23">
                  <c:v>Crane Swing (Swing Circle (rollers, etc.))</c:v>
                </c:pt>
                <c:pt idx="24">
                  <c:v>Crane Boom (Boom / Gantry Structure)</c:v>
                </c:pt>
                <c:pt idx="25">
                  <c:v>Tagline (Tagline Sheaves)</c:v>
                </c:pt>
                <c:pt idx="26">
                  <c:v>Deck Winch (Fairleads)</c:v>
                </c:pt>
                <c:pt idx="27">
                  <c:v>Auxiliary Systems (Deck Crane)</c:v>
                </c:pt>
                <c:pt idx="28">
                  <c:v>Main / Aux. Generators (Auxiliary Generator)</c:v>
                </c:pt>
                <c:pt idx="29">
                  <c:v>Hull (Hull / House Repair)</c:v>
                </c:pt>
                <c:pt idx="30">
                  <c:v>Electrical/Electronics (Transformers)</c:v>
                </c:pt>
                <c:pt idx="31">
                  <c:v>Crane Boom (Boom / Gantry Sheaves)</c:v>
                </c:pt>
              </c:strCache>
            </c:strRef>
          </c:cat>
          <c:val>
            <c:numRef>
              <c:f>'54 count'!$I$33:$I$65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8-449B-B4A5-5C11E218716B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 count'!$C$33:$C$65</c:f>
              <c:strCache>
                <c:ptCount val="32"/>
                <c:pt idx="0">
                  <c:v>Buckets (Weld / Repair Bucket)</c:v>
                </c:pt>
                <c:pt idx="1">
                  <c:v>Tugs and Scows (Scow Repair)</c:v>
                </c:pt>
                <c:pt idx="2">
                  <c:v>Main Hoist (Closer Wire)</c:v>
                </c:pt>
                <c:pt idx="3">
                  <c:v>Main Hoist (Holder)</c:v>
                </c:pt>
                <c:pt idx="4">
                  <c:v>Main Hoist (Holder Wire)</c:v>
                </c:pt>
                <c:pt idx="5">
                  <c:v>Tagline (Tagline Wire)</c:v>
                </c:pt>
                <c:pt idx="6">
                  <c:v>Spud System (Spud Winch)</c:v>
                </c:pt>
                <c:pt idx="7">
                  <c:v>Electrical/Electronics (PLC)</c:v>
                </c:pt>
                <c:pt idx="8">
                  <c:v>Spud System (Walking Mechanisms (Carriage / Travel))</c:v>
                </c:pt>
                <c:pt idx="9">
                  <c:v>Electrical/Electronics (MCC / Switch Gear)</c:v>
                </c:pt>
                <c:pt idx="10">
                  <c:v>Main / Aux. Generators (Main Generator Engine)</c:v>
                </c:pt>
                <c:pt idx="11">
                  <c:v>Tugs and Scows (Tug Repair)</c:v>
                </c:pt>
                <c:pt idx="12">
                  <c:v>Deck Winch (Winch)</c:v>
                </c:pt>
                <c:pt idx="13">
                  <c:v>Crane Swing (Drive (motor, gear box, etc.))</c:v>
                </c:pt>
                <c:pt idx="14">
                  <c:v>Spud System (Spud Wires)</c:v>
                </c:pt>
                <c:pt idx="15">
                  <c:v>Crane Boom (Boom Winch)</c:v>
                </c:pt>
                <c:pt idx="16">
                  <c:v>Main / Aux. Generators (Main Generator)</c:v>
                </c:pt>
                <c:pt idx="17">
                  <c:v>Main Hoist (Closer)</c:v>
                </c:pt>
                <c:pt idx="18">
                  <c:v>Crane Boom (Boom Wires)</c:v>
                </c:pt>
                <c:pt idx="19">
                  <c:v>Tagline (Tagline Winch (motor, gearbox, etc.))</c:v>
                </c:pt>
                <c:pt idx="20">
                  <c:v>Auxiliary Systems (Compressed Air)</c:v>
                </c:pt>
                <c:pt idx="21">
                  <c:v>Spud System (Spud Sheaves)</c:v>
                </c:pt>
                <c:pt idx="22">
                  <c:v>Spud System (Spud Structure)</c:v>
                </c:pt>
                <c:pt idx="23">
                  <c:v>Crane Swing (Swing Circle (rollers, etc.))</c:v>
                </c:pt>
                <c:pt idx="24">
                  <c:v>Crane Boom (Boom / Gantry Structure)</c:v>
                </c:pt>
                <c:pt idx="25">
                  <c:v>Tagline (Tagline Sheaves)</c:v>
                </c:pt>
                <c:pt idx="26">
                  <c:v>Deck Winch (Fairleads)</c:v>
                </c:pt>
                <c:pt idx="27">
                  <c:v>Auxiliary Systems (Deck Crane)</c:v>
                </c:pt>
                <c:pt idx="28">
                  <c:v>Main / Aux. Generators (Auxiliary Generator)</c:v>
                </c:pt>
                <c:pt idx="29">
                  <c:v>Hull (Hull / House Repair)</c:v>
                </c:pt>
                <c:pt idx="30">
                  <c:v>Electrical/Electronics (Transformers)</c:v>
                </c:pt>
                <c:pt idx="31">
                  <c:v>Crane Boom (Boom / Gantry Sheaves)</c:v>
                </c:pt>
              </c:strCache>
            </c:strRef>
          </c:cat>
          <c:val>
            <c:numRef>
              <c:f>'54 count'!$C$33:$C$65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8-449B-B4A5-5C11E218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06005632"/>
        <c:axId val="106007552"/>
      </c:barChart>
      <c:lineChart>
        <c:grouping val="standard"/>
        <c:varyColors val="0"/>
        <c:ser>
          <c:idx val="2"/>
          <c:order val="2"/>
          <c:tx>
            <c:strRef>
              <c:f>'54 count'!$E$32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'54 count'!$E$33:$E$65</c:f>
              <c:numCache>
                <c:formatCode>0.0%</c:formatCode>
                <c:ptCount val="33"/>
                <c:pt idx="0">
                  <c:v>0.25975609756097562</c:v>
                </c:pt>
                <c:pt idx="1">
                  <c:v>0.40243902439024393</c:v>
                </c:pt>
                <c:pt idx="2">
                  <c:v>0.49634146341463414</c:v>
                </c:pt>
                <c:pt idx="3">
                  <c:v>0.55487804878048785</c:v>
                </c:pt>
                <c:pt idx="4">
                  <c:v>0.6097560975609756</c:v>
                </c:pt>
                <c:pt idx="5">
                  <c:v>0.66097560975609759</c:v>
                </c:pt>
                <c:pt idx="6">
                  <c:v>0.71097560975609753</c:v>
                </c:pt>
                <c:pt idx="7">
                  <c:v>0.74390243902439024</c:v>
                </c:pt>
                <c:pt idx="8">
                  <c:v>0.76951219512195124</c:v>
                </c:pt>
                <c:pt idx="9">
                  <c:v>0.79390243902439028</c:v>
                </c:pt>
                <c:pt idx="10">
                  <c:v>0.81585365853658531</c:v>
                </c:pt>
                <c:pt idx="11">
                  <c:v>0.83536585365853655</c:v>
                </c:pt>
                <c:pt idx="12">
                  <c:v>0.85365853658536583</c:v>
                </c:pt>
                <c:pt idx="13">
                  <c:v>0.87195121951219512</c:v>
                </c:pt>
                <c:pt idx="14">
                  <c:v>0.8878048780487805</c:v>
                </c:pt>
                <c:pt idx="15">
                  <c:v>0.90243902439024393</c:v>
                </c:pt>
                <c:pt idx="16">
                  <c:v>0.9158536585365854</c:v>
                </c:pt>
                <c:pt idx="17">
                  <c:v>0.92804878048780493</c:v>
                </c:pt>
                <c:pt idx="18">
                  <c:v>0.94024390243902434</c:v>
                </c:pt>
                <c:pt idx="19">
                  <c:v>0.95121951219512191</c:v>
                </c:pt>
                <c:pt idx="20">
                  <c:v>0.96219512195121948</c:v>
                </c:pt>
                <c:pt idx="21">
                  <c:v>0.9719512195121951</c:v>
                </c:pt>
                <c:pt idx="22">
                  <c:v>0.97926829268292681</c:v>
                </c:pt>
                <c:pt idx="23">
                  <c:v>0.98414634146341462</c:v>
                </c:pt>
                <c:pt idx="24">
                  <c:v>0.98780487804878048</c:v>
                </c:pt>
                <c:pt idx="25">
                  <c:v>0.99024390243902438</c:v>
                </c:pt>
                <c:pt idx="26">
                  <c:v>0.99268292682926829</c:v>
                </c:pt>
                <c:pt idx="27">
                  <c:v>0.99512195121951219</c:v>
                </c:pt>
                <c:pt idx="28">
                  <c:v>0.99634146341463414</c:v>
                </c:pt>
                <c:pt idx="29">
                  <c:v>0.9975609756097561</c:v>
                </c:pt>
                <c:pt idx="30">
                  <c:v>0.99878048780487805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8-449B-B4A5-5C11E218716B}"/>
            </c:ext>
          </c:extLst>
        </c:ser>
        <c:ser>
          <c:idx val="3"/>
          <c:order val="3"/>
          <c:tx>
            <c:strRef>
              <c:f>'54 count'!$J$32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'54 count'!$J$33:$J$65</c:f>
              <c:numCache>
                <c:formatCode>0%</c:formatCode>
                <c:ptCount val="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8-449B-B4A5-5C11E218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22016"/>
        <c:axId val="106023552"/>
      </c:lineChart>
      <c:catAx>
        <c:axId val="106005632"/>
        <c:scaling>
          <c:orientation val="minMax"/>
        </c:scaling>
        <c:delete val="0"/>
        <c:axPos val="b"/>
        <c:title>
          <c:tx>
            <c:strRef>
              <c:f>'54 count'!$C$32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6007552"/>
        <c:crosses val="autoZero"/>
        <c:auto val="1"/>
        <c:lblAlgn val="ctr"/>
        <c:lblOffset val="100"/>
        <c:tickMarkSkip val="1"/>
        <c:noMultiLvlLbl val="0"/>
      </c:catAx>
      <c:valAx>
        <c:axId val="106007552"/>
        <c:scaling>
          <c:orientation val="minMax"/>
        </c:scaling>
        <c:delete val="0"/>
        <c:axPos val="l"/>
        <c:title>
          <c:tx>
            <c:strRef>
              <c:f>'54 count'!$D$32</c:f>
              <c:strCache>
                <c:ptCount val="1"/>
                <c:pt idx="0">
                  <c:v>Count</c:v>
                </c:pt>
              </c:strCache>
            </c:strRef>
          </c:tx>
          <c:layout>
            <c:manualLayout>
              <c:xMode val="edge"/>
              <c:yMode val="edge"/>
              <c:x val="3.9801370309296952E-2"/>
              <c:y val="0.3764038126813095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05632"/>
        <c:crosses val="autoZero"/>
        <c:crossBetween val="between"/>
      </c:valAx>
      <c:catAx>
        <c:axId val="10602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6023552"/>
        <c:crosses val="autoZero"/>
        <c:auto val="1"/>
        <c:lblAlgn val="ctr"/>
        <c:lblOffset val="100"/>
        <c:noMultiLvlLbl val="0"/>
      </c:catAx>
      <c:valAx>
        <c:axId val="106023552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3253866420739417"/>
              <c:y val="0.3495943638624119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22016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DREDGE-54</a:t>
            </a:r>
          </a:p>
        </c:rich>
      </c:tx>
      <c:layout>
        <c:manualLayout>
          <c:xMode val="edge"/>
          <c:yMode val="edge"/>
          <c:x val="0.39872470395469489"/>
          <c:y val="1.35501713620304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'54 hrs'!$H$32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'54 hrs'!$C$33:$C$65</c:f>
              <c:strCache>
                <c:ptCount val="32"/>
                <c:pt idx="0">
                  <c:v>Main Hoist (Holder)</c:v>
                </c:pt>
                <c:pt idx="1">
                  <c:v>Buckets (Weld / Repair Bucket)</c:v>
                </c:pt>
                <c:pt idx="2">
                  <c:v>Spud System (Spud Structure)</c:v>
                </c:pt>
                <c:pt idx="3">
                  <c:v>Tugs and Scows (Scow Repair)</c:v>
                </c:pt>
                <c:pt idx="4">
                  <c:v>Main Hoist (Closer Wire)</c:v>
                </c:pt>
                <c:pt idx="5">
                  <c:v>Main Hoist (Holder Wire)</c:v>
                </c:pt>
                <c:pt idx="6">
                  <c:v>Electrical/Electronics (PLC)</c:v>
                </c:pt>
                <c:pt idx="7">
                  <c:v>Main / Aux. Generators (Main Generator Engine)</c:v>
                </c:pt>
                <c:pt idx="8">
                  <c:v>Main / Aux. Generators (Main Generator)</c:v>
                </c:pt>
                <c:pt idx="9">
                  <c:v>Tugs and Scows (Tug Repair)</c:v>
                </c:pt>
                <c:pt idx="10">
                  <c:v>Tagline (Tagline Wire)</c:v>
                </c:pt>
                <c:pt idx="11">
                  <c:v>Spud System (Spud Winch)</c:v>
                </c:pt>
                <c:pt idx="12">
                  <c:v>Crane Boom (Boom Winch)</c:v>
                </c:pt>
                <c:pt idx="13">
                  <c:v>Crane Boom (Boom Wires)</c:v>
                </c:pt>
                <c:pt idx="14">
                  <c:v>Spud System (Spud Wires)</c:v>
                </c:pt>
                <c:pt idx="15">
                  <c:v>Main Hoist (Closer)</c:v>
                </c:pt>
                <c:pt idx="16">
                  <c:v>Electrical/Electronics (MCC / Switch Gear)</c:v>
                </c:pt>
                <c:pt idx="17">
                  <c:v>Spud System (Walking Mechanisms (Carriage / Travel))</c:v>
                </c:pt>
                <c:pt idx="18">
                  <c:v>Electrical/Electronics (Transformers)</c:v>
                </c:pt>
                <c:pt idx="19">
                  <c:v>Main / Aux. Generators (Auxiliary Generator)</c:v>
                </c:pt>
                <c:pt idx="20">
                  <c:v>Crane Boom (Boom / Gantry Structure)</c:v>
                </c:pt>
                <c:pt idx="21">
                  <c:v>Crane Swing (Drive (motor, gear box, etc.))</c:v>
                </c:pt>
                <c:pt idx="22">
                  <c:v>Deck Winch (Winch)</c:v>
                </c:pt>
                <c:pt idx="23">
                  <c:v>Auxiliary Systems (Compressed Air)</c:v>
                </c:pt>
                <c:pt idx="24">
                  <c:v>Auxiliary Systems (Deck Crane)</c:v>
                </c:pt>
                <c:pt idx="25">
                  <c:v>Spud System (Spud Sheaves)</c:v>
                </c:pt>
                <c:pt idx="26">
                  <c:v>Tagline (Tagline Winch (motor, gearbox, etc.))</c:v>
                </c:pt>
                <c:pt idx="27">
                  <c:v>Deck Winch (Fairleads)</c:v>
                </c:pt>
                <c:pt idx="28">
                  <c:v>Hull (Hull / House Repair)</c:v>
                </c:pt>
                <c:pt idx="29">
                  <c:v>Crane Boom (Boom / Gantry Sheaves)</c:v>
                </c:pt>
                <c:pt idx="30">
                  <c:v>Crane Swing (Swing Circle (rollers, etc.))</c:v>
                </c:pt>
                <c:pt idx="31">
                  <c:v>Tagline (Tagline Sheaves)</c:v>
                </c:pt>
              </c:strCache>
            </c:strRef>
          </c:cat>
          <c:val>
            <c:numRef>
              <c:f>'54 hrs'!$H$33:$H$65</c:f>
              <c:numCache>
                <c:formatCode>General</c:formatCode>
                <c:ptCount val="33"/>
                <c:pt idx="0">
                  <c:v>283.88305555563187</c:v>
                </c:pt>
                <c:pt idx="1">
                  <c:v>247.21944444445427</c:v>
                </c:pt>
                <c:pt idx="2">
                  <c:v>209.03000000000003</c:v>
                </c:pt>
                <c:pt idx="3">
                  <c:v>193.46305555508937</c:v>
                </c:pt>
                <c:pt idx="4">
                  <c:v>157.54416666674894</c:v>
                </c:pt>
                <c:pt idx="5">
                  <c:v>102.40527777779847</c:v>
                </c:pt>
                <c:pt idx="6">
                  <c:v>81.909166666690723</c:v>
                </c:pt>
                <c:pt idx="7">
                  <c:v>78.281666666604565</c:v>
                </c:pt>
                <c:pt idx="8">
                  <c:v>72.570000000000007</c:v>
                </c:pt>
                <c:pt idx="9">
                  <c:v>39.804444444391407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7-4598-BF5C-F63EA9AEE0D0}"/>
            </c:ext>
          </c:extLst>
        </c:ser>
        <c:ser>
          <c:idx val="0"/>
          <c:order val="1"/>
          <c:tx>
            <c:strRef>
              <c:f>'54 hrs'!$I$32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'54 hrs'!$C$33:$C$65</c:f>
              <c:strCache>
                <c:ptCount val="32"/>
                <c:pt idx="0">
                  <c:v>Main Hoist (Holder)</c:v>
                </c:pt>
                <c:pt idx="1">
                  <c:v>Buckets (Weld / Repair Bucket)</c:v>
                </c:pt>
                <c:pt idx="2">
                  <c:v>Spud System (Spud Structure)</c:v>
                </c:pt>
                <c:pt idx="3">
                  <c:v>Tugs and Scows (Scow Repair)</c:v>
                </c:pt>
                <c:pt idx="4">
                  <c:v>Main Hoist (Closer Wire)</c:v>
                </c:pt>
                <c:pt idx="5">
                  <c:v>Main Hoist (Holder Wire)</c:v>
                </c:pt>
                <c:pt idx="6">
                  <c:v>Electrical/Electronics (PLC)</c:v>
                </c:pt>
                <c:pt idx="7">
                  <c:v>Main / Aux. Generators (Main Generator Engine)</c:v>
                </c:pt>
                <c:pt idx="8">
                  <c:v>Main / Aux. Generators (Main Generator)</c:v>
                </c:pt>
                <c:pt idx="9">
                  <c:v>Tugs and Scows (Tug Repair)</c:v>
                </c:pt>
                <c:pt idx="10">
                  <c:v>Tagline (Tagline Wire)</c:v>
                </c:pt>
                <c:pt idx="11">
                  <c:v>Spud System (Spud Winch)</c:v>
                </c:pt>
                <c:pt idx="12">
                  <c:v>Crane Boom (Boom Winch)</c:v>
                </c:pt>
                <c:pt idx="13">
                  <c:v>Crane Boom (Boom Wires)</c:v>
                </c:pt>
                <c:pt idx="14">
                  <c:v>Spud System (Spud Wires)</c:v>
                </c:pt>
                <c:pt idx="15">
                  <c:v>Main Hoist (Closer)</c:v>
                </c:pt>
                <c:pt idx="16">
                  <c:v>Electrical/Electronics (MCC / Switch Gear)</c:v>
                </c:pt>
                <c:pt idx="17">
                  <c:v>Spud System (Walking Mechanisms (Carriage / Travel))</c:v>
                </c:pt>
                <c:pt idx="18">
                  <c:v>Electrical/Electronics (Transformers)</c:v>
                </c:pt>
                <c:pt idx="19">
                  <c:v>Main / Aux. Generators (Auxiliary Generator)</c:v>
                </c:pt>
                <c:pt idx="20">
                  <c:v>Crane Boom (Boom / Gantry Structure)</c:v>
                </c:pt>
                <c:pt idx="21">
                  <c:v>Crane Swing (Drive (motor, gear box, etc.))</c:v>
                </c:pt>
                <c:pt idx="22">
                  <c:v>Deck Winch (Winch)</c:v>
                </c:pt>
                <c:pt idx="23">
                  <c:v>Auxiliary Systems (Compressed Air)</c:v>
                </c:pt>
                <c:pt idx="24">
                  <c:v>Auxiliary Systems (Deck Crane)</c:v>
                </c:pt>
                <c:pt idx="25">
                  <c:v>Spud System (Spud Sheaves)</c:v>
                </c:pt>
                <c:pt idx="26">
                  <c:v>Tagline (Tagline Winch (motor, gearbox, etc.))</c:v>
                </c:pt>
                <c:pt idx="27">
                  <c:v>Deck Winch (Fairleads)</c:v>
                </c:pt>
                <c:pt idx="28">
                  <c:v>Hull (Hull / House Repair)</c:v>
                </c:pt>
                <c:pt idx="29">
                  <c:v>Crane Boom (Boom / Gantry Sheaves)</c:v>
                </c:pt>
                <c:pt idx="30">
                  <c:v>Crane Swing (Swing Circle (rollers, etc.))</c:v>
                </c:pt>
                <c:pt idx="31">
                  <c:v>Tagline (Tagline Sheaves)</c:v>
                </c:pt>
              </c:strCache>
            </c:strRef>
          </c:cat>
          <c:val>
            <c:numRef>
              <c:f>'54 hrs'!$I$33:$I$65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34.169999999999995</c:v>
                </c:pt>
                <c:pt idx="11">
                  <c:v>32.822500000146682</c:v>
                </c:pt>
                <c:pt idx="12">
                  <c:v>32.130000000000003</c:v>
                </c:pt>
                <c:pt idx="13">
                  <c:v>31.34</c:v>
                </c:pt>
                <c:pt idx="14">
                  <c:v>29.09</c:v>
                </c:pt>
                <c:pt idx="15">
                  <c:v>27.48</c:v>
                </c:pt>
                <c:pt idx="16">
                  <c:v>24.79</c:v>
                </c:pt>
                <c:pt idx="17">
                  <c:v>22.131388888936492</c:v>
                </c:pt>
                <c:pt idx="18">
                  <c:v>20.149999999999999</c:v>
                </c:pt>
                <c:pt idx="19">
                  <c:v>14.26</c:v>
                </c:pt>
                <c:pt idx="20">
                  <c:v>10.72</c:v>
                </c:pt>
                <c:pt idx="21">
                  <c:v>10.55</c:v>
                </c:pt>
                <c:pt idx="22">
                  <c:v>9.1399999999254931</c:v>
                </c:pt>
                <c:pt idx="23">
                  <c:v>8.6808333333302272</c:v>
                </c:pt>
                <c:pt idx="24">
                  <c:v>7.59</c:v>
                </c:pt>
                <c:pt idx="25">
                  <c:v>6.7299999999999995</c:v>
                </c:pt>
                <c:pt idx="26">
                  <c:v>4.54</c:v>
                </c:pt>
                <c:pt idx="27">
                  <c:v>2.16</c:v>
                </c:pt>
                <c:pt idx="28">
                  <c:v>1.39</c:v>
                </c:pt>
                <c:pt idx="29">
                  <c:v>1.28</c:v>
                </c:pt>
                <c:pt idx="30">
                  <c:v>1.1800000000000002</c:v>
                </c:pt>
                <c:pt idx="3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7-4598-BF5C-F63EA9AEE0D0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 hrs'!$C$33:$C$65</c:f>
              <c:strCache>
                <c:ptCount val="32"/>
                <c:pt idx="0">
                  <c:v>Main Hoist (Holder)</c:v>
                </c:pt>
                <c:pt idx="1">
                  <c:v>Buckets (Weld / Repair Bucket)</c:v>
                </c:pt>
                <c:pt idx="2">
                  <c:v>Spud System (Spud Structure)</c:v>
                </c:pt>
                <c:pt idx="3">
                  <c:v>Tugs and Scows (Scow Repair)</c:v>
                </c:pt>
                <c:pt idx="4">
                  <c:v>Main Hoist (Closer Wire)</c:v>
                </c:pt>
                <c:pt idx="5">
                  <c:v>Main Hoist (Holder Wire)</c:v>
                </c:pt>
                <c:pt idx="6">
                  <c:v>Electrical/Electronics (PLC)</c:v>
                </c:pt>
                <c:pt idx="7">
                  <c:v>Main / Aux. Generators (Main Generator Engine)</c:v>
                </c:pt>
                <c:pt idx="8">
                  <c:v>Main / Aux. Generators (Main Generator)</c:v>
                </c:pt>
                <c:pt idx="9">
                  <c:v>Tugs and Scows (Tug Repair)</c:v>
                </c:pt>
                <c:pt idx="10">
                  <c:v>Tagline (Tagline Wire)</c:v>
                </c:pt>
                <c:pt idx="11">
                  <c:v>Spud System (Spud Winch)</c:v>
                </c:pt>
                <c:pt idx="12">
                  <c:v>Crane Boom (Boom Winch)</c:v>
                </c:pt>
                <c:pt idx="13">
                  <c:v>Crane Boom (Boom Wires)</c:v>
                </c:pt>
                <c:pt idx="14">
                  <c:v>Spud System (Spud Wires)</c:v>
                </c:pt>
                <c:pt idx="15">
                  <c:v>Main Hoist (Closer)</c:v>
                </c:pt>
                <c:pt idx="16">
                  <c:v>Electrical/Electronics (MCC / Switch Gear)</c:v>
                </c:pt>
                <c:pt idx="17">
                  <c:v>Spud System (Walking Mechanisms (Carriage / Travel))</c:v>
                </c:pt>
                <c:pt idx="18">
                  <c:v>Electrical/Electronics (Transformers)</c:v>
                </c:pt>
                <c:pt idx="19">
                  <c:v>Main / Aux. Generators (Auxiliary Generator)</c:v>
                </c:pt>
                <c:pt idx="20">
                  <c:v>Crane Boom (Boom / Gantry Structure)</c:v>
                </c:pt>
                <c:pt idx="21">
                  <c:v>Crane Swing (Drive (motor, gear box, etc.))</c:v>
                </c:pt>
                <c:pt idx="22">
                  <c:v>Deck Winch (Winch)</c:v>
                </c:pt>
                <c:pt idx="23">
                  <c:v>Auxiliary Systems (Compressed Air)</c:v>
                </c:pt>
                <c:pt idx="24">
                  <c:v>Auxiliary Systems (Deck Crane)</c:v>
                </c:pt>
                <c:pt idx="25">
                  <c:v>Spud System (Spud Sheaves)</c:v>
                </c:pt>
                <c:pt idx="26">
                  <c:v>Tagline (Tagline Winch (motor, gearbox, etc.))</c:v>
                </c:pt>
                <c:pt idx="27">
                  <c:v>Deck Winch (Fairleads)</c:v>
                </c:pt>
                <c:pt idx="28">
                  <c:v>Hull (Hull / House Repair)</c:v>
                </c:pt>
                <c:pt idx="29">
                  <c:v>Crane Boom (Boom / Gantry Sheaves)</c:v>
                </c:pt>
                <c:pt idx="30">
                  <c:v>Crane Swing (Swing Circle (rollers, etc.))</c:v>
                </c:pt>
                <c:pt idx="31">
                  <c:v>Tagline (Tagline Sheaves)</c:v>
                </c:pt>
              </c:strCache>
            </c:strRef>
          </c:cat>
          <c:val>
            <c:numRef>
              <c:f>'54 hrs'!$C$33:$C$65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7-4598-BF5C-F63EA9AE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2259456"/>
        <c:axId val="112261376"/>
      </c:barChart>
      <c:lineChart>
        <c:grouping val="standard"/>
        <c:varyColors val="0"/>
        <c:ser>
          <c:idx val="2"/>
          <c:order val="2"/>
          <c:tx>
            <c:strRef>
              <c:f>'54 hrs'!$E$32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'54 hrs'!$E$33:$E$65</c:f>
              <c:numCache>
                <c:formatCode>0.0%</c:formatCode>
                <c:ptCount val="33"/>
                <c:pt idx="0">
                  <c:v>0.1577833728726856</c:v>
                </c:pt>
                <c:pt idx="1">
                  <c:v>0.29518895950697971</c:v>
                </c:pt>
                <c:pt idx="2">
                  <c:v>0.41136869544445687</c:v>
                </c:pt>
                <c:pt idx="3">
                  <c:v>0.5188962594689881</c:v>
                </c:pt>
                <c:pt idx="4">
                  <c:v>0.60645995693745081</c:v>
                </c:pt>
                <c:pt idx="5">
                  <c:v>0.66337723259562731</c:v>
                </c:pt>
                <c:pt idx="6">
                  <c:v>0.70890268518231314</c:v>
                </c:pt>
                <c:pt idx="7">
                  <c:v>0.75241195831091534</c:v>
                </c:pt>
                <c:pt idx="8">
                  <c:v>0.79274666355409917</c:v>
                </c:pt>
                <c:pt idx="9">
                  <c:v>0.81487013791035123</c:v>
                </c:pt>
                <c:pt idx="10">
                  <c:v>0.83386196481071773</c:v>
                </c:pt>
                <c:pt idx="11">
                  <c:v>0.85210484565473477</c:v>
                </c:pt>
                <c:pt idx="12">
                  <c:v>0.86996283214313908</c:v>
                </c:pt>
                <c:pt idx="13">
                  <c:v>0.88738173337396975</c:v>
                </c:pt>
                <c:pt idx="14">
                  <c:v>0.9035500753269009</c:v>
                </c:pt>
                <c:pt idx="15">
                  <c:v>0.91882357264097958</c:v>
                </c:pt>
                <c:pt idx="16">
                  <c:v>0.932601956862814</c:v>
                </c:pt>
                <c:pt idx="17">
                  <c:v>0.94490267406630757</c:v>
                </c:pt>
                <c:pt idx="18">
                  <c:v>0.95610212715505172</c:v>
                </c:pt>
                <c:pt idx="19">
                  <c:v>0.96402789395631672</c:v>
                </c:pt>
                <c:pt idx="20">
                  <c:v>0.96998611416035319</c:v>
                </c:pt>
                <c:pt idx="21">
                  <c:v>0.97584984766339289</c:v>
                </c:pt>
                <c:pt idx="22">
                  <c:v>0.98092989735224079</c:v>
                </c:pt>
                <c:pt idx="23">
                  <c:v>0.98575474031441634</c:v>
                </c:pt>
                <c:pt idx="24">
                  <c:v>0.98997329361186381</c:v>
                </c:pt>
                <c:pt idx="25">
                  <c:v>0.99371385536309198</c:v>
                </c:pt>
                <c:pt idx="26">
                  <c:v>0.99623720608383126</c:v>
                </c:pt>
                <c:pt idx="27">
                  <c:v>0.99743774299061483</c:v>
                </c:pt>
                <c:pt idx="28">
                  <c:v>0.99821031072229494</c:v>
                </c:pt>
                <c:pt idx="29">
                  <c:v>0.99892174000038891</c:v>
                </c:pt>
                <c:pt idx="30">
                  <c:v>0.99957758886613179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87-4598-BF5C-F63EA9AEE0D0}"/>
            </c:ext>
          </c:extLst>
        </c:ser>
        <c:ser>
          <c:idx val="3"/>
          <c:order val="3"/>
          <c:tx>
            <c:strRef>
              <c:f>'54 hrs'!$J$32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'54 hrs'!$J$33:$J$65</c:f>
              <c:numCache>
                <c:formatCode>0%</c:formatCode>
                <c:ptCount val="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87-4598-BF5C-F63EA9AE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8528"/>
        <c:axId val="111880064"/>
      </c:lineChart>
      <c:catAx>
        <c:axId val="112259456"/>
        <c:scaling>
          <c:orientation val="minMax"/>
        </c:scaling>
        <c:delete val="0"/>
        <c:axPos val="b"/>
        <c:title>
          <c:tx>
            <c:strRef>
              <c:f>'54 hrs'!$C$32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2261376"/>
        <c:crosses val="autoZero"/>
        <c:auto val="1"/>
        <c:lblAlgn val="ctr"/>
        <c:lblOffset val="100"/>
        <c:tickMarkSkip val="1"/>
        <c:noMultiLvlLbl val="0"/>
      </c:catAx>
      <c:valAx>
        <c:axId val="112261376"/>
        <c:scaling>
          <c:orientation val="minMax"/>
        </c:scaling>
        <c:delete val="0"/>
        <c:axPos val="l"/>
        <c:title>
          <c:tx>
            <c:strRef>
              <c:f>'54 hrs'!$D$32</c:f>
              <c:strCache>
                <c:ptCount val="1"/>
                <c:pt idx="0">
                  <c:v>Hours</c:v>
                </c:pt>
              </c:strCache>
            </c:strRef>
          </c:tx>
          <c:layout>
            <c:manualLayout>
              <c:xMode val="edge"/>
              <c:yMode val="edge"/>
              <c:x val="2.3038882670479661E-2"/>
              <c:y val="0.381336398884205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59456"/>
        <c:crosses val="autoZero"/>
        <c:crossBetween val="between"/>
      </c:valAx>
      <c:catAx>
        <c:axId val="11187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1880064"/>
        <c:crosses val="autoZero"/>
        <c:auto val="1"/>
        <c:lblAlgn val="ctr"/>
        <c:lblOffset val="100"/>
        <c:noMultiLvlLbl val="0"/>
      </c:catAx>
      <c:valAx>
        <c:axId val="11188006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4324443524263657"/>
              <c:y val="0.3461059125851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78528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17</xdr:row>
      <xdr:rowOff>28575</xdr:rowOff>
    </xdr:from>
    <xdr:to>
      <xdr:col>17</xdr:col>
      <xdr:colOff>523875</xdr:colOff>
      <xdr:row>33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142875</xdr:colOff>
      <xdr:row>16</xdr:row>
      <xdr:rowOff>161925</xdr:rowOff>
    </xdr:from>
    <xdr:to>
      <xdr:col>25</xdr:col>
      <xdr:colOff>447675</xdr:colOff>
      <xdr:row>34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34</xdr:row>
      <xdr:rowOff>85725</xdr:rowOff>
    </xdr:from>
    <xdr:to>
      <xdr:col>17</xdr:col>
      <xdr:colOff>504825</xdr:colOff>
      <xdr:row>51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200025</xdr:colOff>
      <xdr:row>35</xdr:row>
      <xdr:rowOff>28575</xdr:rowOff>
    </xdr:from>
    <xdr:to>
      <xdr:col>25</xdr:col>
      <xdr:colOff>504825</xdr:colOff>
      <xdr:row>52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1209675</xdr:colOff>
      <xdr:row>37</xdr:row>
      <xdr:rowOff>76200</xdr:rowOff>
    </xdr:from>
    <xdr:to>
      <xdr:col>8</xdr:col>
      <xdr:colOff>695325</xdr:colOff>
      <xdr:row>54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100965</xdr:rowOff>
    </xdr:from>
    <xdr:to>
      <xdr:col>9</xdr:col>
      <xdr:colOff>1039567</xdr:colOff>
      <xdr:row>25</xdr:row>
      <xdr:rowOff>160020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698873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7025" y="47625"/>
          <a:ext cx="1375148" cy="304826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40005</xdr:rowOff>
    </xdr:from>
    <xdr:to>
      <xdr:col>9</xdr:col>
      <xdr:colOff>812800</xdr:colOff>
      <xdr:row>24</xdr:row>
      <xdr:rowOff>53340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47625"/>
          <a:ext cx="1365622" cy="304826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100965</xdr:rowOff>
    </xdr:from>
    <xdr:to>
      <xdr:col>9</xdr:col>
      <xdr:colOff>1039567</xdr:colOff>
      <xdr:row>25</xdr:row>
      <xdr:rowOff>160020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698873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7025" y="47625"/>
          <a:ext cx="1375148" cy="304826"/>
        </a:xfrm>
        <a:prstGeom prst="rect">
          <a:avLst/>
        </a:prstGeom>
      </xdr:spPr>
    </xdr:pic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40005</xdr:rowOff>
    </xdr:from>
    <xdr:to>
      <xdr:col>9</xdr:col>
      <xdr:colOff>812800</xdr:colOff>
      <xdr:row>24</xdr:row>
      <xdr:rowOff>53340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47625"/>
          <a:ext cx="1365622" cy="304826"/>
        </a:xfrm>
        <a:prstGeom prst="rect">
          <a:avLst/>
        </a:prstGeom>
      </xdr:spPr>
    </xdr:pic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83820</xdr:rowOff>
    </xdr:from>
    <xdr:to>
      <xdr:col>9</xdr:col>
      <xdr:colOff>332740</xdr:colOff>
      <xdr:row>26</xdr:row>
      <xdr:rowOff>137160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0" y="47625"/>
          <a:ext cx="1365622" cy="304826"/>
        </a:xfrm>
        <a:prstGeom prst="rect">
          <a:avLst/>
        </a:prstGeom>
      </xdr:spPr>
    </xdr:pic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100965</xdr:rowOff>
    </xdr:from>
    <xdr:to>
      <xdr:col>9</xdr:col>
      <xdr:colOff>1039567</xdr:colOff>
      <xdr:row>25</xdr:row>
      <xdr:rowOff>160020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698873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5080" y="47625"/>
          <a:ext cx="1392292" cy="30482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8</xdr:col>
      <xdr:colOff>152400</xdr:colOff>
      <xdr:row>27</xdr:row>
      <xdr:rowOff>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0" y="47625"/>
          <a:ext cx="1365622" cy="304826"/>
        </a:xfrm>
        <a:prstGeom prst="rect">
          <a:avLst/>
        </a:prstGeom>
      </xdr:spPr>
    </xdr:pic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40005</xdr:rowOff>
    </xdr:from>
    <xdr:to>
      <xdr:col>9</xdr:col>
      <xdr:colOff>812800</xdr:colOff>
      <xdr:row>24</xdr:row>
      <xdr:rowOff>53340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5080" y="47625"/>
          <a:ext cx="1392292" cy="304826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100965</xdr:rowOff>
    </xdr:from>
    <xdr:to>
      <xdr:col>9</xdr:col>
      <xdr:colOff>1039567</xdr:colOff>
      <xdr:row>25</xdr:row>
      <xdr:rowOff>160020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698873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7025" y="47625"/>
          <a:ext cx="1375148" cy="304826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</xdr:colOff>
      <xdr:row>0</xdr:row>
      <xdr:rowOff>344805</xdr:rowOff>
    </xdr:from>
    <xdr:to>
      <xdr:col>9</xdr:col>
      <xdr:colOff>860425</xdr:colOff>
      <xdr:row>26</xdr:row>
      <xdr:rowOff>34290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47625"/>
          <a:ext cx="1365622" cy="304826"/>
        </a:xfrm>
        <a:prstGeom prst="rect">
          <a:avLst/>
        </a:prstGeom>
      </xdr:spPr>
    </xdr:pic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241"/>
  <sheetViews>
    <sheetView view="pageBreakPreview" topLeftCell="E14" zoomScaleNormal="100" zoomScaleSheetLayoutView="100" workbookViewId="0">
      <selection activeCell="AB32" sqref="AB32"/>
    </sheetView>
  </sheetViews>
  <sheetFormatPr defaultRowHeight="12.75" x14ac:dyDescent="0.2"/>
  <cols>
    <col min="1" max="2" width="2.85546875" hidden="1" customWidth="1"/>
    <col min="3" max="3" width="20" hidden="1" customWidth="1"/>
    <col min="4" max="4" width="26" hidden="1" customWidth="1"/>
    <col min="5" max="5" width="41.42578125" bestFit="1" customWidth="1"/>
    <col min="6" max="6" width="8.42578125" bestFit="1" customWidth="1"/>
    <col min="7" max="7" width="9.85546875" bestFit="1" customWidth="1"/>
    <col min="8" max="8" width="7.5703125" style="45" bestFit="1" customWidth="1"/>
    <col min="9" max="9" width="6.28515625" customWidth="1"/>
    <col min="10" max="10" width="8.7109375" customWidth="1"/>
    <col min="11" max="11" width="7.5703125" style="45" customWidth="1"/>
    <col min="12" max="12" width="6.28515625" customWidth="1"/>
    <col min="13" max="13" width="9.85546875" customWidth="1"/>
    <col min="14" max="14" width="7.5703125" style="45" customWidth="1"/>
    <col min="15" max="15" width="6.28515625" customWidth="1"/>
    <col min="16" max="16" width="9.85546875" customWidth="1"/>
    <col min="17" max="17" width="7.5703125" style="45" customWidth="1"/>
    <col min="18" max="18" width="6.28515625" hidden="1" customWidth="1"/>
    <col min="19" max="19" width="8" hidden="1" customWidth="1"/>
    <col min="20" max="20" width="7.5703125" style="45" hidden="1" customWidth="1"/>
    <col min="21" max="21" width="8.5703125" customWidth="1"/>
    <col min="22" max="22" width="8.5703125" bestFit="1" customWidth="1"/>
    <col min="23" max="23" width="7.5703125" customWidth="1"/>
    <col min="24" max="24" width="3.28515625" customWidth="1"/>
    <col min="25" max="25" width="10" bestFit="1" customWidth="1"/>
  </cols>
  <sheetData>
    <row r="2" spans="3:30" x14ac:dyDescent="0.2">
      <c r="Y2" s="23"/>
      <c r="Z2" s="23"/>
      <c r="AA2" s="23"/>
      <c r="AB2" s="23"/>
      <c r="AC2" s="23"/>
      <c r="AD2" s="23"/>
    </row>
    <row r="3" spans="3:30" x14ac:dyDescent="0.2">
      <c r="E3" s="50" t="s">
        <v>103</v>
      </c>
      <c r="F3" s="51"/>
      <c r="G3" s="211">
        <v>181019</v>
      </c>
      <c r="H3" s="212"/>
      <c r="I3" s="211"/>
      <c r="J3" s="211">
        <v>170202</v>
      </c>
      <c r="K3" s="212"/>
      <c r="L3" s="211"/>
      <c r="M3" s="211">
        <v>170321</v>
      </c>
      <c r="N3" s="212"/>
      <c r="O3" s="211"/>
      <c r="P3" s="211">
        <v>190508</v>
      </c>
      <c r="Q3" s="212"/>
      <c r="R3" s="51"/>
      <c r="S3" s="156"/>
      <c r="Y3" s="184"/>
      <c r="Z3" s="207"/>
      <c r="AA3" s="184"/>
      <c r="AB3" s="208"/>
      <c r="AC3" s="23"/>
      <c r="AD3" s="23"/>
    </row>
    <row r="4" spans="3:30" ht="13.5" thickBot="1" x14ac:dyDescent="0.25">
      <c r="E4" s="50" t="s">
        <v>104</v>
      </c>
      <c r="F4" s="51"/>
      <c r="G4" s="211">
        <v>200930</v>
      </c>
      <c r="H4" s="212"/>
      <c r="I4" s="211"/>
      <c r="J4" s="211">
        <v>200930</v>
      </c>
      <c r="K4" s="212"/>
      <c r="L4" s="211"/>
      <c r="M4" s="211">
        <v>200930</v>
      </c>
      <c r="N4" s="212"/>
      <c r="O4" s="211"/>
      <c r="P4" s="211">
        <v>200930</v>
      </c>
      <c r="Q4" s="212"/>
      <c r="R4" s="51"/>
      <c r="S4" s="156"/>
      <c r="T4" s="52"/>
      <c r="U4" s="51"/>
      <c r="V4" s="51"/>
      <c r="Y4" s="184"/>
      <c r="Z4" s="207"/>
      <c r="AA4" s="184"/>
      <c r="AB4" s="208"/>
      <c r="AC4" s="23"/>
      <c r="AD4" s="23"/>
    </row>
    <row r="5" spans="3:30" x14ac:dyDescent="0.2">
      <c r="C5" s="23"/>
      <c r="D5" s="23"/>
      <c r="E5" s="23"/>
      <c r="F5" s="238">
        <v>53</v>
      </c>
      <c r="G5" s="239"/>
      <c r="H5" s="240"/>
      <c r="I5" s="238">
        <v>54</v>
      </c>
      <c r="J5" s="239"/>
      <c r="K5" s="240"/>
      <c r="L5" s="238">
        <v>55</v>
      </c>
      <c r="M5" s="239"/>
      <c r="N5" s="240"/>
      <c r="O5" s="238">
        <v>58</v>
      </c>
      <c r="P5" s="239"/>
      <c r="Q5" s="240"/>
      <c r="R5" s="238" t="s">
        <v>102</v>
      </c>
      <c r="S5" s="239"/>
      <c r="T5" s="240"/>
      <c r="U5" s="238" t="s">
        <v>105</v>
      </c>
      <c r="V5" s="239"/>
      <c r="W5" s="240"/>
      <c r="Y5" s="184"/>
      <c r="Z5" s="207"/>
      <c r="AA5" s="184"/>
      <c r="AB5" s="208"/>
      <c r="AC5" s="23"/>
      <c r="AD5" s="23"/>
    </row>
    <row r="6" spans="3:30" ht="13.5" thickBot="1" x14ac:dyDescent="0.25">
      <c r="C6" s="42" t="s">
        <v>15</v>
      </c>
      <c r="D6" s="42" t="s">
        <v>16</v>
      </c>
      <c r="E6" s="53" t="s">
        <v>30</v>
      </c>
      <c r="F6" s="54" t="s">
        <v>14</v>
      </c>
      <c r="G6" s="55" t="s">
        <v>13</v>
      </c>
      <c r="H6" s="56" t="s">
        <v>99</v>
      </c>
      <c r="I6" s="54" t="s">
        <v>14</v>
      </c>
      <c r="J6" s="55" t="s">
        <v>13</v>
      </c>
      <c r="K6" s="56" t="s">
        <v>99</v>
      </c>
      <c r="L6" s="54" t="s">
        <v>14</v>
      </c>
      <c r="M6" s="55" t="s">
        <v>13</v>
      </c>
      <c r="N6" s="56" t="s">
        <v>99</v>
      </c>
      <c r="O6" s="54" t="s">
        <v>14</v>
      </c>
      <c r="P6" s="55" t="s">
        <v>13</v>
      </c>
      <c r="Q6" s="56" t="s">
        <v>99</v>
      </c>
      <c r="R6" s="54" t="s">
        <v>14</v>
      </c>
      <c r="S6" s="55" t="s">
        <v>13</v>
      </c>
      <c r="T6" s="56" t="s">
        <v>99</v>
      </c>
      <c r="U6" s="54" t="s">
        <v>14</v>
      </c>
      <c r="V6" s="55" t="s">
        <v>13</v>
      </c>
      <c r="W6" s="56" t="s">
        <v>99</v>
      </c>
      <c r="Y6" s="184"/>
      <c r="Z6" s="187"/>
      <c r="AA6" s="184"/>
      <c r="AB6" s="185"/>
      <c r="AC6" s="188"/>
      <c r="AD6" s="188"/>
    </row>
    <row r="7" spans="3:30" x14ac:dyDescent="0.2">
      <c r="C7" s="32" t="s">
        <v>17</v>
      </c>
      <c r="D7" s="32" t="s">
        <v>18</v>
      </c>
      <c r="E7" s="43" t="str">
        <f t="shared" ref="E7:E13" si="0">C7&amp;" "&amp;"("&amp;D7&amp;")"</f>
        <v>Auxiliary Systems (Compressed Air)</v>
      </c>
      <c r="F7" s="59">
        <f>IF('53 count'!AB3=0, " ",('53 count'!AB3))</f>
        <v>12</v>
      </c>
      <c r="G7" s="170">
        <f>IF('53 count'!AC3=0, " ",('53 count'!AC3))</f>
        <v>12.270000000000001</v>
      </c>
      <c r="H7" s="99">
        <f t="shared" ref="H7:H13" si="1">IF(G7=" ","",(G7/$G$86))</f>
        <v>5.2406055098997619E-3</v>
      </c>
      <c r="I7" s="59">
        <f>IF('54 count'!AB3=0, " ",('54 count'!AB3))</f>
        <v>9</v>
      </c>
      <c r="J7" s="170">
        <f>IF('54 count'!AC3=0, " ",('54 count'!AC3))</f>
        <v>8.6808333333302272</v>
      </c>
      <c r="K7" s="99">
        <f>IF(J7=" ","",(J7/$J$86))</f>
        <v>4.8248429621755504E-3</v>
      </c>
      <c r="L7" s="59">
        <f>IF('55 count'!AB3=0, " ",('55 count'!AB3))</f>
        <v>14</v>
      </c>
      <c r="M7" s="170">
        <f>IF('55 count'!AC3=0, " ",('55 count'!AC3))</f>
        <v>7.6400000000000006</v>
      </c>
      <c r="N7" s="99">
        <f>IF(M7=" ","",(M7/$M$86))</f>
        <v>2.8916854371088541E-3</v>
      </c>
      <c r="O7" s="59">
        <f>IF('58 count'!AB3=0, " ",('58 count'!AB3))</f>
        <v>1</v>
      </c>
      <c r="P7" s="170">
        <f>IF('58 count'!AC3=0, " ",('58 count'!AC3))</f>
        <v>0.32</v>
      </c>
      <c r="Q7" s="99">
        <f>IF(P7=" ","",(P7/$P$86))</f>
        <v>2.8656523948704604E-4</v>
      </c>
      <c r="R7" s="59" t="str">
        <f>IF('NY count'!AB3=0, " ",('NY count'!AB3))</f>
        <v xml:space="preserve"> </v>
      </c>
      <c r="S7" s="170" t="str">
        <f>IF('NY count'!AC3=0, " ",('NY count'!AC3))</f>
        <v xml:space="preserve"> </v>
      </c>
      <c r="T7" s="99" t="str">
        <f>IF(S7=" ","",(S7/$S$86))</f>
        <v/>
      </c>
      <c r="U7" s="57">
        <f>IF('53 count'!AB3+'54 count'!AB3+'55 count'!AB3+'58 count'!AB3+'NY count'!AB3=0," ",'53 count'!AB3+'54 count'!AB3+'55 count'!AB3+'58 count'!AB3+'NY count'!AB3)</f>
        <v>36</v>
      </c>
      <c r="V7" s="170">
        <f>IF('53 count'!AC3+'54 count'!AC3+'55 count'!AC3+'58 count'!AC3+'NY count'!AC3=0," ",'53 count'!AC3+'54 count'!AC3+'55 count'!AC3+'58 count'!AC3+'NY count'!AC3)</f>
        <v>28.910833333330231</v>
      </c>
      <c r="W7" s="99">
        <f t="shared" ref="W7:W13" si="2">IF(V7=" ","",(V7/$V$86))</f>
        <v>3.6599422435311187E-3</v>
      </c>
      <c r="X7" s="23"/>
      <c r="Y7" s="23"/>
      <c r="Z7" s="23"/>
      <c r="AA7" s="186"/>
      <c r="AB7" s="209"/>
      <c r="AC7" s="210"/>
      <c r="AD7" s="210"/>
    </row>
    <row r="8" spans="3:30" s="23" customFormat="1" x14ac:dyDescent="0.2">
      <c r="C8" s="32" t="s">
        <v>17</v>
      </c>
      <c r="D8" s="32" t="s">
        <v>32</v>
      </c>
      <c r="E8" s="43" t="str">
        <f t="shared" si="0"/>
        <v>Auxiliary Systems (Deck Crane)</v>
      </c>
      <c r="F8" s="59">
        <f>IF('53 count'!AB4=0, " ",('53 count'!AB4))</f>
        <v>4</v>
      </c>
      <c r="G8" s="170">
        <f>IF('53 count'!AC4=0, " ",('53 count'!AC4))</f>
        <v>3.16</v>
      </c>
      <c r="H8" s="99">
        <f t="shared" si="1"/>
        <v>1.3496587947256109E-3</v>
      </c>
      <c r="I8" s="59">
        <f>IF('54 count'!AB4=0, " ",('54 count'!AB4))</f>
        <v>2</v>
      </c>
      <c r="J8" s="170">
        <f>IF('54 count'!AC4=0, " ",('54 count'!AC4))</f>
        <v>7.59</v>
      </c>
      <c r="K8" s="99">
        <f t="shared" ref="K8:K14" si="3">IF(J8=" ","",(J8/$J$86))</f>
        <v>4.2185532974475031E-3</v>
      </c>
      <c r="L8" s="59">
        <f>IF('55 count'!AB4=0, " ",('55 count'!AB4))</f>
        <v>5</v>
      </c>
      <c r="M8" s="170">
        <f>IF('55 count'!AC4=0, " ",('55 count'!AC4))</f>
        <v>2.81</v>
      </c>
      <c r="N8" s="99">
        <f t="shared" ref="N8:N14" si="4">IF(M8=" ","",(M8/$M$86))</f>
        <v>1.0635649317115026E-3</v>
      </c>
      <c r="O8" s="59" t="str">
        <f>IF('58 count'!AB4=0, " ",('58 count'!AB4))</f>
        <v xml:space="preserve"> </v>
      </c>
      <c r="P8" s="170" t="str">
        <f>IF('58 count'!AC4=0, " ",('58 count'!AC4))</f>
        <v xml:space="preserve"> </v>
      </c>
      <c r="Q8" s="143" t="str">
        <f t="shared" ref="Q8:Q14" si="5">IF(P8=" ","",(P8/$P$86))</f>
        <v/>
      </c>
      <c r="R8" s="59" t="str">
        <f>IF('NY count'!AB4=0, " ",('NY count'!AB4))</f>
        <v xml:space="preserve"> </v>
      </c>
      <c r="S8" s="170" t="str">
        <f>IF('NY count'!AC4=0, " ",('NY count'!AC4))</f>
        <v xml:space="preserve"> </v>
      </c>
      <c r="T8" s="99" t="str">
        <f t="shared" ref="T8:T13" si="6">IF(S8=" ","",(S8/$S$86))</f>
        <v/>
      </c>
      <c r="U8" s="59">
        <f>IF('53 count'!AB4+'54 count'!AB4+'55 count'!AB4+'58 count'!AB4+'NY count'!AB4=0," ",'53 count'!AB4+'54 count'!AB4+'55 count'!AB4+'58 count'!AB4+'NY count'!AB4)</f>
        <v>11</v>
      </c>
      <c r="V8" s="170">
        <f>IF('53 count'!AC4+'54 count'!AC4+'55 count'!AC4+'58 count'!AC4+'NY count'!AC4=0," ",'53 count'!AC4+'54 count'!AC4+'55 count'!AC4+'58 count'!AC4+'NY count'!AC4)</f>
        <v>13.56</v>
      </c>
      <c r="W8" s="99">
        <f t="shared" si="2"/>
        <v>1.7166166139205245E-3</v>
      </c>
    </row>
    <row r="9" spans="3:30" s="23" customFormat="1" hidden="1" x14ac:dyDescent="0.2">
      <c r="C9" s="32" t="s">
        <v>17</v>
      </c>
      <c r="D9" s="32" t="s">
        <v>33</v>
      </c>
      <c r="E9" s="43" t="str">
        <f t="shared" si="0"/>
        <v>Auxiliary Systems (Fire Main)</v>
      </c>
      <c r="F9" s="59" t="str">
        <f>IF('53 count'!AB5=0, " ",('53 count'!AB5))</f>
        <v xml:space="preserve"> </v>
      </c>
      <c r="G9" s="170" t="str">
        <f>IF('53 count'!AC5=0, " ",('53 count'!AC5))</f>
        <v xml:space="preserve"> </v>
      </c>
      <c r="H9" s="99" t="str">
        <f t="shared" si="1"/>
        <v/>
      </c>
      <c r="I9" s="59" t="str">
        <f>IF('54 count'!AB5=0, " ",('54 count'!AB5))</f>
        <v xml:space="preserve"> </v>
      </c>
      <c r="J9" s="170" t="str">
        <f>IF('54 count'!AC5=0, " ",('54 count'!AC5))</f>
        <v xml:space="preserve"> </v>
      </c>
      <c r="K9" s="99" t="str">
        <f t="shared" si="3"/>
        <v/>
      </c>
      <c r="L9" s="59" t="str">
        <f>IF('55 count'!AB5=0, " ",('55 count'!AB5))</f>
        <v xml:space="preserve"> </v>
      </c>
      <c r="M9" s="170" t="str">
        <f>IF('55 count'!AC5=0, " ",('55 count'!AC5))</f>
        <v xml:space="preserve"> </v>
      </c>
      <c r="N9" s="99" t="str">
        <f t="shared" si="4"/>
        <v/>
      </c>
      <c r="O9" s="59" t="str">
        <f>IF('58 count'!AB5=0, " ",('58 count'!AB5))</f>
        <v xml:space="preserve"> </v>
      </c>
      <c r="P9" s="170" t="str">
        <f>IF('58 count'!AC5=0, " ",('58 count'!AC5))</f>
        <v xml:space="preserve"> </v>
      </c>
      <c r="Q9" s="143" t="str">
        <f t="shared" si="5"/>
        <v/>
      </c>
      <c r="R9" s="59" t="str">
        <f>IF('NY count'!AB5=0, " ",('NY count'!AB5))</f>
        <v xml:space="preserve"> </v>
      </c>
      <c r="S9" s="170" t="str">
        <f>IF('NY count'!AC5=0, " ",('NY count'!AC5))</f>
        <v xml:space="preserve"> </v>
      </c>
      <c r="T9" s="99" t="str">
        <f t="shared" si="6"/>
        <v/>
      </c>
      <c r="U9" s="59" t="str">
        <f>IF('53 count'!AB5+'54 count'!AB5+'55 count'!AB5+'58 count'!AB5+'NY count'!AB5=0," ",'53 count'!AB5+'54 count'!AB5+'55 count'!AB5+'58 count'!AB5+'NY count'!AB5)</f>
        <v xml:space="preserve"> </v>
      </c>
      <c r="V9" s="170" t="str">
        <f>IF('53 count'!AC5+'54 count'!AC5+'55 count'!AC5+'58 count'!AC5+'NY count'!AC5=0," ",'53 count'!AC5+'54 count'!AC5+'55 count'!AC5+'58 count'!AC5+'NY count'!AC5)</f>
        <v xml:space="preserve"> </v>
      </c>
      <c r="W9" s="99" t="str">
        <f t="shared" si="2"/>
        <v/>
      </c>
    </row>
    <row r="10" spans="3:30" s="23" customFormat="1" x14ac:dyDescent="0.2">
      <c r="C10" s="32" t="s">
        <v>17</v>
      </c>
      <c r="D10" s="32" t="s">
        <v>19</v>
      </c>
      <c r="E10" s="43" t="str">
        <f t="shared" si="0"/>
        <v>Auxiliary Systems (Fuel)</v>
      </c>
      <c r="F10" s="59">
        <f>IF('53 count'!AB6=0, " ",('53 count'!AB6))</f>
        <v>1</v>
      </c>
      <c r="G10" s="170">
        <f>IF('53 count'!AC6=0, " ",('53 count'!AC6))</f>
        <v>16.170000000000002</v>
      </c>
      <c r="H10" s="99">
        <f t="shared" si="1"/>
        <v>6.9063236426307375E-3</v>
      </c>
      <c r="I10" s="59" t="str">
        <f>IF('54 count'!AB6=0, " ",('54 count'!AB6))</f>
        <v xml:space="preserve"> </v>
      </c>
      <c r="J10" s="170" t="str">
        <f>IF('54 count'!AC6=0, " ",('54 count'!AC6))</f>
        <v xml:space="preserve"> </v>
      </c>
      <c r="K10" s="99" t="str">
        <f t="shared" si="3"/>
        <v/>
      </c>
      <c r="L10" s="59" t="str">
        <f>IF('55 count'!AB6=0, " ",('55 count'!AB6))</f>
        <v xml:space="preserve"> </v>
      </c>
      <c r="M10" s="170" t="str">
        <f>IF('55 count'!AC6=0, " ",('55 count'!AC6))</f>
        <v xml:space="preserve"> </v>
      </c>
      <c r="N10" s="99" t="str">
        <f t="shared" si="4"/>
        <v/>
      </c>
      <c r="O10" s="59">
        <f>IF('58 count'!AB6=0, " ",('58 count'!AB6))</f>
        <v>1</v>
      </c>
      <c r="P10" s="170">
        <f>IF('58 count'!AC6=0, " ",('58 count'!AC6))</f>
        <v>0.4</v>
      </c>
      <c r="Q10" s="143">
        <f t="shared" si="5"/>
        <v>3.582065493588076E-4</v>
      </c>
      <c r="R10" s="59" t="str">
        <f>IF('NY count'!AB6=0, " ",('NY count'!AB6))</f>
        <v xml:space="preserve"> </v>
      </c>
      <c r="S10" s="170" t="str">
        <f>IF('NY count'!AC6=0, " ",('NY count'!AC6))</f>
        <v xml:space="preserve"> </v>
      </c>
      <c r="T10" s="99" t="str">
        <f t="shared" si="6"/>
        <v/>
      </c>
      <c r="U10" s="59">
        <f>IF('53 count'!AB6+'54 count'!AB6+'55 count'!AB6+'58 count'!AB6+'NY count'!AB6=0," ",'53 count'!AB6+'54 count'!AB6+'55 count'!AB6+'58 count'!AB6+'NY count'!AB6)</f>
        <v>2</v>
      </c>
      <c r="V10" s="170">
        <f>IF('53 count'!AC6+'54 count'!AC6+'55 count'!AC6+'58 count'!AC6+'NY count'!AC6=0," ",'53 count'!AC6+'54 count'!AC6+'55 count'!AC6+'58 count'!AC6+'NY count'!AC6)</f>
        <v>16.57</v>
      </c>
      <c r="W10" s="99">
        <f t="shared" si="2"/>
        <v>2.0976649920842988E-3</v>
      </c>
    </row>
    <row r="11" spans="3:30" x14ac:dyDescent="0.2">
      <c r="C11" s="32" t="s">
        <v>17</v>
      </c>
      <c r="D11" s="32" t="s">
        <v>20</v>
      </c>
      <c r="E11" s="43" t="str">
        <f t="shared" si="0"/>
        <v>Auxiliary Systems (HVAC)</v>
      </c>
      <c r="F11" s="59">
        <f>IF('53 count'!AB7=0, " ",('53 count'!AB7))</f>
        <v>1</v>
      </c>
      <c r="G11" s="170">
        <f>IF('53 count'!AC7=0, " ",('53 count'!AC7))</f>
        <v>0.36</v>
      </c>
      <c r="H11" s="99">
        <f t="shared" si="1"/>
        <v>1.5375859686747465E-4</v>
      </c>
      <c r="I11" s="59" t="str">
        <f>IF('54 count'!AB7=0, " ",('54 count'!AB7))</f>
        <v xml:space="preserve"> </v>
      </c>
      <c r="J11" s="170" t="str">
        <f>IF('54 count'!AC7=0, " ",('54 count'!AC7))</f>
        <v xml:space="preserve"> </v>
      </c>
      <c r="K11" s="99" t="str">
        <f t="shared" si="3"/>
        <v/>
      </c>
      <c r="L11" s="59" t="str">
        <f>IF('55 count'!AB7=0, " ",('55 count'!AB7))</f>
        <v xml:space="preserve"> </v>
      </c>
      <c r="M11" s="170" t="str">
        <f>IF('55 count'!AC7=0, " ",('55 count'!AC7))</f>
        <v xml:space="preserve"> </v>
      </c>
      <c r="N11" s="99" t="str">
        <f t="shared" si="4"/>
        <v/>
      </c>
      <c r="O11" s="59">
        <f>IF('58 count'!AB7=0, " ",('58 count'!AB7))</f>
        <v>31</v>
      </c>
      <c r="P11" s="170">
        <f>IF('58 count'!AC7=0, " ",('58 count'!AC7))</f>
        <v>35.008333333688789</v>
      </c>
      <c r="Q11" s="99">
        <f t="shared" si="5"/>
        <v>3.1350535705658954E-2</v>
      </c>
      <c r="R11" s="59" t="str">
        <f>IF('NY count'!AB7=0, " ",('NY count'!AB7))</f>
        <v xml:space="preserve"> </v>
      </c>
      <c r="S11" s="170" t="str">
        <f>IF('NY count'!AC7=0, " ",('NY count'!AC7))</f>
        <v xml:space="preserve"> </v>
      </c>
      <c r="T11" s="99" t="str">
        <f t="shared" si="6"/>
        <v/>
      </c>
      <c r="U11" s="59">
        <f>IF('53 count'!AB7+'54 count'!AB7+'55 count'!AB7+'58 count'!AB7+'NY count'!AB7=0," ",'53 count'!AB7+'54 count'!AB7+'55 count'!AB7+'58 count'!AB7+'NY count'!AB7)</f>
        <v>32</v>
      </c>
      <c r="V11" s="170">
        <f>IF('53 count'!AC7+'54 count'!AC7+'55 count'!AC7+'58 count'!AC7+'NY count'!AC7=0," ",'53 count'!AC7+'54 count'!AC7+'55 count'!AC7+'58 count'!AC7+'NY count'!AC7)</f>
        <v>35.368333333688788</v>
      </c>
      <c r="W11" s="99">
        <f t="shared" si="2"/>
        <v>4.4774239385906535E-3</v>
      </c>
      <c r="X11" s="23"/>
    </row>
    <row r="12" spans="3:30" hidden="1" x14ac:dyDescent="0.2">
      <c r="C12" s="43" t="s">
        <v>17</v>
      </c>
      <c r="D12" s="43" t="s">
        <v>34</v>
      </c>
      <c r="E12" s="43" t="str">
        <f t="shared" si="0"/>
        <v>Auxiliary Systems (Potable Water)</v>
      </c>
      <c r="F12" s="59" t="str">
        <f>IF('53 count'!AB8=0, " ",('53 count'!AB8))</f>
        <v xml:space="preserve"> </v>
      </c>
      <c r="G12" s="170" t="str">
        <f>IF('53 count'!AC8=0, " ",('53 count'!AC8))</f>
        <v xml:space="preserve"> </v>
      </c>
      <c r="H12" s="99" t="str">
        <f t="shared" si="1"/>
        <v/>
      </c>
      <c r="I12" s="59" t="str">
        <f>IF('54 count'!AB8=0, " ",('54 count'!AB8))</f>
        <v xml:space="preserve"> </v>
      </c>
      <c r="J12" s="170" t="str">
        <f>IF('54 count'!AC8=0, " ",('54 count'!AC8))</f>
        <v xml:space="preserve"> </v>
      </c>
      <c r="K12" s="99" t="str">
        <f t="shared" si="3"/>
        <v/>
      </c>
      <c r="L12" s="59" t="str">
        <f>IF('55 count'!AB8=0, " ",('55 count'!AB8))</f>
        <v xml:space="preserve"> </v>
      </c>
      <c r="M12" s="170" t="str">
        <f>IF('55 count'!AC8=0, " ",('55 count'!AC8))</f>
        <v xml:space="preserve"> </v>
      </c>
      <c r="N12" s="99" t="str">
        <f t="shared" si="4"/>
        <v/>
      </c>
      <c r="O12" s="59" t="str">
        <f>IF('58 count'!AB8=0, " ",('58 count'!AB8))</f>
        <v xml:space="preserve"> </v>
      </c>
      <c r="P12" s="170" t="str">
        <f>IF('58 count'!AC8=0, " ",('58 count'!AC8))</f>
        <v xml:space="preserve"> </v>
      </c>
      <c r="Q12" s="99" t="str">
        <f t="shared" si="5"/>
        <v/>
      </c>
      <c r="R12" s="59" t="str">
        <f>IF('NY count'!AB8=0, " ",('NY count'!AB8))</f>
        <v xml:space="preserve"> </v>
      </c>
      <c r="S12" s="170" t="str">
        <f>IF('NY count'!AC8=0, " ",('NY count'!AC8))</f>
        <v xml:space="preserve"> </v>
      </c>
      <c r="T12" s="99" t="str">
        <f t="shared" si="6"/>
        <v/>
      </c>
      <c r="U12" s="59" t="str">
        <f>IF('53 count'!AB8+'54 count'!AB8+'55 count'!AB8+'58 count'!AB8+'NY count'!AB8=0," ",'53 count'!AB8+'54 count'!AB8+'55 count'!AB8+'58 count'!AB8+'NY count'!AB8)</f>
        <v xml:space="preserve"> </v>
      </c>
      <c r="V12" s="170" t="str">
        <f>IF('53 count'!AC8+'54 count'!AC8+'55 count'!AC8+'58 count'!AC8+'NY count'!AC8=0," ",'53 count'!AC8+'54 count'!AC8+'55 count'!AC8+'58 count'!AC8+'NY count'!AC8)</f>
        <v xml:space="preserve"> </v>
      </c>
      <c r="W12" s="99" t="str">
        <f t="shared" si="2"/>
        <v/>
      </c>
      <c r="X12" s="23"/>
      <c r="Z12" s="155"/>
    </row>
    <row r="13" spans="3:30" hidden="1" x14ac:dyDescent="0.2">
      <c r="C13" s="44" t="s">
        <v>17</v>
      </c>
      <c r="D13" s="44" t="s">
        <v>35</v>
      </c>
      <c r="E13" s="44" t="str">
        <f t="shared" si="0"/>
        <v>Auxiliary Systems (Sanitary System)</v>
      </c>
      <c r="F13" s="60" t="str">
        <f>IF('53 count'!AB9=0, " ",('53 count'!AB9))</f>
        <v xml:space="preserve"> </v>
      </c>
      <c r="G13" s="171" t="str">
        <f>IF('53 count'!AC9=0, " ",('53 count'!AC9))</f>
        <v xml:space="preserve"> </v>
      </c>
      <c r="H13" s="102" t="str">
        <f t="shared" si="1"/>
        <v/>
      </c>
      <c r="I13" s="60" t="str">
        <f>IF('54 count'!AB9=0, " ",('54 count'!AB9))</f>
        <v xml:space="preserve"> </v>
      </c>
      <c r="J13" s="171" t="str">
        <f>IF('54 count'!AC9=0, " ",('54 count'!AC9))</f>
        <v xml:space="preserve"> </v>
      </c>
      <c r="K13" s="102" t="str">
        <f t="shared" si="3"/>
        <v/>
      </c>
      <c r="L13" s="60" t="str">
        <f>IF('55 count'!AB9=0, " ",('55 count'!AB9))</f>
        <v xml:space="preserve"> </v>
      </c>
      <c r="M13" s="171" t="str">
        <f>IF('55 count'!AC9=0, " ",('55 count'!AC9))</f>
        <v xml:space="preserve"> </v>
      </c>
      <c r="N13" s="102" t="str">
        <f t="shared" si="4"/>
        <v/>
      </c>
      <c r="O13" s="60" t="str">
        <f>IF('58 count'!AB9=0, " ",('58 count'!AB9))</f>
        <v xml:space="preserve"> </v>
      </c>
      <c r="P13" s="171" t="str">
        <f>IF('58 count'!AC9=0, " ",('58 count'!AC9))</f>
        <v xml:space="preserve"> </v>
      </c>
      <c r="Q13" s="102" t="str">
        <f t="shared" si="5"/>
        <v/>
      </c>
      <c r="R13" s="60" t="str">
        <f>IF('NY count'!AB9=0, " ",('NY count'!AB9))</f>
        <v xml:space="preserve"> </v>
      </c>
      <c r="S13" s="171" t="str">
        <f>IF('NY count'!AC9=0, " ",('NY count'!AC9))</f>
        <v xml:space="preserve"> </v>
      </c>
      <c r="T13" s="102" t="str">
        <f t="shared" si="6"/>
        <v/>
      </c>
      <c r="U13" s="60" t="str">
        <f>IF('53 count'!AB9+'54 count'!AB9+'55 count'!AB9+'58 count'!AB9+'NY count'!AB9=0," ",'53 count'!AB9+'54 count'!AB9+'55 count'!AB9+'58 count'!AB9+'NY count'!AB9)</f>
        <v xml:space="preserve"> </v>
      </c>
      <c r="V13" s="171" t="str">
        <f>IF('53 count'!AC9+'54 count'!AC9+'55 count'!AC9+'58 count'!AC9+'NY count'!AC9=0," ",'53 count'!AC9+'54 count'!AC9+'55 count'!AC9+'58 count'!AC9+'NY count'!AC9)</f>
        <v xml:space="preserve"> </v>
      </c>
      <c r="W13" s="102" t="str">
        <f t="shared" si="2"/>
        <v/>
      </c>
      <c r="X13" s="23"/>
      <c r="Z13" s="155"/>
    </row>
    <row r="14" spans="3:30" x14ac:dyDescent="0.2">
      <c r="C14" s="236" t="s">
        <v>100</v>
      </c>
      <c r="D14" s="236"/>
      <c r="E14" s="236"/>
      <c r="F14" s="62">
        <f>SUM(F7:F13)</f>
        <v>18</v>
      </c>
      <c r="G14" s="172">
        <f t="shared" ref="G14" si="7">SUM(G7:G13)</f>
        <v>31.96</v>
      </c>
      <c r="H14" s="100">
        <f>IF(G14=0,"",(G14/$G$86))</f>
        <v>1.3650346544123584E-2</v>
      </c>
      <c r="I14" s="62">
        <f>SUM(I7:I13)</f>
        <v>11</v>
      </c>
      <c r="J14" s="172">
        <f t="shared" ref="J14" si="8">SUM(J7:J13)</f>
        <v>16.270833333330227</v>
      </c>
      <c r="K14" s="100">
        <f t="shared" si="3"/>
        <v>9.0433962596230544E-3</v>
      </c>
      <c r="L14" s="62">
        <f>SUM(L7:L13)</f>
        <v>19</v>
      </c>
      <c r="M14" s="172">
        <f t="shared" ref="M14" si="9">SUM(M7:M13)</f>
        <v>10.450000000000001</v>
      </c>
      <c r="N14" s="100">
        <f t="shared" si="4"/>
        <v>3.9552503688203566E-3</v>
      </c>
      <c r="O14" s="62">
        <f>SUM(O7:O13)</f>
        <v>33</v>
      </c>
      <c r="P14" s="172">
        <f t="shared" ref="P14" si="10">SUM(P7:P13)</f>
        <v>35.728333333688788</v>
      </c>
      <c r="Q14" s="100">
        <f t="shared" si="5"/>
        <v>3.1995307494504806E-2</v>
      </c>
      <c r="R14" s="62">
        <f>SUM(R7:R13)</f>
        <v>0</v>
      </c>
      <c r="S14" s="172">
        <f t="shared" ref="S14" si="11">SUM(S7:S13)</f>
        <v>0</v>
      </c>
      <c r="T14" s="100" t="str">
        <f>IF(S14=0,"",(S14/$S$86))</f>
        <v/>
      </c>
      <c r="U14" s="62">
        <f>F14+I14+L14+O14+R14</f>
        <v>81</v>
      </c>
      <c r="V14" s="172">
        <f>G14+J14+M14+P14+S14</f>
        <v>94.409166667019008</v>
      </c>
      <c r="W14" s="100">
        <f>IF(V14=0,"",(V14/$V$86))</f>
        <v>1.1951647788126593E-2</v>
      </c>
      <c r="X14" s="23"/>
      <c r="Y14" s="154"/>
      <c r="Z14" s="155"/>
    </row>
    <row r="15" spans="3:30" ht="4.5" customHeight="1" x14ac:dyDescent="0.2">
      <c r="C15" s="63"/>
      <c r="D15" s="63"/>
      <c r="E15" s="63"/>
      <c r="F15" s="64"/>
      <c r="G15" s="173"/>
      <c r="H15" s="101"/>
      <c r="I15" s="64"/>
      <c r="J15" s="173"/>
      <c r="K15" s="101"/>
      <c r="L15" s="64"/>
      <c r="M15" s="173"/>
      <c r="N15" s="101"/>
      <c r="O15" s="64"/>
      <c r="P15" s="173"/>
      <c r="Q15" s="101"/>
      <c r="R15" s="64"/>
      <c r="S15" s="173"/>
      <c r="T15" s="101"/>
      <c r="U15" s="64"/>
      <c r="V15" s="173"/>
      <c r="W15" s="101"/>
      <c r="X15" s="23"/>
      <c r="Y15" s="154"/>
      <c r="Z15" s="155"/>
    </row>
    <row r="16" spans="3:30" x14ac:dyDescent="0.2">
      <c r="C16" s="44" t="s">
        <v>36</v>
      </c>
      <c r="D16" s="44" t="s">
        <v>37</v>
      </c>
      <c r="E16" s="44" t="str">
        <f>C16&amp;" "&amp;"("&amp;D16&amp;")"</f>
        <v>Bucket (Weld / Repair Bucket)</v>
      </c>
      <c r="F16" s="60">
        <f>IF('53 count'!AB12=0, " ",('53 count'!AB12))</f>
        <v>105</v>
      </c>
      <c r="G16" s="171">
        <f>IF('53 count'!AC12=0, " ",('53 count'!AC12))</f>
        <v>199.31472222228069</v>
      </c>
      <c r="H16" s="102">
        <f>IF(G16=" ","",(G16/$G$86))</f>
        <v>8.5128755622023197E-2</v>
      </c>
      <c r="I16" s="60">
        <f>IF('54 count'!AB12=0, " ",('54 count'!AB12))</f>
        <v>213</v>
      </c>
      <c r="J16" s="171">
        <f>IF('54 count'!AC12=0, " ",('54 count'!AC12))</f>
        <v>247.21944444445427</v>
      </c>
      <c r="K16" s="102">
        <f t="shared" ref="K16:K17" si="12">IF(J16=" ","",(J16/$J$86))</f>
        <v>0.13740558663429411</v>
      </c>
      <c r="L16" s="60">
        <f>IF('55 count'!AB12=0, " ",('55 count'!AB12))</f>
        <v>79</v>
      </c>
      <c r="M16" s="171">
        <f>IF('55 count'!AC12=0, " ",('55 count'!AC12))</f>
        <v>143.89000000000001</v>
      </c>
      <c r="N16" s="102">
        <f t="shared" ref="N16:N17" si="13">IF(M16=" ","",(M16/$M$86))</f>
        <v>5.446133737507762E-2</v>
      </c>
      <c r="O16" s="60">
        <f>IF('58 count'!AB12=0, " ",('58 count'!AB12))</f>
        <v>44</v>
      </c>
      <c r="P16" s="171">
        <f>IF('58 count'!AC12=0, " ",('58 count'!AC12))</f>
        <v>37.383333333181213</v>
      </c>
      <c r="Q16" s="102">
        <f t="shared" ref="Q16:Q17" si="14">IF(P16=" ","",(P16/$P$86))</f>
        <v>3.3477387092022332E-2</v>
      </c>
      <c r="R16" s="60" t="str">
        <f>IF('NY count'!AB12=0, " ",('NY count'!AB12))</f>
        <v xml:space="preserve"> </v>
      </c>
      <c r="S16" s="171" t="str">
        <f>IF('NY count'!AC12=0, " ",('NY count'!AC12))</f>
        <v xml:space="preserve"> </v>
      </c>
      <c r="T16" s="102" t="str">
        <f t="shared" ref="T16" si="15">IF(S16=" ","",(S16/$S$86))</f>
        <v/>
      </c>
      <c r="U16" s="60">
        <f>IF('53 count'!AB12+'54 count'!AB12+'55 count'!AB12+'58 count'!AB12+'NY count'!AB12=0," ",'53 count'!AB12+'54 count'!AB12+'55 count'!AB12+'58 count'!AB12+'NY count'!AB12)</f>
        <v>441</v>
      </c>
      <c r="V16" s="171">
        <f>IF('53 count'!AC12+'54 count'!AC12+'55 count'!AC12+'58 count'!AC12+'NY count'!AC12=0," ",'53 count'!AC12+'54 count'!AC12+'55 count'!AC12+'58 count'!AC12+'NY count'!AC12)</f>
        <v>627.80749999991622</v>
      </c>
      <c r="W16" s="102">
        <f>IF(V16=" ","",(V16/$V$86))</f>
        <v>7.9476754044525505E-2</v>
      </c>
      <c r="X16" s="23"/>
    </row>
    <row r="17" spans="3:26" x14ac:dyDescent="0.2">
      <c r="C17" s="236" t="s">
        <v>106</v>
      </c>
      <c r="D17" s="236"/>
      <c r="E17" s="236"/>
      <c r="F17" s="65">
        <f>SUM(F16:F16)</f>
        <v>105</v>
      </c>
      <c r="G17" s="174">
        <f>SUM(G16:G16)</f>
        <v>199.31472222228069</v>
      </c>
      <c r="H17" s="100">
        <f>IF(G17=0,"",(G17/$G$86))</f>
        <v>8.5128755622023197E-2</v>
      </c>
      <c r="I17" s="65">
        <f>SUM(I16:I16)</f>
        <v>213</v>
      </c>
      <c r="J17" s="174">
        <f>SUM(J16:J16)</f>
        <v>247.21944444445427</v>
      </c>
      <c r="K17" s="100">
        <f t="shared" si="12"/>
        <v>0.13740558663429411</v>
      </c>
      <c r="L17" s="65">
        <f>SUM(L16:L16)</f>
        <v>79</v>
      </c>
      <c r="M17" s="174">
        <f>SUM(M16:M16)</f>
        <v>143.89000000000001</v>
      </c>
      <c r="N17" s="100">
        <f t="shared" si="13"/>
        <v>5.446133737507762E-2</v>
      </c>
      <c r="O17" s="65">
        <f>SUM(O16:O16)</f>
        <v>44</v>
      </c>
      <c r="P17" s="174">
        <f>SUM(P16:P16)</f>
        <v>37.383333333181213</v>
      </c>
      <c r="Q17" s="100">
        <f t="shared" si="14"/>
        <v>3.3477387092022332E-2</v>
      </c>
      <c r="R17" s="65">
        <f>SUM(R16:R16)</f>
        <v>0</v>
      </c>
      <c r="S17" s="174">
        <f>SUM(S16:S16)</f>
        <v>0</v>
      </c>
      <c r="T17" s="100" t="str">
        <f>IF(S17=0,"",(S17/$S$86))</f>
        <v/>
      </c>
      <c r="U17" s="65">
        <f>F17+I17+L17+O17+R17</f>
        <v>441</v>
      </c>
      <c r="V17" s="174">
        <f>G17+J17+M17+P17+S17</f>
        <v>627.80749999991622</v>
      </c>
      <c r="W17" s="100">
        <f>IF(V17=0,"",(V17/$V$86))</f>
        <v>7.9476754044525505E-2</v>
      </c>
      <c r="X17" s="23"/>
    </row>
    <row r="18" spans="3:26" ht="4.5" customHeight="1" x14ac:dyDescent="0.2">
      <c r="C18" s="63"/>
      <c r="D18" s="63"/>
      <c r="E18" s="63"/>
      <c r="F18" s="64"/>
      <c r="G18" s="173"/>
      <c r="H18" s="101"/>
      <c r="I18" s="64"/>
      <c r="J18" s="173"/>
      <c r="K18" s="101"/>
      <c r="L18" s="64"/>
      <c r="M18" s="173"/>
      <c r="N18" s="101"/>
      <c r="O18" s="64"/>
      <c r="P18" s="173"/>
      <c r="Q18" s="101"/>
      <c r="R18" s="64"/>
      <c r="S18" s="173"/>
      <c r="T18" s="101"/>
      <c r="U18" s="64"/>
      <c r="V18" s="173"/>
      <c r="W18" s="101"/>
      <c r="X18" s="23"/>
    </row>
    <row r="19" spans="3:26" x14ac:dyDescent="0.2">
      <c r="C19" s="32" t="s">
        <v>38</v>
      </c>
      <c r="D19" s="32" t="s">
        <v>48</v>
      </c>
      <c r="E19" s="43" t="str">
        <f t="shared" ref="E19:E25" si="16">C19&amp;" "&amp;"("&amp;D19&amp;")"</f>
        <v>Crane Boom (Boom / Gantry Sheaves)</v>
      </c>
      <c r="F19" s="59" t="str">
        <f>IF('53 count'!AB15=0, " ",('53 count'!AB15))</f>
        <v xml:space="preserve"> </v>
      </c>
      <c r="G19" s="170" t="str">
        <f>IF('53 count'!AC15=0, " ",('53 count'!AC15))</f>
        <v xml:space="preserve"> </v>
      </c>
      <c r="H19" s="99" t="str">
        <f>IF(G19=" ","",(G19/$G$86))</f>
        <v/>
      </c>
      <c r="I19" s="59">
        <f>IF('54 count'!AB15=0, " ",('54 count'!AB15))</f>
        <v>1</v>
      </c>
      <c r="J19" s="170">
        <f>IF('54 count'!AC15=0, " ",('54 count'!AC15))</f>
        <v>1.28</v>
      </c>
      <c r="K19" s="99">
        <f t="shared" ref="K19:K26" si="17">IF(J19=" ","",(J19/$J$86))</f>
        <v>7.1142927809391353E-4</v>
      </c>
      <c r="L19" s="59">
        <f>IF('55 count'!AB15=0, " ",('55 count'!AB15))</f>
        <v>3</v>
      </c>
      <c r="M19" s="170">
        <f>IF('55 count'!AC15=0, " ",('55 count'!AC15))</f>
        <v>1.73</v>
      </c>
      <c r="N19" s="99">
        <f t="shared" ref="N19:N26" si="18">IF(M19=" ","",(M19/$M$86))</f>
        <v>6.5479264479035573E-4</v>
      </c>
      <c r="O19" s="59">
        <f>IF('58 count'!AB15=0, " ",('58 count'!AB15))</f>
        <v>1</v>
      </c>
      <c r="P19" s="170">
        <f>IF('58 count'!AC15=0, " ",('58 count'!AC15))</f>
        <v>0.49</v>
      </c>
      <c r="Q19" s="99">
        <f t="shared" ref="Q19:Q26" si="19">IF(P19=" ","",(P19/$P$86))</f>
        <v>4.3880302296453927E-4</v>
      </c>
      <c r="R19" s="59" t="str">
        <f>IF('NY count'!AB15=0, " ",('NY count'!AB15))</f>
        <v xml:space="preserve"> </v>
      </c>
      <c r="S19" s="170" t="str">
        <f>IF('NY count'!AC15=0, " ",('NY count'!AC15))</f>
        <v xml:space="preserve"> </v>
      </c>
      <c r="T19" s="99" t="str">
        <f t="shared" ref="T19:T25" si="20">IF(S19=" ","",(S19/$S$86))</f>
        <v/>
      </c>
      <c r="U19" s="59">
        <f>IF('53 count'!AB15+'54 count'!AB15+'55 count'!AB15+'58 count'!AB15+'NY count'!AB15=0," ",'53 count'!AB15+'54 count'!AB15+'55 count'!AB15+'58 count'!AB15+'NY count'!AB15)</f>
        <v>5</v>
      </c>
      <c r="V19" s="170">
        <f>IF('53 count'!AC15+'54 count'!AC15+'55 count'!AC15+'58 count'!AC15+'NY count'!AC15=0," ",'53 count'!AC15+'54 count'!AC15+'55 count'!AC15+'58 count'!AC15+'NY count'!AC15)</f>
        <v>3.5</v>
      </c>
      <c r="W19" s="99">
        <f t="shared" ref="W19:W25" si="21">IF(V19=" ","",(V19/$V$86))</f>
        <v>4.4307950949276073E-4</v>
      </c>
      <c r="X19" s="23"/>
    </row>
    <row r="20" spans="3:26" s="23" customFormat="1" x14ac:dyDescent="0.2">
      <c r="C20" s="32" t="s">
        <v>38</v>
      </c>
      <c r="D20" s="32" t="s">
        <v>49</v>
      </c>
      <c r="E20" s="43" t="str">
        <f t="shared" si="16"/>
        <v>Crane Boom (Boom / Gantry Structure)</v>
      </c>
      <c r="F20" s="59">
        <f>IF('53 count'!AB16=0, " ",('53 count'!AB16))</f>
        <v>4</v>
      </c>
      <c r="G20" s="170">
        <f>IF('53 count'!AC16=0, " ",('53 count'!AC16))</f>
        <v>4.3266666666278617</v>
      </c>
      <c r="H20" s="99">
        <f>IF(G20=" ","",(G20/$G$86))</f>
        <v>1.8479505438165939E-3</v>
      </c>
      <c r="I20" s="59">
        <f>IF('54 count'!AB16=0, " ",('54 count'!AB16))</f>
        <v>3</v>
      </c>
      <c r="J20" s="170">
        <f>IF('54 count'!AC16=0, " ",('54 count'!AC16))</f>
        <v>10.72</v>
      </c>
      <c r="K20" s="99">
        <f t="shared" si="17"/>
        <v>5.9582202040365266E-3</v>
      </c>
      <c r="L20" s="59" t="str">
        <f>IF('55 count'!AB16=0, " ",('55 count'!AB16))</f>
        <v xml:space="preserve"> </v>
      </c>
      <c r="M20" s="170" t="str">
        <f>IF('55 count'!AC16=0, " ",('55 count'!AC16))</f>
        <v xml:space="preserve"> </v>
      </c>
      <c r="N20" s="99" t="str">
        <f t="shared" si="18"/>
        <v/>
      </c>
      <c r="O20" s="59" t="str">
        <f>IF('58 count'!AB16=0, " ",('58 count'!AB16))</f>
        <v xml:space="preserve"> </v>
      </c>
      <c r="P20" s="170" t="str">
        <f>IF('58 count'!AC16=0, " ",('58 count'!AC16))</f>
        <v xml:space="preserve"> </v>
      </c>
      <c r="Q20" s="99" t="str">
        <f t="shared" si="19"/>
        <v/>
      </c>
      <c r="R20" s="59" t="str">
        <f>IF('NY count'!AB16=0, " ",('NY count'!AB16))</f>
        <v xml:space="preserve"> </v>
      </c>
      <c r="S20" s="170" t="str">
        <f>IF('NY count'!AC16=0, " ",('NY count'!AC16))</f>
        <v xml:space="preserve"> </v>
      </c>
      <c r="T20" s="99" t="str">
        <f t="shared" si="20"/>
        <v/>
      </c>
      <c r="U20" s="59">
        <f>IF('53 count'!AB16+'54 count'!AB16+'55 count'!AB16+'58 count'!AB16+'NY count'!AB16=0," ",'53 count'!AB16+'54 count'!AB16+'55 count'!AB16+'58 count'!AB16+'NY count'!AB16)</f>
        <v>7</v>
      </c>
      <c r="V20" s="170">
        <f>IF('53 count'!AC16+'54 count'!AC16+'55 count'!AC16+'58 count'!AC16+'NY count'!AC16=0," ",'53 count'!AC16+'54 count'!AC16+'55 count'!AC16+'58 count'!AC16+'NY count'!AC16)</f>
        <v>15.046666666627862</v>
      </c>
      <c r="W20" s="99">
        <f t="shared" si="21"/>
        <v>1.9048199103287274E-3</v>
      </c>
      <c r="Y20"/>
      <c r="Z20"/>
    </row>
    <row r="21" spans="3:26" x14ac:dyDescent="0.2">
      <c r="C21" s="32" t="s">
        <v>38</v>
      </c>
      <c r="D21" s="32" t="s">
        <v>51</v>
      </c>
      <c r="E21" s="43" t="str">
        <f t="shared" si="16"/>
        <v>Crane Boom (Boom Winch)</v>
      </c>
      <c r="F21" s="59">
        <f>IF('53 count'!AB17=0, " ",('53 count'!AB17))</f>
        <v>49</v>
      </c>
      <c r="G21" s="170">
        <f>IF('53 count'!AC17=0, " ",('53 count'!AC17))</f>
        <v>122.53722222222713</v>
      </c>
      <c r="H21" s="99">
        <f>IF(G21=" ","",(G21/$G$86))</f>
        <v>5.233653153590994E-2</v>
      </c>
      <c r="I21" s="59">
        <f>IF('54 count'!AB17=0, " ",('54 count'!AB17))</f>
        <v>12</v>
      </c>
      <c r="J21" s="170">
        <f>IF('54 count'!AC17=0, " ",('54 count'!AC17))</f>
        <v>32.130000000000003</v>
      </c>
      <c r="K21" s="99">
        <f t="shared" si="17"/>
        <v>1.7857986488404254E-2</v>
      </c>
      <c r="L21" s="59">
        <f>IF('55 count'!AB17=0, " ",('55 count'!AB17))</f>
        <v>7</v>
      </c>
      <c r="M21" s="170">
        <f>IF('55 count'!AC17=0, " ",('55 count'!AC17))</f>
        <v>34.583611111098435</v>
      </c>
      <c r="N21" s="99">
        <f t="shared" si="18"/>
        <v>1.3089649818403049E-2</v>
      </c>
      <c r="O21" s="59">
        <f>IF('58 count'!AB17=0, " ",('58 count'!AB17))</f>
        <v>5</v>
      </c>
      <c r="P21" s="170">
        <f>IF('58 count'!AC17=0, " ",('58 count'!AC17))</f>
        <v>16.920000000000002</v>
      </c>
      <c r="Q21" s="99">
        <f t="shared" si="19"/>
        <v>1.5152137037877562E-2</v>
      </c>
      <c r="R21" s="59" t="str">
        <f>IF('NY count'!AB17=0, " ",('NY count'!AB17))</f>
        <v xml:space="preserve"> </v>
      </c>
      <c r="S21" s="170" t="str">
        <f>IF('NY count'!AC17=0, " ",('NY count'!AC17))</f>
        <v xml:space="preserve"> </v>
      </c>
      <c r="T21" s="99" t="str">
        <f t="shared" si="20"/>
        <v/>
      </c>
      <c r="U21" s="59">
        <f>IF('53 count'!AB17+'54 count'!AB17+'55 count'!AB17+'58 count'!AB17+'NY count'!AB17=0," ",'53 count'!AB17+'54 count'!AB17+'55 count'!AB17+'58 count'!AB17+'NY count'!AB17)</f>
        <v>73</v>
      </c>
      <c r="V21" s="170">
        <f>IF('53 count'!AC17+'54 count'!AC17+'55 count'!AC17+'58 count'!AC17+'NY count'!AC17=0," ",'53 count'!AC17+'54 count'!AC17+'55 count'!AC17+'58 count'!AC17+'NY count'!AC17)</f>
        <v>206.17083333332556</v>
      </c>
      <c r="W21" s="99">
        <f t="shared" si="21"/>
        <v>2.6100020487155318E-2</v>
      </c>
      <c r="X21" s="23"/>
      <c r="Y21" s="23"/>
      <c r="Z21" s="23"/>
    </row>
    <row r="22" spans="3:26" x14ac:dyDescent="0.2">
      <c r="C22" s="32" t="s">
        <v>38</v>
      </c>
      <c r="D22" s="32" t="s">
        <v>52</v>
      </c>
      <c r="E22" s="43" t="str">
        <f t="shared" si="16"/>
        <v>Crane Boom (Boom Wires)</v>
      </c>
      <c r="F22" s="59">
        <f>IF('53 count'!AB18=0, " ",('53 count'!AB18))</f>
        <v>2</v>
      </c>
      <c r="G22" s="170">
        <f>IF('53 count'!AC18=0, " ",('53 count'!AC18))</f>
        <v>3</v>
      </c>
      <c r="H22" s="99">
        <f>IF(G22=" ","",(G22/$G$86))</f>
        <v>1.281321640562289E-3</v>
      </c>
      <c r="I22" s="59">
        <f>IF('54 count'!AB18=0, " ",('54 count'!AB18))</f>
        <v>10</v>
      </c>
      <c r="J22" s="170">
        <f>IF('54 count'!AC18=0, " ",('54 count'!AC18))</f>
        <v>31.34</v>
      </c>
      <c r="K22" s="99">
        <f t="shared" si="17"/>
        <v>1.7418901230830664E-2</v>
      </c>
      <c r="L22" s="59" t="str">
        <f>IF('55 count'!AB18=0, " ",('55 count'!AB18))</f>
        <v xml:space="preserve"> </v>
      </c>
      <c r="M22" s="170" t="str">
        <f>IF('55 count'!AC18=0, " ",('55 count'!AC18))</f>
        <v xml:space="preserve"> </v>
      </c>
      <c r="N22" s="99" t="str">
        <f t="shared" si="18"/>
        <v/>
      </c>
      <c r="O22" s="59" t="str">
        <f>IF('58 count'!AB18=0, " ",('58 count'!AB18))</f>
        <v xml:space="preserve"> </v>
      </c>
      <c r="P22" s="170" t="str">
        <f>IF('58 count'!AC18=0, " ",('58 count'!AC18))</f>
        <v xml:space="preserve"> </v>
      </c>
      <c r="Q22" s="99" t="str">
        <f t="shared" si="19"/>
        <v/>
      </c>
      <c r="R22" s="59" t="str">
        <f>IF('NY count'!AB18=0, " ",('NY count'!AB18))</f>
        <v xml:space="preserve"> </v>
      </c>
      <c r="S22" s="170" t="str">
        <f>IF('NY count'!AC18=0, " ",('NY count'!AC18))</f>
        <v xml:space="preserve"> </v>
      </c>
      <c r="T22" s="99" t="str">
        <f t="shared" si="20"/>
        <v/>
      </c>
      <c r="U22" s="59">
        <f>IF('53 count'!AB18+'54 count'!AB18+'55 count'!AB18+'58 count'!AB18+'NY count'!AB18=0," ",'53 count'!AB18+'54 count'!AB18+'55 count'!AB18+'58 count'!AB18+'NY count'!AB18)</f>
        <v>12</v>
      </c>
      <c r="V22" s="170">
        <f>IF('53 count'!AC18+'54 count'!AC18+'55 count'!AC18+'58 count'!AC18+'NY count'!AC18=0," ",'53 count'!AC18+'54 count'!AC18+'55 count'!AC18+'58 count'!AC18+'NY count'!AC18)</f>
        <v>34.340000000000003</v>
      </c>
      <c r="W22" s="99">
        <f t="shared" si="21"/>
        <v>4.3472429588518298E-3</v>
      </c>
      <c r="X22" s="23"/>
    </row>
    <row r="23" spans="3:26" hidden="1" x14ac:dyDescent="0.2">
      <c r="C23" s="43" t="s">
        <v>38</v>
      </c>
      <c r="D23" s="43" t="s">
        <v>53</v>
      </c>
      <c r="E23" s="43" t="str">
        <f t="shared" si="16"/>
        <v>Crane Boom (Penant Wire)</v>
      </c>
      <c r="F23" s="59" t="str">
        <f>IF('53 count'!AB19=0, " ",('53 count'!AB19))</f>
        <v xml:space="preserve"> </v>
      </c>
      <c r="G23" s="170" t="str">
        <f>IF('53 count'!AC19=0, " ",('53 count'!AC19))</f>
        <v xml:space="preserve"> </v>
      </c>
      <c r="H23" s="99" t="str">
        <f>IF(G23=" ","",(G23/$G$86))</f>
        <v/>
      </c>
      <c r="I23" s="59" t="str">
        <f>IF('54 count'!AB19=0, " ",('54 count'!AB19))</f>
        <v xml:space="preserve"> </v>
      </c>
      <c r="J23" s="170" t="str">
        <f>IF('54 count'!AC19=0, " ",('54 count'!AC19))</f>
        <v xml:space="preserve"> </v>
      </c>
      <c r="K23" s="99" t="str">
        <f t="shared" si="17"/>
        <v/>
      </c>
      <c r="L23" s="59" t="str">
        <f>IF('55 count'!AB19=0, " ",('55 count'!AB19))</f>
        <v xml:space="preserve"> </v>
      </c>
      <c r="M23" s="170" t="str">
        <f>IF('55 count'!AC19=0, " ",('55 count'!AC19))</f>
        <v xml:space="preserve"> </v>
      </c>
      <c r="N23" s="99" t="str">
        <f t="shared" si="18"/>
        <v/>
      </c>
      <c r="O23" s="59" t="str">
        <f>IF('58 count'!AB19=0, " ",('58 count'!AB19))</f>
        <v xml:space="preserve"> </v>
      </c>
      <c r="P23" s="170" t="str">
        <f>IF('58 count'!AC19=0, " ",('58 count'!AC19))</f>
        <v xml:space="preserve"> </v>
      </c>
      <c r="Q23" s="99" t="str">
        <f t="shared" si="19"/>
        <v/>
      </c>
      <c r="R23" s="59" t="str">
        <f>IF('NY count'!AB19=0, " ",('NY count'!AB19))</f>
        <v xml:space="preserve"> </v>
      </c>
      <c r="S23" s="170" t="str">
        <f>IF('NY count'!AC19=0, " ",('NY count'!AC19))</f>
        <v xml:space="preserve"> </v>
      </c>
      <c r="T23" s="99" t="str">
        <f t="shared" si="20"/>
        <v/>
      </c>
      <c r="U23" s="59" t="str">
        <f>IF('53 count'!AB19+'54 count'!AB19+'55 count'!AB19+'58 count'!AB19+'NY count'!AB19=0," ",'53 count'!AB19+'54 count'!AB19+'55 count'!AB19+'58 count'!AB19+'NY count'!AB19)</f>
        <v xml:space="preserve"> </v>
      </c>
      <c r="V23" s="170" t="str">
        <f>IF('53 count'!AC19+'54 count'!AC19+'55 count'!AC19+'58 count'!AC19+'NY count'!AC19=0," ",'53 count'!AC19+'54 count'!AC19+'55 count'!AC19+'58 count'!AC19+'NY count'!AC19)</f>
        <v xml:space="preserve"> </v>
      </c>
      <c r="W23" s="99" t="str">
        <f t="shared" si="21"/>
        <v/>
      </c>
      <c r="X23" s="23"/>
    </row>
    <row r="24" spans="3:26" hidden="1" x14ac:dyDescent="0.2">
      <c r="C24" s="123" t="s">
        <v>38</v>
      </c>
      <c r="D24" s="123" t="s">
        <v>139</v>
      </c>
      <c r="E24" s="123" t="str">
        <f t="shared" si="16"/>
        <v>Crane Boom (Grease System (Boom/Stick))</v>
      </c>
      <c r="F24" s="121"/>
      <c r="G24" s="175"/>
      <c r="H24" s="132"/>
      <c r="I24" s="180"/>
      <c r="J24" s="175"/>
      <c r="K24" s="132"/>
      <c r="L24" s="121"/>
      <c r="M24" s="175"/>
      <c r="N24" s="132" t="str">
        <f>IF(M24=0,"",(M24/$M$86))</f>
        <v/>
      </c>
      <c r="O24" s="121"/>
      <c r="P24" s="175"/>
      <c r="Q24" s="132" t="str">
        <f>IF(P24=0,"",(P24/$P$86))</f>
        <v/>
      </c>
      <c r="R24" s="59" t="str">
        <f>IF('NY count'!AB20=0," ",'NY count'!AB20)</f>
        <v xml:space="preserve"> </v>
      </c>
      <c r="S24" s="58" t="str">
        <f>IF('NY count'!AC20=0," ",'NY count'!AC20)</f>
        <v xml:space="preserve"> </v>
      </c>
      <c r="T24" s="99" t="str">
        <f t="shared" si="20"/>
        <v/>
      </c>
      <c r="U24" s="59" t="str">
        <f>IF('NY count'!AB20=0," ",'NY count'!AB20)</f>
        <v xml:space="preserve"> </v>
      </c>
      <c r="V24" s="58" t="str">
        <f>IF('NY count'!AC20=0," ",'NY count'!AC20)</f>
        <v xml:space="preserve"> </v>
      </c>
      <c r="W24" s="99" t="str">
        <f t="shared" si="21"/>
        <v/>
      </c>
      <c r="X24" s="23"/>
    </row>
    <row r="25" spans="3:26" hidden="1" x14ac:dyDescent="0.2">
      <c r="C25" s="125" t="s">
        <v>38</v>
      </c>
      <c r="D25" s="120" t="s">
        <v>140</v>
      </c>
      <c r="E25" s="120" t="str">
        <f t="shared" si="16"/>
        <v>Crane Boom (Stick Structure)</v>
      </c>
      <c r="F25" s="122"/>
      <c r="G25" s="176"/>
      <c r="H25" s="133"/>
      <c r="I25" s="181"/>
      <c r="J25" s="176"/>
      <c r="K25" s="133"/>
      <c r="L25" s="122"/>
      <c r="M25" s="176"/>
      <c r="N25" s="133" t="str">
        <f>IF(M25=0,"",(M25/$M$86))</f>
        <v/>
      </c>
      <c r="O25" s="122"/>
      <c r="P25" s="176"/>
      <c r="Q25" s="133" t="str">
        <f>IF(P25=0,"",(P25/$P$86))</f>
        <v/>
      </c>
      <c r="R25" s="60" t="str">
        <f>IF('NY count'!AB21=0," ",'NY count'!AB21)</f>
        <v xml:space="preserve"> </v>
      </c>
      <c r="S25" s="61" t="str">
        <f>IF('NY count'!AC21=0," ",'NY count'!AC21)</f>
        <v xml:space="preserve"> </v>
      </c>
      <c r="T25" s="102" t="str">
        <f t="shared" si="20"/>
        <v/>
      </c>
      <c r="U25" s="60" t="str">
        <f>IF('NY count'!AB21=0," ",'NY count'!AB21)</f>
        <v xml:space="preserve"> </v>
      </c>
      <c r="V25" s="61" t="str">
        <f>IF('NY count'!AC21=0," ",'NY count'!AC21)</f>
        <v xml:space="preserve"> </v>
      </c>
      <c r="W25" s="102" t="str">
        <f t="shared" si="21"/>
        <v/>
      </c>
      <c r="X25" s="23"/>
    </row>
    <row r="26" spans="3:26" x14ac:dyDescent="0.2">
      <c r="C26" s="236" t="s">
        <v>107</v>
      </c>
      <c r="D26" s="236"/>
      <c r="E26" s="236"/>
      <c r="F26" s="62">
        <f>SUM(F19:F25)</f>
        <v>55</v>
      </c>
      <c r="G26" s="172">
        <f>SUM(G19:G25)</f>
        <v>129.863888888855</v>
      </c>
      <c r="H26" s="100">
        <f>IF(G26=0," ",(G26/$G$86))</f>
        <v>5.546580372028883E-2</v>
      </c>
      <c r="I26" s="62">
        <f>SUM(I19:I25)</f>
        <v>26</v>
      </c>
      <c r="J26" s="172">
        <f>SUM(J19:J25)</f>
        <v>75.47</v>
      </c>
      <c r="K26" s="100">
        <f t="shared" si="17"/>
        <v>4.1946537201365354E-2</v>
      </c>
      <c r="L26" s="62">
        <f>SUM(L19:L25)</f>
        <v>10</v>
      </c>
      <c r="M26" s="172">
        <f>SUM(M19:M25)</f>
        <v>36.313611111098432</v>
      </c>
      <c r="N26" s="100">
        <f t="shared" si="18"/>
        <v>1.3744442463193405E-2</v>
      </c>
      <c r="O26" s="62">
        <f>SUM(O19:O25)</f>
        <v>6</v>
      </c>
      <c r="P26" s="172">
        <f>SUM(P19:P25)</f>
        <v>17.41</v>
      </c>
      <c r="Q26" s="100">
        <f t="shared" si="19"/>
        <v>1.55909400608421E-2</v>
      </c>
      <c r="R26" s="62">
        <f>SUM(R19:R25)</f>
        <v>0</v>
      </c>
      <c r="S26" s="172">
        <f>SUM(S19:S25)</f>
        <v>0</v>
      </c>
      <c r="T26" s="100" t="str">
        <f>IF(S26=0,"",(S26/$S$86))</f>
        <v/>
      </c>
      <c r="U26" s="62">
        <f>F26+I26+L26+O26+R26</f>
        <v>97</v>
      </c>
      <c r="V26" s="172">
        <f>G26+J26+M26+P26+S26</f>
        <v>259.05749999995345</v>
      </c>
      <c r="W26" s="100">
        <f>IF(V26=0,"",(V26/$V$86))</f>
        <v>3.2795162865828641E-2</v>
      </c>
      <c r="X26" s="23"/>
    </row>
    <row r="27" spans="3:26" ht="4.5" customHeight="1" x14ac:dyDescent="0.2">
      <c r="C27" s="63"/>
      <c r="D27" s="63"/>
      <c r="E27" s="63"/>
      <c r="F27" s="64"/>
      <c r="G27" s="173"/>
      <c r="H27" s="101"/>
      <c r="I27" s="64"/>
      <c r="J27" s="173"/>
      <c r="K27" s="101"/>
      <c r="L27" s="64"/>
      <c r="M27" s="173"/>
      <c r="N27" s="101"/>
      <c r="O27" s="64"/>
      <c r="P27" s="173"/>
      <c r="Q27" s="101"/>
      <c r="R27" s="64"/>
      <c r="S27" s="173"/>
      <c r="T27" s="101"/>
      <c r="U27" s="64"/>
      <c r="V27" s="173"/>
      <c r="W27" s="101"/>
      <c r="X27" s="23"/>
    </row>
    <row r="28" spans="3:26" x14ac:dyDescent="0.2">
      <c r="C28" s="32" t="s">
        <v>39</v>
      </c>
      <c r="D28" s="32" t="s">
        <v>108</v>
      </c>
      <c r="E28" s="43" t="str">
        <f>C28&amp;" "&amp;"("&amp;D28&amp;")"</f>
        <v>Crane Swing (Drive (motor, gearbox))</v>
      </c>
      <c r="F28" s="59">
        <f>IF('53 count'!AB22=0, " ",('53 count'!AB22))</f>
        <v>62</v>
      </c>
      <c r="G28" s="170">
        <f>IF('53 count'!AC22=0, " ",('53 count'!AC22))</f>
        <v>364.68722222075331</v>
      </c>
      <c r="H28" s="99">
        <f>IF(G28=" ","",(G28/$G$86))</f>
        <v>0.15576054328933323</v>
      </c>
      <c r="I28" s="59">
        <f>IF('54 count'!AB22=0, " ",('54 count'!AB22))</f>
        <v>15</v>
      </c>
      <c r="J28" s="170">
        <f>IF('54 count'!AC22=0, " ",('54 count'!AC22))</f>
        <v>10.55</v>
      </c>
      <c r="K28" s="99">
        <f t="shared" ref="K28:K30" si="22">IF(J28=" ","",(J28/$J$86))</f>
        <v>5.8637335030396788E-3</v>
      </c>
      <c r="L28" s="59">
        <f>IF('55 count'!AB22=0, " ",('55 count'!AB22))</f>
        <v>18</v>
      </c>
      <c r="M28" s="170">
        <f>IF('55 count'!AC22=0, " ",('55 count'!AC22))</f>
        <v>17.43</v>
      </c>
      <c r="N28" s="99">
        <f t="shared" ref="N28:N30" si="23">IF(M28=" ","",(M28/$M$86))</f>
        <v>6.5971305194773983E-3</v>
      </c>
      <c r="O28" s="59">
        <f>IF('58 count'!AB22=0, " ",('58 count'!AB22))</f>
        <v>86</v>
      </c>
      <c r="P28" s="170">
        <f>IF('58 count'!AC22=0, " ",('58 count'!AC22))</f>
        <v>181.73111111119854</v>
      </c>
      <c r="Q28" s="99">
        <f t="shared" ref="Q28:Q30" si="24">IF(P28=" ","",(P28/$P$86))</f>
        <v>0.16274318555571121</v>
      </c>
      <c r="R28" s="59" t="str">
        <f>IF('NY count'!AB24=0," ",'NY count'!AB24)</f>
        <v xml:space="preserve"> </v>
      </c>
      <c r="S28" s="170" t="str">
        <f>IF('NY count'!AC24=0," ",'NY count'!AC24)</f>
        <v xml:space="preserve"> </v>
      </c>
      <c r="T28" s="99" t="str">
        <f t="shared" ref="T28:T29" si="25">IF(S28=" ","",(S28/$S$86))</f>
        <v/>
      </c>
      <c r="U28" s="59">
        <f>IF('53 count'!AB22+'54 count'!AB22+'55 count'!AB22+'58 count'!AB22+'NY count'!AB24=0," ",'53 count'!AB22+'54 count'!AB22+'55 count'!AB22+'58 count'!AB22+'NY count'!AB24)</f>
        <v>181</v>
      </c>
      <c r="V28" s="58">
        <f>IF('53 count'!AC22+'54 count'!AC22+'55 count'!AC22+'58 count'!AC22+'NY count'!AC24=0," ",'53 count'!AC22+'54 count'!AC22+'55 count'!AC22+'58 count'!AC22+'NY count'!AC24)</f>
        <v>574.3983333319519</v>
      </c>
      <c r="W28" s="99">
        <f>IF(V28=" ","",(V28/$V$86))</f>
        <v>7.2715466224623007E-2</v>
      </c>
      <c r="X28" s="23"/>
    </row>
    <row r="29" spans="3:26" x14ac:dyDescent="0.2">
      <c r="C29" s="44" t="s">
        <v>39</v>
      </c>
      <c r="D29" s="44" t="s">
        <v>109</v>
      </c>
      <c r="E29" s="44" t="str">
        <f>C29&amp;" "&amp;"("&amp;D29&amp;")"</f>
        <v>Crane Swing (Swing Circle (rollers))</v>
      </c>
      <c r="F29" s="60">
        <f>IF('53 count'!AB23=0, " ",('53 count'!AB23))</f>
        <v>38</v>
      </c>
      <c r="G29" s="171">
        <f>IF('53 count'!AC23=0, " ",('53 count'!AC23))</f>
        <v>101.14944444441703</v>
      </c>
      <c r="H29" s="102">
        <f>IF(G29=" ","",(G29/$G$86))</f>
        <v>4.3201657365828171E-2</v>
      </c>
      <c r="I29" s="60">
        <f>IF('54 count'!AB23=0, " ",('54 count'!AB23))</f>
        <v>4</v>
      </c>
      <c r="J29" s="171">
        <f>IF('54 count'!AC23=0, " ",('54 count'!AC23))</f>
        <v>1.1800000000000002</v>
      </c>
      <c r="K29" s="102">
        <f t="shared" si="22"/>
        <v>6.558488657428266E-4</v>
      </c>
      <c r="L29" s="60">
        <f>IF('55 count'!AB23=0, " ",('55 count'!AB23))</f>
        <v>4</v>
      </c>
      <c r="M29" s="171">
        <f>IF('55 count'!AC23=0, " ",('55 count'!AC23))</f>
        <v>0.57000000000000006</v>
      </c>
      <c r="N29" s="102">
        <f t="shared" si="23"/>
        <v>2.1574092920838311E-4</v>
      </c>
      <c r="O29" s="60">
        <f>IF('58 count'!AB23=0, " ",('58 count'!AB23))</f>
        <v>2</v>
      </c>
      <c r="P29" s="171">
        <f>IF('58 count'!AC23=0, " ",('58 count'!AC23))</f>
        <v>9.2102777778520242</v>
      </c>
      <c r="Q29" s="102">
        <f t="shared" si="24"/>
        <v>8.2479545536011997E-3</v>
      </c>
      <c r="R29" s="60" t="str">
        <f>IF('NY count'!AB25=0," ",'NY count'!AB25)</f>
        <v xml:space="preserve"> </v>
      </c>
      <c r="S29" s="171" t="str">
        <f>IF('NY count'!AC25=0," ",'NY count'!AC25)</f>
        <v xml:space="preserve"> </v>
      </c>
      <c r="T29" s="102" t="str">
        <f t="shared" si="25"/>
        <v/>
      </c>
      <c r="U29" s="60">
        <f>IF('53 count'!AB23+'54 count'!AB23+'55 count'!AB23+'58 count'!AB23+'NY count'!AB25=0," ",'53 count'!AB23+'54 count'!AB23+'55 count'!AB23+'58 count'!AB23+'NY count'!AB25)</f>
        <v>48</v>
      </c>
      <c r="V29" s="61">
        <f>IF('53 count'!AC23+'54 count'!AC23+'55 count'!AC23+'58 count'!AC23+'NY count'!AC25=0," ",'53 count'!AC23+'54 count'!AC23+'55 count'!AC23+'58 count'!AC23+'NY count'!AC25)</f>
        <v>112.10972222226906</v>
      </c>
      <c r="W29" s="102">
        <f>IF(V29=" ","",(V29/$V$86))</f>
        <v>1.4192434494746465E-2</v>
      </c>
      <c r="X29" s="23"/>
    </row>
    <row r="30" spans="3:26" x14ac:dyDescent="0.2">
      <c r="C30" s="234" t="s">
        <v>110</v>
      </c>
      <c r="D30" s="234"/>
      <c r="E30" s="237"/>
      <c r="F30" s="66">
        <f>SUM(F28:F29)</f>
        <v>100</v>
      </c>
      <c r="G30" s="174">
        <f>SUM(G28:G29)</f>
        <v>465.83666666517036</v>
      </c>
      <c r="H30" s="100">
        <f>IF(G30=0,"",(G30/$G$86))</f>
        <v>0.1989622006551614</v>
      </c>
      <c r="I30" s="65">
        <f>SUM(I28:I29)</f>
        <v>19</v>
      </c>
      <c r="J30" s="174">
        <f>SUM(J28:J29)</f>
        <v>11.73</v>
      </c>
      <c r="K30" s="100">
        <f t="shared" si="22"/>
        <v>6.5195823687825049E-3</v>
      </c>
      <c r="L30" s="65">
        <f>SUM(L28:L29)</f>
        <v>22</v>
      </c>
      <c r="M30" s="174">
        <f>SUM(M28:M29)</f>
        <v>18</v>
      </c>
      <c r="N30" s="100">
        <f t="shared" si="23"/>
        <v>6.812871448685782E-3</v>
      </c>
      <c r="O30" s="65">
        <f>SUM(O28:O29)</f>
        <v>88</v>
      </c>
      <c r="P30" s="174">
        <f>SUM(P28:P29)</f>
        <v>190.94138888905056</v>
      </c>
      <c r="Q30" s="100">
        <f t="shared" si="24"/>
        <v>0.17099114010931241</v>
      </c>
      <c r="R30" s="65">
        <f>SUM(R28:R29)</f>
        <v>0</v>
      </c>
      <c r="S30" s="174">
        <f>SUM(S28:S29)</f>
        <v>0</v>
      </c>
      <c r="T30" s="100" t="str">
        <f>IF(S30=0,"",(S30/$S$86))</f>
        <v/>
      </c>
      <c r="U30" s="65">
        <f>F30+I30+L30+O30+R30</f>
        <v>229</v>
      </c>
      <c r="V30" s="174">
        <f>G30+J30+M30+P30+S30</f>
        <v>686.50805555422096</v>
      </c>
      <c r="W30" s="100">
        <f>IF(V30=0,"",(V30/$V$86))</f>
        <v>8.6907900719369463E-2</v>
      </c>
      <c r="X30" s="23"/>
    </row>
    <row r="31" spans="3:26" ht="4.5" customHeight="1" x14ac:dyDescent="0.2">
      <c r="C31" s="63"/>
      <c r="D31" s="63"/>
      <c r="E31" s="63"/>
      <c r="F31" s="64"/>
      <c r="G31" s="173"/>
      <c r="H31" s="101"/>
      <c r="I31" s="64"/>
      <c r="J31" s="173"/>
      <c r="K31" s="101"/>
      <c r="L31" s="64"/>
      <c r="M31" s="173"/>
      <c r="N31" s="101"/>
      <c r="O31" s="64"/>
      <c r="P31" s="173"/>
      <c r="Q31" s="101"/>
      <c r="R31" s="64"/>
      <c r="S31" s="173"/>
      <c r="T31" s="101"/>
      <c r="U31" s="64"/>
      <c r="V31" s="173"/>
      <c r="W31" s="101"/>
      <c r="X31" s="23"/>
    </row>
    <row r="32" spans="3:26" x14ac:dyDescent="0.2">
      <c r="C32" s="32" t="s">
        <v>40</v>
      </c>
      <c r="D32" s="32" t="s">
        <v>24</v>
      </c>
      <c r="E32" s="43" t="str">
        <f>C32&amp;" "&amp;"("&amp;D32&amp;")"</f>
        <v>Deck Winch (Fairleads)</v>
      </c>
      <c r="F32" s="59">
        <f>IF('53 count'!AB26=0, " ",('53 count'!AB26))</f>
        <v>4</v>
      </c>
      <c r="G32" s="170">
        <f>IF('53 count'!AC26=0, " ",('53 count'!AC26))</f>
        <v>10.193888888917863</v>
      </c>
      <c r="H32" s="99">
        <f>IF(G32=" ","",(G32/$G$86))</f>
        <v>4.3538834782859744E-3</v>
      </c>
      <c r="I32" s="59">
        <f>IF('54 count'!AB26=0, " ",('54 count'!AB26))</f>
        <v>2</v>
      </c>
      <c r="J32" s="170">
        <f>IF('54 count'!AC26=0, " ",('54 count'!AC26))</f>
        <v>2.16</v>
      </c>
      <c r="K32" s="99">
        <f t="shared" ref="K32:K34" si="26">IF(J32=" ","",(J32/$J$86))</f>
        <v>1.2005369067834791E-3</v>
      </c>
      <c r="L32" s="59">
        <f>IF('55 count'!AB26=0, " ",('55 count'!AB26))</f>
        <v>11</v>
      </c>
      <c r="M32" s="170">
        <f>IF('55 count'!AC26=0, " ",('55 count'!AC26))</f>
        <v>5.4447222222131675</v>
      </c>
      <c r="N32" s="99">
        <f t="shared" ref="N32:N34" si="27">IF(M32=" ","",(M32/$M$86))</f>
        <v>2.0607884763189496E-3</v>
      </c>
      <c r="O32" s="59">
        <f>IF('58 count'!AB26=0, " ",('58 count'!AB26))</f>
        <v>6</v>
      </c>
      <c r="P32" s="170">
        <f>IF('58 count'!AC26=0, " ",('58 count'!AC26))</f>
        <v>2.6399999999999997</v>
      </c>
      <c r="Q32" s="99">
        <f t="shared" ref="Q32:Q34" si="28">IF(P32=" ","",(P32/$P$86))</f>
        <v>2.3641632257681297E-3</v>
      </c>
      <c r="R32" s="59" t="str">
        <f>IF('NY count'!AB26=0, " ",('NY count'!AB26))</f>
        <v xml:space="preserve"> </v>
      </c>
      <c r="S32" s="170" t="str">
        <f>IF('NY count'!AC26=0, " ",('NY count'!AC26))</f>
        <v xml:space="preserve"> </v>
      </c>
      <c r="T32" s="99" t="str">
        <f t="shared" ref="T32:T33" si="29">IF(S32=" ","",(S32/$S$86))</f>
        <v/>
      </c>
      <c r="U32" s="59">
        <f>IF('53 count'!AB26+'54 count'!AB26+'55 count'!AB26+'58 count'!AB26+'NY count'!AB28=0," ",'53 count'!AB26+'54 count'!AB26+'55 count'!AB26+'58 count'!AB26+'NY count'!AB28)</f>
        <v>23</v>
      </c>
      <c r="V32" s="170">
        <f>IF('53 count'!AC26+'54 count'!AC26+'55 count'!AC26+'58 count'!AC26+'NY count'!AC28=0," ",'53 count'!AC26+'54 count'!AC26+'55 count'!AC26+'58 count'!AC26+'NY count'!AC28)</f>
        <v>20.438611111131031</v>
      </c>
      <c r="W32" s="99">
        <f>IF(V32=" ","",(V32/$V$86))</f>
        <v>2.5874085102380647E-3</v>
      </c>
      <c r="X32" s="23"/>
    </row>
    <row r="33" spans="3:24" x14ac:dyDescent="0.2">
      <c r="C33" s="44" t="s">
        <v>40</v>
      </c>
      <c r="D33" s="44" t="s">
        <v>50</v>
      </c>
      <c r="E33" s="44" t="str">
        <f>C33&amp;" "&amp;"("&amp;D33&amp;")"</f>
        <v>Deck Winch (Winch)</v>
      </c>
      <c r="F33" s="60">
        <f>IF('53 count'!AB27=0, " ",('53 count'!AB27))</f>
        <v>28</v>
      </c>
      <c r="G33" s="171">
        <f>IF('53 count'!AC27=0, " ",('53 count'!AC27))</f>
        <v>21.969999999976718</v>
      </c>
      <c r="H33" s="102">
        <f>IF(G33=" ","",(G33/$G$86))</f>
        <v>9.3835454810412174E-3</v>
      </c>
      <c r="I33" s="60">
        <f>IF('54 count'!AB27=0, " ",('54 count'!AB27))</f>
        <v>15</v>
      </c>
      <c r="J33" s="171">
        <f>IF('54 count'!AC27=0, " ",('54 count'!AC27))</f>
        <v>9.1399999999254931</v>
      </c>
      <c r="K33" s="102">
        <f t="shared" si="26"/>
        <v>5.0800496888479402E-3</v>
      </c>
      <c r="L33" s="60">
        <f>IF('55 count'!AB27=0, " ",('55 count'!AB27))</f>
        <v>25</v>
      </c>
      <c r="M33" s="171">
        <f>IF('55 count'!AC27=0, " ",('55 count'!AC27))</f>
        <v>11.728888888864311</v>
      </c>
      <c r="N33" s="102">
        <f t="shared" si="27"/>
        <v>4.4393006797639762E-3</v>
      </c>
      <c r="O33" s="60">
        <f>IF('58 count'!AB27=0, " ",('58 count'!AB27))</f>
        <v>6</v>
      </c>
      <c r="P33" s="171">
        <f>IF('58 count'!AC27=0, " ",('58 count'!AC27))</f>
        <v>2.4799999999580904</v>
      </c>
      <c r="Q33" s="102">
        <f t="shared" si="28"/>
        <v>2.2208806059870762E-3</v>
      </c>
      <c r="R33" s="60" t="str">
        <f>IF('NY count'!AB27=0, " ",('NY count'!AB27))</f>
        <v xml:space="preserve"> </v>
      </c>
      <c r="S33" s="171" t="str">
        <f>IF('NY count'!AC27=0, " ",('NY count'!AC27))</f>
        <v xml:space="preserve"> </v>
      </c>
      <c r="T33" s="102" t="str">
        <f t="shared" si="29"/>
        <v/>
      </c>
      <c r="U33" s="60">
        <f>IF('53 count'!AB27+'54 count'!AB27+'55 count'!AB27+'58 count'!AB27+'NY count'!AB29=0," ",'53 count'!AB27+'54 count'!AB27+'55 count'!AB27+'58 count'!AB27+'NY count'!AB29)</f>
        <v>74</v>
      </c>
      <c r="V33" s="171">
        <f>IF('53 count'!AC27+'54 count'!AC27+'55 count'!AC27+'58 count'!AC27+'NY count'!AC29=0," ",'53 count'!AC27+'54 count'!AC27+'55 count'!AC27+'58 count'!AC27+'NY count'!AC29)</f>
        <v>45.318888888724608</v>
      </c>
      <c r="W33" s="102">
        <f>IF(V33=" ","",(V33/$V$86))</f>
        <v>5.7371060170208635E-3</v>
      </c>
      <c r="X33" s="23"/>
    </row>
    <row r="34" spans="3:24" x14ac:dyDescent="0.2">
      <c r="C34" s="236" t="s">
        <v>111</v>
      </c>
      <c r="D34" s="236"/>
      <c r="E34" s="236"/>
      <c r="F34" s="65">
        <f>SUM(F32:F33)</f>
        <v>32</v>
      </c>
      <c r="G34" s="174">
        <f>SUM(G32:G33)</f>
        <v>32.163888888894583</v>
      </c>
      <c r="H34" s="100">
        <f>IF(G34=0,"",(G34/$G$86))</f>
        <v>1.3737428959327194E-2</v>
      </c>
      <c r="I34" s="65">
        <f>SUM(I32:I33)</f>
        <v>17</v>
      </c>
      <c r="J34" s="174">
        <f>SUM(J32:J33)</f>
        <v>11.299999999925493</v>
      </c>
      <c r="K34" s="100">
        <f t="shared" si="26"/>
        <v>6.2805865956314195E-3</v>
      </c>
      <c r="L34" s="65">
        <f>SUM(L32:L33)</f>
        <v>36</v>
      </c>
      <c r="M34" s="174">
        <f>SUM(M32:M33)</f>
        <v>17.173611111077477</v>
      </c>
      <c r="N34" s="100">
        <f t="shared" si="27"/>
        <v>6.5000891560829249E-3</v>
      </c>
      <c r="O34" s="65">
        <f>SUM(O32:O33)</f>
        <v>12</v>
      </c>
      <c r="P34" s="174">
        <f>SUM(P32:P33)</f>
        <v>5.1199999999580896</v>
      </c>
      <c r="Q34" s="100">
        <f t="shared" si="28"/>
        <v>4.5850438317552051E-3</v>
      </c>
      <c r="R34" s="65">
        <f>SUM(R32:R33)</f>
        <v>0</v>
      </c>
      <c r="S34" s="174">
        <f>SUM(S32:S33)</f>
        <v>0</v>
      </c>
      <c r="T34" s="100" t="str">
        <f>IF(S34=0,"",(S34/$S$86))</f>
        <v/>
      </c>
      <c r="U34" s="65">
        <f>F34+I34+L34+O34+R34</f>
        <v>97</v>
      </c>
      <c r="V34" s="174">
        <f>G34+J34+M34+P34+S34</f>
        <v>65.757499999855639</v>
      </c>
      <c r="W34" s="100">
        <f>IF(V34=0,"",(V34/$V$86))</f>
        <v>8.3245145272589291E-3</v>
      </c>
      <c r="X34" s="23"/>
    </row>
    <row r="35" spans="3:24" ht="4.5" customHeight="1" x14ac:dyDescent="0.2">
      <c r="C35" s="63"/>
      <c r="D35" s="63"/>
      <c r="E35" s="63"/>
      <c r="F35" s="64"/>
      <c r="G35" s="173"/>
      <c r="H35" s="101"/>
      <c r="I35" s="64"/>
      <c r="J35" s="173"/>
      <c r="K35" s="101"/>
      <c r="L35" s="64"/>
      <c r="M35" s="173"/>
      <c r="N35" s="101"/>
      <c r="O35" s="64"/>
      <c r="P35" s="173"/>
      <c r="Q35" s="101"/>
      <c r="R35" s="64"/>
      <c r="S35" s="173"/>
      <c r="T35" s="101"/>
      <c r="U35" s="64"/>
      <c r="V35" s="173"/>
      <c r="W35" s="101"/>
      <c r="X35" s="23"/>
    </row>
    <row r="36" spans="3:24" x14ac:dyDescent="0.2">
      <c r="C36" s="32" t="s">
        <v>41</v>
      </c>
      <c r="D36" s="32" t="s">
        <v>54</v>
      </c>
      <c r="E36" s="43" t="str">
        <f>C36&amp;" "&amp;"("&amp;D36&amp;")"</f>
        <v>Electrical / Electronics (MCC / Switch Gear)</v>
      </c>
      <c r="F36" s="59">
        <f>IF('53 count'!AB30=0, " ",('53 count'!AB30))</f>
        <v>34</v>
      </c>
      <c r="G36" s="170">
        <f>IF('53 count'!AC30=0, " ",('53 count'!AC30))</f>
        <v>30.685555555645841</v>
      </c>
      <c r="H36" s="99">
        <f>IF(G36=" ","",(G36/$G$86))</f>
        <v>1.3106022128708462E-2</v>
      </c>
      <c r="I36" s="59">
        <f>IF('54 count'!AB30=0, " ",('54 count'!AB30))</f>
        <v>20</v>
      </c>
      <c r="J36" s="170">
        <f>IF('54 count'!AC30=0, " ",('54 count'!AC30))</f>
        <v>24.79</v>
      </c>
      <c r="K36" s="99">
        <f t="shared" ref="K36:K40" si="30">IF(J36=" ","",(J36/$J$86))</f>
        <v>1.3778384221834465E-2</v>
      </c>
      <c r="L36" s="59">
        <f>IF('55 count'!AB30=0, " ",('55 count'!AB30))</f>
        <v>10</v>
      </c>
      <c r="M36" s="170">
        <f>IF('55 count'!AC30=0, " ",('55 count'!AC30))</f>
        <v>24.76</v>
      </c>
      <c r="N36" s="99">
        <f t="shared" ref="N36:N40" si="31">IF(M36=" ","",(M36/$M$86))</f>
        <v>9.3714831705255536E-3</v>
      </c>
      <c r="O36" s="59">
        <f>IF('58 count'!AB30=0, " ",('58 count'!AB30))</f>
        <v>1</v>
      </c>
      <c r="P36" s="170">
        <f>IF('58 count'!AC30=0, " ",('58 count'!AC30))</f>
        <v>70.25</v>
      </c>
      <c r="Q36" s="99">
        <f t="shared" ref="Q36:Q40" si="32">IF(P36=" ","",(P36/$P$86))</f>
        <v>6.2910025231140573E-2</v>
      </c>
      <c r="R36" s="59" t="str">
        <f>IF('NY count'!AB30=0, " ",('NY count'!AB30))</f>
        <v xml:space="preserve"> </v>
      </c>
      <c r="S36" s="170" t="str">
        <f>IF('NY count'!AC30=0, " ",('NY count'!AC30))</f>
        <v xml:space="preserve"> </v>
      </c>
      <c r="T36" s="99" t="str">
        <f t="shared" ref="T36:T39" si="33">IF(S36=" ","",(S36/$S$86))</f>
        <v/>
      </c>
      <c r="U36" s="59">
        <f>IF('53 count'!AB30+'54 count'!AB30+'55 count'!AB30+'58 count'!AB30+'NY count'!AB32=0," ",'53 count'!AB30+'54 count'!AB30+'55 count'!AB30+'58 count'!AB30+'NY count'!AB32)</f>
        <v>65</v>
      </c>
      <c r="V36" s="170">
        <f>IF('53 count'!AC30+'54 count'!AC30+'55 count'!AC30+'58 count'!AC30+'NY count'!AC32=0," ",'53 count'!AC30+'54 count'!AC30+'55 count'!AC30+'58 count'!AC30+'NY count'!AC32)</f>
        <v>150.48555555564585</v>
      </c>
      <c r="W36" s="99">
        <f>IF(V36=" ","",(V36/$V$86))</f>
        <v>1.9050590326097471E-2</v>
      </c>
      <c r="X36" s="23"/>
    </row>
    <row r="37" spans="3:24" hidden="1" x14ac:dyDescent="0.2">
      <c r="C37" s="32" t="s">
        <v>41</v>
      </c>
      <c r="D37" s="32" t="s">
        <v>112</v>
      </c>
      <c r="E37" s="43" t="str">
        <f>C37&amp;" "&amp;"("&amp;D37&amp;")"</f>
        <v>Electrical / Electronics (Navigation Lights)</v>
      </c>
      <c r="F37" s="59" t="str">
        <f>IF('53 count'!AB31=0, " ",('53 count'!AB31))</f>
        <v xml:space="preserve"> </v>
      </c>
      <c r="G37" s="170" t="str">
        <f>IF('53 count'!AC31=0, " ",('53 count'!AC31))</f>
        <v xml:space="preserve"> </v>
      </c>
      <c r="H37" s="99" t="str">
        <f>IF(G37=" ","",(G37/$G$86))</f>
        <v/>
      </c>
      <c r="I37" s="59" t="str">
        <f>IF('54 count'!AB31=0, " ",('54 count'!AB31))</f>
        <v xml:space="preserve"> </v>
      </c>
      <c r="J37" s="170" t="str">
        <f>IF('54 count'!AC31=0, " ",('54 count'!AC31))</f>
        <v xml:space="preserve"> </v>
      </c>
      <c r="K37" s="99" t="str">
        <f t="shared" si="30"/>
        <v/>
      </c>
      <c r="L37" s="59" t="str">
        <f>IF('55 count'!AB31=0, " ",('55 count'!AB31))</f>
        <v xml:space="preserve"> </v>
      </c>
      <c r="M37" s="170" t="str">
        <f>IF('55 count'!AC31=0, " ",('55 count'!AC31))</f>
        <v xml:space="preserve"> </v>
      </c>
      <c r="N37" s="99" t="str">
        <f t="shared" si="31"/>
        <v/>
      </c>
      <c r="O37" s="59" t="str">
        <f>IF('58 count'!AB31=0, " ",('58 count'!AB31))</f>
        <v xml:space="preserve"> </v>
      </c>
      <c r="P37" s="170" t="str">
        <f>IF('58 count'!AC31=0, " ",('58 count'!AC31))</f>
        <v xml:space="preserve"> </v>
      </c>
      <c r="Q37" s="99" t="str">
        <f t="shared" si="32"/>
        <v/>
      </c>
      <c r="R37" s="59" t="str">
        <f>IF('NY count'!AB31=0, " ",('NY count'!AB31))</f>
        <v xml:space="preserve"> </v>
      </c>
      <c r="S37" s="170" t="str">
        <f>IF('NY count'!AC31=0, " ",('NY count'!AC31))</f>
        <v xml:space="preserve"> </v>
      </c>
      <c r="T37" s="99" t="str">
        <f t="shared" si="33"/>
        <v/>
      </c>
      <c r="U37" s="59" t="str">
        <f>IF('53 count'!AB31+'54 count'!AB31+'55 count'!AB31+'58 count'!AB31+'NY count'!AB33=0," ",'53 count'!AB31+'54 count'!AB31+'55 count'!AB31+'58 count'!AB31+'NY count'!AB33)</f>
        <v xml:space="preserve"> </v>
      </c>
      <c r="V37" s="170" t="str">
        <f>IF('53 count'!AC31+'54 count'!AC31+'55 count'!AC31+'58 count'!AC31+'NY count'!AC33=0," ",'53 count'!AC31+'54 count'!AC31+'55 count'!AC31+'58 count'!AC31+'NY count'!AC33)</f>
        <v xml:space="preserve"> </v>
      </c>
      <c r="W37" s="99" t="str">
        <f>IF(V37=" ","",(V37/$V$86))</f>
        <v/>
      </c>
      <c r="X37" s="23"/>
    </row>
    <row r="38" spans="3:24" x14ac:dyDescent="0.2">
      <c r="C38" s="32" t="s">
        <v>41</v>
      </c>
      <c r="D38" s="32" t="s">
        <v>55</v>
      </c>
      <c r="E38" s="43" t="str">
        <f>C38&amp;" "&amp;"("&amp;D38&amp;")"</f>
        <v>Electrical / Electronics (PLC)</v>
      </c>
      <c r="F38" s="59">
        <f>IF('53 count'!AB32=0, " ",('53 count'!AB32))</f>
        <v>30</v>
      </c>
      <c r="G38" s="170">
        <f>IF('53 count'!AC32=0, " ",('53 count'!AC32))</f>
        <v>45.625277777682058</v>
      </c>
      <c r="H38" s="99">
        <f>IF(G38=" ","",(G38/$G$86))</f>
        <v>1.9486885257736571E-2</v>
      </c>
      <c r="I38" s="59">
        <f>IF('54 count'!AB32=0, " ",('54 count'!AB32))</f>
        <v>27</v>
      </c>
      <c r="J38" s="170">
        <f>IF('54 count'!AC32=0, " ",('54 count'!AC32))</f>
        <v>81.909166666690723</v>
      </c>
      <c r="K38" s="99">
        <f t="shared" si="30"/>
        <v>4.5525452586685805E-2</v>
      </c>
      <c r="L38" s="59">
        <f>IF('55 count'!AB32=0, " ",('55 count'!AB32))</f>
        <v>33</v>
      </c>
      <c r="M38" s="170">
        <f>IF('55 count'!AC32=0, " ",('55 count'!AC32))</f>
        <v>71.22</v>
      </c>
      <c r="N38" s="99">
        <f t="shared" si="31"/>
        <v>2.6956261365300077E-2</v>
      </c>
      <c r="O38" s="59">
        <f>IF('58 count'!AB32=0, " ",('58 count'!AB32))</f>
        <v>8</v>
      </c>
      <c r="P38" s="170">
        <f>IF('58 count'!AC32=0, " ",('58 count'!AC32))</f>
        <v>29.599999999999998</v>
      </c>
      <c r="Q38" s="99">
        <f t="shared" si="32"/>
        <v>2.6507284652551758E-2</v>
      </c>
      <c r="R38" s="59" t="str">
        <f>IF('NY count'!AB32=0, " ",('NY count'!AB32))</f>
        <v xml:space="preserve"> </v>
      </c>
      <c r="S38" s="170" t="str">
        <f>IF('NY count'!AC32=0, " ",('NY count'!AC32))</f>
        <v xml:space="preserve"> </v>
      </c>
      <c r="T38" s="99" t="str">
        <f t="shared" si="33"/>
        <v/>
      </c>
      <c r="U38" s="59">
        <f>IF('53 count'!AB32+'54 count'!AB32+'55 count'!AB32+'58 count'!AB32+'NY count'!AB34=0," ",'53 count'!AB32+'54 count'!AB32+'55 count'!AB32+'58 count'!AB32+'NY count'!AB34)</f>
        <v>98</v>
      </c>
      <c r="V38" s="170">
        <f>IF('53 count'!AC32+'54 count'!AC32+'55 count'!AC32+'58 count'!AC32+'NY count'!AC34=0," ",'53 count'!AC32+'54 count'!AC32+'55 count'!AC32+'58 count'!AC32+'NY count'!AC34)</f>
        <v>228.35444444437277</v>
      </c>
      <c r="W38" s="99">
        <f>IF(V38=" ","",(V38/$V$86))</f>
        <v>2.8908335781401305E-2</v>
      </c>
      <c r="X38" s="23"/>
    </row>
    <row r="39" spans="3:24" x14ac:dyDescent="0.2">
      <c r="C39" s="44" t="s">
        <v>41</v>
      </c>
      <c r="D39" s="44" t="s">
        <v>56</v>
      </c>
      <c r="E39" s="44" t="str">
        <f>C39&amp;" "&amp;"("&amp;D39&amp;")"</f>
        <v>Electrical / Electronics (Transformers)</v>
      </c>
      <c r="F39" s="60">
        <f>IF('53 count'!AB33=0, " ",('53 count'!AB33))</f>
        <v>8</v>
      </c>
      <c r="G39" s="171">
        <f>IF('53 count'!AC33=0, " ",('53 count'!AC33))</f>
        <v>34.58</v>
      </c>
      <c r="H39" s="102">
        <f>IF(G39=" ","",(G39/$G$86))</f>
        <v>1.4769367443547982E-2</v>
      </c>
      <c r="I39" s="60">
        <f>IF('54 count'!AB33=0, " ",('54 count'!AB33))</f>
        <v>1</v>
      </c>
      <c r="J39" s="171">
        <f>IF('54 count'!AC33=0, " ",('54 count'!AC33))</f>
        <v>20.149999999999999</v>
      </c>
      <c r="K39" s="102">
        <f t="shared" si="30"/>
        <v>1.1199453088744029E-2</v>
      </c>
      <c r="L39" s="60">
        <f>IF('55 count'!AB33=0, " ",('55 count'!AB33))</f>
        <v>2</v>
      </c>
      <c r="M39" s="171">
        <f>IF('55 count'!AC33=0, " ",('55 count'!AC33))</f>
        <v>2.41</v>
      </c>
      <c r="N39" s="102">
        <f t="shared" si="31"/>
        <v>9.1216778840737419E-4</v>
      </c>
      <c r="O39" s="60">
        <f>IF('58 count'!AB33=0, " ",('58 count'!AB33))</f>
        <v>3</v>
      </c>
      <c r="P39" s="171">
        <f>IF('58 count'!AC33=0, " ",('58 count'!AC33))</f>
        <v>3.87</v>
      </c>
      <c r="Q39" s="102">
        <f t="shared" si="32"/>
        <v>3.4656483650464631E-3</v>
      </c>
      <c r="R39" s="60" t="str">
        <f>IF('NY count'!AB33=0, " ",('NY count'!AB33))</f>
        <v xml:space="preserve"> </v>
      </c>
      <c r="S39" s="171" t="str">
        <f>IF('NY count'!AC33=0, " ",('NY count'!AC33))</f>
        <v xml:space="preserve"> </v>
      </c>
      <c r="T39" s="102" t="str">
        <f t="shared" si="33"/>
        <v/>
      </c>
      <c r="U39" s="60">
        <f>IF('53 count'!AB33+'54 count'!AB33+'55 count'!AB33+'58 count'!AB33+'NY count'!AB35=0," ",'53 count'!AB33+'54 count'!AB33+'55 count'!AB33+'58 count'!AB33+'NY count'!AB35)</f>
        <v>14</v>
      </c>
      <c r="V39" s="171">
        <f>IF('53 count'!AC33+'54 count'!AC33+'55 count'!AC33+'58 count'!AC33+'NY count'!AC35=0," ",'53 count'!AC33+'54 count'!AC33+'55 count'!AC33+'58 count'!AC33+'NY count'!AC35)</f>
        <v>61.01</v>
      </c>
      <c r="W39" s="102">
        <f>IF(V39=" ","",(V39/$V$86))</f>
        <v>7.723508821186666E-3</v>
      </c>
      <c r="X39" s="23"/>
    </row>
    <row r="40" spans="3:24" x14ac:dyDescent="0.2">
      <c r="C40" s="236" t="s">
        <v>113</v>
      </c>
      <c r="D40" s="236"/>
      <c r="E40" s="236"/>
      <c r="F40" s="65">
        <f>SUM(F36:F39)</f>
        <v>72</v>
      </c>
      <c r="G40" s="174">
        <f>SUM(G36:G39)</f>
        <v>110.8908333333279</v>
      </c>
      <c r="H40" s="100">
        <f>IF(G40=0,"",(G40/$G$86))</f>
        <v>4.7362274829993022E-2</v>
      </c>
      <c r="I40" s="65">
        <f>SUM(I36:I39)</f>
        <v>48</v>
      </c>
      <c r="J40" s="174">
        <f>SUM(J36:J39)</f>
        <v>126.84916666669073</v>
      </c>
      <c r="K40" s="100">
        <f t="shared" si="30"/>
        <v>7.0503289897264301E-2</v>
      </c>
      <c r="L40" s="65">
        <f>SUM(L36:L39)</f>
        <v>45</v>
      </c>
      <c r="M40" s="174">
        <f>SUM(M36:M39)</f>
        <v>98.39</v>
      </c>
      <c r="N40" s="100">
        <f t="shared" si="31"/>
        <v>3.7239912324233002E-2</v>
      </c>
      <c r="O40" s="65">
        <f>SUM(O36:O39)</f>
        <v>12</v>
      </c>
      <c r="P40" s="174">
        <f>SUM(P36:P39)</f>
        <v>103.72</v>
      </c>
      <c r="Q40" s="100">
        <f t="shared" si="32"/>
        <v>9.2882958248738795E-2</v>
      </c>
      <c r="R40" s="65">
        <f>SUM(R36:R39)</f>
        <v>0</v>
      </c>
      <c r="S40" s="174">
        <f>SUM(S36:S39)</f>
        <v>0</v>
      </c>
      <c r="T40" s="100" t="str">
        <f>IF(S40=0,"",(S40/$S$86))</f>
        <v/>
      </c>
      <c r="U40" s="65">
        <f>F40+I40+L40+O40+R40</f>
        <v>177</v>
      </c>
      <c r="V40" s="174">
        <f>G40+J40+M40+P40+S40</f>
        <v>439.85000000001867</v>
      </c>
      <c r="W40" s="100">
        <f>IF(V40=0,"",(V40/$V$86))</f>
        <v>5.5682434928685451E-2</v>
      </c>
      <c r="X40" s="23"/>
    </row>
    <row r="41" spans="3:24" ht="4.5" customHeight="1" x14ac:dyDescent="0.2">
      <c r="C41" s="63"/>
      <c r="D41" s="63"/>
      <c r="E41" s="63"/>
      <c r="F41" s="64"/>
      <c r="G41" s="173"/>
      <c r="H41" s="101"/>
      <c r="I41" s="64"/>
      <c r="J41" s="173"/>
      <c r="K41" s="101"/>
      <c r="L41" s="64"/>
      <c r="M41" s="173"/>
      <c r="N41" s="101"/>
      <c r="O41" s="64"/>
      <c r="P41" s="173"/>
      <c r="Q41" s="101"/>
      <c r="R41" s="64"/>
      <c r="S41" s="173"/>
      <c r="T41" s="101"/>
      <c r="U41" s="64"/>
      <c r="V41" s="173"/>
      <c r="W41" s="101"/>
      <c r="X41" s="23"/>
    </row>
    <row r="42" spans="3:24" x14ac:dyDescent="0.2">
      <c r="C42" s="32" t="s">
        <v>42</v>
      </c>
      <c r="D42" s="32" t="s">
        <v>114</v>
      </c>
      <c r="E42" s="43" t="str">
        <f>C42&amp;" "&amp;"("&amp;D42&amp;")"</f>
        <v>Hull (Deck Fittings (cleats))</v>
      </c>
      <c r="F42" s="59" t="str">
        <f>IF('53 count'!AB36=0, " ",('53 count'!AB36))</f>
        <v xml:space="preserve"> </v>
      </c>
      <c r="G42" s="170" t="str">
        <f>IF('53 count'!AC36=0, " ",('53 count'!AC36))</f>
        <v xml:space="preserve"> </v>
      </c>
      <c r="H42" s="99" t="str">
        <f>IF(G42=" ","",(G42/$G$86))</f>
        <v/>
      </c>
      <c r="I42" s="59" t="str">
        <f>IF('54 count'!AB36=0, " ",('54 count'!AB36))</f>
        <v xml:space="preserve"> </v>
      </c>
      <c r="J42" s="170" t="str">
        <f>IF('54 count'!AC36=0, " ",('54 count'!AC36))</f>
        <v xml:space="preserve"> </v>
      </c>
      <c r="K42" s="99" t="str">
        <f t="shared" ref="K42:K44" si="34">IF(J42=" ","",(J42/$J$86))</f>
        <v/>
      </c>
      <c r="L42" s="59">
        <f>IF('55 count'!AB36=0, " ",('55 count'!AB36))</f>
        <v>1</v>
      </c>
      <c r="M42" s="170">
        <f>IF('55 count'!AC36=0, " ",('55 count'!AC36))</f>
        <v>0.78</v>
      </c>
      <c r="N42" s="99">
        <f t="shared" ref="N42:N44" si="35">IF(M42=" ","",(M42/$M$86))</f>
        <v>2.9522442944305053E-4</v>
      </c>
      <c r="O42" s="59">
        <f>IF('58 count'!AB36=0, " ",('58 count'!AB36))</f>
        <v>6</v>
      </c>
      <c r="P42" s="170">
        <f>IF('58 count'!AC36=0, " ",('58 count'!AC36))</f>
        <v>1.267500000083819</v>
      </c>
      <c r="Q42" s="99">
        <f t="shared" ref="Q42:Q44" si="36">IF(P42=" ","",(P42/$P$86))</f>
        <v>1.1350670033557827E-3</v>
      </c>
      <c r="R42" s="59" t="str">
        <f>IF('NY count'!AB36=0, " ",('NY count'!AB36))</f>
        <v xml:space="preserve"> </v>
      </c>
      <c r="S42" s="170" t="str">
        <f>IF('NY count'!AC36=0, " ",('NY count'!AC36))</f>
        <v xml:space="preserve"> </v>
      </c>
      <c r="T42" s="99" t="str">
        <f t="shared" ref="T42:T43" si="37">IF(S42=" ","",(S42/$S$86))</f>
        <v/>
      </c>
      <c r="U42" s="59">
        <f>IF('53 count'!AB36+'54 count'!AB36+'55 count'!AB36+'58 count'!AB36+'NY count'!AB38=0," ",'53 count'!AB36+'54 count'!AB36+'55 count'!AB36+'58 count'!AB36+'NY count'!AB38)</f>
        <v>7</v>
      </c>
      <c r="V42" s="170">
        <f>IF('53 count'!AC36+'54 count'!AC36+'55 count'!AC36+'58 count'!AC36+'NY count'!AC38=0," ",'53 count'!AC36+'54 count'!AC36+'55 count'!AC36+'58 count'!AC36+'NY count'!AC38)</f>
        <v>2.047500000083819</v>
      </c>
      <c r="W42" s="99">
        <f>IF(V42=" ","",(V42/$V$86))</f>
        <v>2.5920151306387603E-4</v>
      </c>
      <c r="X42" s="23"/>
    </row>
    <row r="43" spans="3:24" x14ac:dyDescent="0.2">
      <c r="C43" s="44" t="s">
        <v>42</v>
      </c>
      <c r="D43" s="44" t="s">
        <v>57</v>
      </c>
      <c r="E43" s="44" t="str">
        <f>C43&amp;" "&amp;"("&amp;D43&amp;")"</f>
        <v>Hull (Hull / House Repair)</v>
      </c>
      <c r="F43" s="60" t="str">
        <f>IF('53 count'!AB37=0, " ",('53 count'!AB37))</f>
        <v xml:space="preserve"> </v>
      </c>
      <c r="G43" s="171" t="str">
        <f>IF('53 count'!AC37=0, " ",('53 count'!AC37))</f>
        <v xml:space="preserve"> </v>
      </c>
      <c r="H43" s="102" t="str">
        <f>IF(G43=" ","",(G43/$G$86))</f>
        <v/>
      </c>
      <c r="I43" s="60">
        <f>IF('54 count'!AB37=0, " ",('54 count'!AB37))</f>
        <v>1</v>
      </c>
      <c r="J43" s="171">
        <f>IF('54 count'!AC37=0, " ",('54 count'!AC37))</f>
        <v>1.39</v>
      </c>
      <c r="K43" s="102">
        <f t="shared" si="34"/>
        <v>7.7256773168010923E-4</v>
      </c>
      <c r="L43" s="60">
        <f>IF('55 count'!AB37=0, " ",('55 count'!AB37))</f>
        <v>7</v>
      </c>
      <c r="M43" s="171">
        <f>IF('55 count'!AC37=0, " ",('55 count'!AC37))</f>
        <v>41.3</v>
      </c>
      <c r="N43" s="102">
        <f t="shared" si="35"/>
        <v>1.5631755046151264E-2</v>
      </c>
      <c r="O43" s="60">
        <f>IF('58 count'!AB37=0, " ",('58 count'!AB37))</f>
        <v>1</v>
      </c>
      <c r="P43" s="171">
        <f>IF('58 count'!AC37=0, " ",('58 count'!AC37))</f>
        <v>0.61</v>
      </c>
      <c r="Q43" s="102">
        <f t="shared" si="36"/>
        <v>5.4626498777218151E-4</v>
      </c>
      <c r="R43" s="60" t="str">
        <f>IF('NY count'!AB37=0, " ",('NY count'!AB37))</f>
        <v xml:space="preserve"> </v>
      </c>
      <c r="S43" s="171" t="str">
        <f>IF('NY count'!AC37=0, " ",('NY count'!AC37))</f>
        <v xml:space="preserve"> </v>
      </c>
      <c r="T43" s="102" t="str">
        <f t="shared" si="37"/>
        <v/>
      </c>
      <c r="U43" s="60">
        <f>IF('53 count'!AB37+'54 count'!AB37+'55 count'!AB37+'58 count'!AB37+'NY count'!AB39=0," ",'53 count'!AB37+'54 count'!AB37+'55 count'!AB37+'58 count'!AB37+'NY count'!AB39)</f>
        <v>9</v>
      </c>
      <c r="V43" s="171">
        <f>IF('53 count'!AC37+'54 count'!AC37+'55 count'!AC37+'58 count'!AC37+'NY count'!AC39=0," ",'53 count'!AC37+'54 count'!AC37+'55 count'!AC37+'58 count'!AC37+'NY count'!AC39)</f>
        <v>43.3</v>
      </c>
      <c r="W43" s="102">
        <f>IF(V43=" ","",(V43/$V$86))</f>
        <v>5.4815265031532964E-3</v>
      </c>
      <c r="X43" s="23"/>
    </row>
    <row r="44" spans="3:24" x14ac:dyDescent="0.2">
      <c r="C44" s="236" t="s">
        <v>115</v>
      </c>
      <c r="D44" s="236"/>
      <c r="E44" s="236"/>
      <c r="F44" s="65">
        <f>SUM(F42:F43)</f>
        <v>0</v>
      </c>
      <c r="G44" s="174">
        <f>SUM(G42:G43)</f>
        <v>0</v>
      </c>
      <c r="H44" s="100" t="str">
        <f>IF(G44=0,"",(G44/$G$86))</f>
        <v/>
      </c>
      <c r="I44" s="65">
        <f>SUM(I42:I43)</f>
        <v>1</v>
      </c>
      <c r="J44" s="174">
        <f>SUM(J42:J43)</f>
        <v>1.39</v>
      </c>
      <c r="K44" s="100">
        <f t="shared" si="34"/>
        <v>7.7256773168010923E-4</v>
      </c>
      <c r="L44" s="65">
        <f>SUM(L42:L43)</f>
        <v>8</v>
      </c>
      <c r="M44" s="174">
        <f>SUM(M42:M43)</f>
        <v>42.08</v>
      </c>
      <c r="N44" s="100">
        <f t="shared" si="35"/>
        <v>1.5926979475594315E-2</v>
      </c>
      <c r="O44" s="65">
        <f>SUM(O42:O43)</f>
        <v>7</v>
      </c>
      <c r="P44" s="174">
        <f>SUM(P42:P43)</f>
        <v>1.8775000000838191</v>
      </c>
      <c r="Q44" s="100">
        <f t="shared" si="36"/>
        <v>1.6813319911279643E-3</v>
      </c>
      <c r="R44" s="65">
        <f>SUM(R42:R43)</f>
        <v>0</v>
      </c>
      <c r="S44" s="174">
        <f>SUM(S42:S43)</f>
        <v>0</v>
      </c>
      <c r="T44" s="100" t="str">
        <f>IF(S44=0,"",(S44/$S$86))</f>
        <v/>
      </c>
      <c r="U44" s="65">
        <f>F44+I44+L44+O44+R44</f>
        <v>16</v>
      </c>
      <c r="V44" s="174">
        <f>G44+J44+M44+P44+S44</f>
        <v>45.347500000083819</v>
      </c>
      <c r="W44" s="100">
        <f>IF(V44=0,"",(V44/$V$86))</f>
        <v>5.7407280162171731E-3</v>
      </c>
      <c r="X44" s="23"/>
    </row>
    <row r="45" spans="3:24" ht="4.5" customHeight="1" x14ac:dyDescent="0.2">
      <c r="C45" s="63"/>
      <c r="D45" s="63"/>
      <c r="E45" s="63"/>
      <c r="F45" s="64"/>
      <c r="G45" s="173"/>
      <c r="H45" s="101"/>
      <c r="I45" s="64"/>
      <c r="J45" s="173"/>
      <c r="K45" s="101"/>
      <c r="L45" s="64"/>
      <c r="M45" s="173"/>
      <c r="N45" s="101"/>
      <c r="O45" s="64"/>
      <c r="P45" s="173"/>
      <c r="Q45" s="101"/>
      <c r="R45" s="64"/>
      <c r="S45" s="173"/>
      <c r="T45" s="101"/>
      <c r="U45" s="64"/>
      <c r="V45" s="173"/>
      <c r="W45" s="101"/>
      <c r="X45" s="23"/>
    </row>
    <row r="46" spans="3:24" x14ac:dyDescent="0.2">
      <c r="C46" s="32" t="s">
        <v>43</v>
      </c>
      <c r="D46" s="32" t="s">
        <v>21</v>
      </c>
      <c r="E46" s="43" t="str">
        <f t="shared" ref="E46:E54" si="38">C46&amp;" "&amp;"("&amp;D46&amp;")"</f>
        <v>Main / Aux Generators (Auxiliary Generator)</v>
      </c>
      <c r="F46" s="59" t="str">
        <f>IF('53 count'!AB40=0, " ",('53 count'!AB40))</f>
        <v xml:space="preserve"> </v>
      </c>
      <c r="G46" s="170" t="str">
        <f>IF('53 count'!AC40=0, " ",('53 count'!AC40))</f>
        <v xml:space="preserve"> </v>
      </c>
      <c r="H46" s="99" t="str">
        <f>IF(G46=" ","",(G46/$G$86))</f>
        <v/>
      </c>
      <c r="I46" s="59">
        <f>IF('54 count'!AB40=0, " ",('54 count'!AB40))</f>
        <v>1</v>
      </c>
      <c r="J46" s="170">
        <f>IF('54 count'!AC40=0, " ",('54 count'!AC40))</f>
        <v>14.26</v>
      </c>
      <c r="K46" s="99">
        <f t="shared" ref="K46:K55" si="39">IF(J46=" ","",(J46/$J$86))</f>
        <v>7.9257668012650048E-3</v>
      </c>
      <c r="L46" s="59" t="str">
        <f>IF('55 count'!AB40=0, " ",('55 count'!AB40))</f>
        <v xml:space="preserve"> </v>
      </c>
      <c r="M46" s="170" t="str">
        <f>IF('55 count'!AC40=0, " ",('55 count'!AC40))</f>
        <v xml:space="preserve"> </v>
      </c>
      <c r="N46" s="99" t="str">
        <f t="shared" ref="N46:N55" si="40">IF(M46=" ","",(M46/$M$86))</f>
        <v/>
      </c>
      <c r="O46" s="59" t="str">
        <f>IF('58 count'!AB40=0, " ",('58 count'!AB40))</f>
        <v xml:space="preserve"> </v>
      </c>
      <c r="P46" s="170" t="str">
        <f>IF('58 count'!AC40=0, " ",('58 count'!AC40))</f>
        <v xml:space="preserve"> </v>
      </c>
      <c r="Q46" s="99" t="str">
        <f t="shared" ref="Q46:Q55" si="41">IF(P46=" ","",(P46/$P$86))</f>
        <v/>
      </c>
      <c r="R46" s="59" t="str">
        <f>IF('NY count'!AB40=0, " ",('NY count'!AB40))</f>
        <v xml:space="preserve"> </v>
      </c>
      <c r="S46" s="170" t="str">
        <f>IF('NY count'!AC40=0, " ",('NY count'!AC40))</f>
        <v xml:space="preserve"> </v>
      </c>
      <c r="T46" s="99" t="str">
        <f t="shared" ref="T46:T54" si="42">IF(S46=" ","",(S46/$S$86))</f>
        <v/>
      </c>
      <c r="U46" s="59">
        <f>IF('53 count'!AB40+'54 count'!AB40+'55 count'!AB40+'58 count'!AB40=0," ",'53 count'!AB40+'54 count'!AB40+'55 count'!AB40+'58 count'!AB40)</f>
        <v>1</v>
      </c>
      <c r="V46" s="170">
        <f>IF('53 count'!AC40+'54 count'!AC40+'55 count'!AC40+'58 count'!AC40=0," ",'53 count'!AC40+'54 count'!AC40+'55 count'!AC40+'58 count'!AC40)</f>
        <v>14.26</v>
      </c>
      <c r="W46" s="99">
        <f>IF(V46=" ","",(V46/$V$86))</f>
        <v>1.8052325158190764E-3</v>
      </c>
      <c r="X46" s="23"/>
    </row>
    <row r="47" spans="3:24" x14ac:dyDescent="0.2">
      <c r="C47" s="32" t="s">
        <v>43</v>
      </c>
      <c r="D47" s="32" t="s">
        <v>22</v>
      </c>
      <c r="E47" s="43" t="str">
        <f t="shared" si="38"/>
        <v>Main / Aux Generators (Main Generator)</v>
      </c>
      <c r="F47" s="59">
        <f>IF('53 count'!AB41=0, " ",('53 count'!AB41))</f>
        <v>65</v>
      </c>
      <c r="G47" s="170">
        <f>IF('53 count'!AC41=0, " ",('53 count'!AC41))</f>
        <v>196.53777777785433</v>
      </c>
      <c r="H47" s="99">
        <f>IF(G47=" ","",(G47/$G$86))</f>
        <v>8.3942702618262283E-2</v>
      </c>
      <c r="I47" s="59">
        <f>IF('54 count'!AB41=0, " ",('54 count'!AB41))</f>
        <v>11</v>
      </c>
      <c r="J47" s="170">
        <f>IF('54 count'!AC41=0, " ",('54 count'!AC41))</f>
        <v>72.570000000000007</v>
      </c>
      <c r="K47" s="99">
        <f t="shared" si="39"/>
        <v>4.033470524318384E-2</v>
      </c>
      <c r="L47" s="59">
        <f>IF('55 count'!AB41=0, " ",('55 count'!AB41))</f>
        <v>18</v>
      </c>
      <c r="M47" s="170">
        <f>IF('55 count'!AC41=0, " ",('55 count'!AC41))</f>
        <v>86.33</v>
      </c>
      <c r="N47" s="99">
        <f t="shared" si="40"/>
        <v>3.2675288453613525E-2</v>
      </c>
      <c r="O47" s="59">
        <f>IF('58 count'!AB41=0, " ",('58 count'!AB41))</f>
        <v>8</v>
      </c>
      <c r="P47" s="170">
        <f>IF('58 count'!AC41=0, " ",('58 count'!AC41))</f>
        <v>9.4222222223156127</v>
      </c>
      <c r="Q47" s="99">
        <f t="shared" si="41"/>
        <v>8.4377542738688777E-3</v>
      </c>
      <c r="R47" s="59" t="str">
        <f>IF('NY count'!AB41=0, " ",('NY count'!AB41))</f>
        <v xml:space="preserve"> </v>
      </c>
      <c r="S47" s="170" t="str">
        <f>IF('NY count'!AC41=0, " ",('NY count'!AC41))</f>
        <v xml:space="preserve"> </v>
      </c>
      <c r="T47" s="99" t="str">
        <f t="shared" si="42"/>
        <v/>
      </c>
      <c r="U47" s="59">
        <f>IF('53 count'!AB41+'54 count'!AB41+'55 count'!AB41+'58 count'!AB41=0," ",'53 count'!AB41+'54 count'!AB41+'55 count'!AB41+'58 count'!AB41)</f>
        <v>102</v>
      </c>
      <c r="V47" s="170">
        <f>IF('53 count'!AC41+'54 count'!AC41+'55 count'!AC41+'58 count'!AC41=0," ",'53 count'!AC41+'54 count'!AC41+'55 count'!AC41+'58 count'!AC41)</f>
        <v>364.86000000016992</v>
      </c>
      <c r="W47" s="99">
        <f>IF(V47=" ","",(V47/$V$86))</f>
        <v>4.6189139952458276E-2</v>
      </c>
      <c r="X47" s="23"/>
    </row>
    <row r="48" spans="3:24" x14ac:dyDescent="0.2">
      <c r="C48" s="43" t="s">
        <v>43</v>
      </c>
      <c r="D48" s="43" t="s">
        <v>23</v>
      </c>
      <c r="E48" s="131" t="str">
        <f t="shared" si="38"/>
        <v>Main / Aux Generators (Main Generator Engine)</v>
      </c>
      <c r="F48" s="59">
        <f>IF('53 count'!AB42=0, " ",('53 count'!AB42))</f>
        <v>112</v>
      </c>
      <c r="G48" s="170">
        <f>IF('53 count'!AC42=0, " ",('53 count'!AC42))</f>
        <v>114.47999999999999</v>
      </c>
      <c r="H48" s="99">
        <f>IF(G48=" ","",(G48/$G$86))</f>
        <v>4.8895233803856936E-2</v>
      </c>
      <c r="I48" s="59">
        <f>IF('54 count'!AB42=0, " ",('54 count'!AB42))</f>
        <v>18</v>
      </c>
      <c r="J48" s="170">
        <f>IF('54 count'!AC42=0, " ",('54 count'!AC42))</f>
        <v>78.281666666604565</v>
      </c>
      <c r="K48" s="99">
        <f t="shared" si="39"/>
        <v>4.3509273128602234E-2</v>
      </c>
      <c r="L48" s="59">
        <f>IF('55 count'!AB42=0, " ",('55 count'!AB42))</f>
        <v>57</v>
      </c>
      <c r="M48" s="170">
        <f>IF('55 count'!AC42=0, " ",('55 count'!AC42))</f>
        <v>1182.08</v>
      </c>
      <c r="N48" s="99">
        <f t="shared" si="40"/>
        <v>0.44740883789236047</v>
      </c>
      <c r="O48" s="59">
        <f>IF('58 count'!AB42=0, " ",('58 count'!AB42))</f>
        <v>9</v>
      </c>
      <c r="P48" s="170">
        <f>IF('58 count'!AC42=0, " ",('58 count'!AC42))</f>
        <v>70.080277777747256</v>
      </c>
      <c r="Q48" s="99">
        <f t="shared" si="41"/>
        <v>6.2758036202183912E-2</v>
      </c>
      <c r="R48" s="58" t="str">
        <f>IF('NY count'!AB42=0, " ",('NY count'!AB42))</f>
        <v xml:space="preserve"> </v>
      </c>
      <c r="S48" s="170" t="str">
        <f>IF('NY count'!AC42=0, " ",('NY count'!AC42))</f>
        <v xml:space="preserve"> </v>
      </c>
      <c r="T48" s="99" t="str">
        <f t="shared" si="42"/>
        <v/>
      </c>
      <c r="U48" s="59">
        <f>IF('53 count'!AB42+'54 count'!AB42+'55 count'!AB42+'58 count'!AB42=0," ",'53 count'!AB42+'54 count'!AB42+'55 count'!AB42+'58 count'!AB42)</f>
        <v>196</v>
      </c>
      <c r="V48" s="170">
        <f>IF('53 count'!AC42+'54 count'!AC42+'55 count'!AC42+'58 count'!AC42=0," ",'53 count'!AC42+'54 count'!AC42+'55 count'!AC42+'58 count'!AC42)</f>
        <v>1444.9219444443515</v>
      </c>
      <c r="W48" s="99">
        <f>IF(V48=" ","",(V48/$V$86))</f>
        <v>0.18291865897135123</v>
      </c>
      <c r="X48" s="23"/>
    </row>
    <row r="49" spans="3:24" hidden="1" x14ac:dyDescent="0.2">
      <c r="C49" s="43" t="s">
        <v>43</v>
      </c>
      <c r="D49" s="123" t="s">
        <v>148</v>
      </c>
      <c r="E49" s="131" t="str">
        <f t="shared" si="38"/>
        <v>Main / Aux Generators (Boom Assist Generator)</v>
      </c>
      <c r="F49" s="59"/>
      <c r="G49" s="170"/>
      <c r="H49" s="99"/>
      <c r="I49" s="59"/>
      <c r="J49" s="170"/>
      <c r="K49" s="99"/>
      <c r="L49" s="59"/>
      <c r="M49" s="170"/>
      <c r="N49" s="99" t="str">
        <f t="shared" ref="N49:N54" si="43">IF(M49=0,"",(M49/$M$86))</f>
        <v/>
      </c>
      <c r="O49" s="59"/>
      <c r="P49" s="170"/>
      <c r="Q49" s="99" t="str">
        <f t="shared" ref="Q49:Q54" si="44">IF(P49=0,"",(P49/$P$86))</f>
        <v/>
      </c>
      <c r="R49" s="58" t="str">
        <f>IF('NY count'!AB48=0," ",'NY count'!AB48)</f>
        <v xml:space="preserve"> </v>
      </c>
      <c r="S49" s="58" t="str">
        <f>IF('NY count'!AC48=0," ",'NY count'!AC48)</f>
        <v xml:space="preserve"> </v>
      </c>
      <c r="T49" s="99" t="str">
        <f t="shared" si="42"/>
        <v/>
      </c>
      <c r="U49" s="59" t="str">
        <f>IF('NY count'!AB48=0," ",'NY count'!AB48)</f>
        <v xml:space="preserve"> </v>
      </c>
      <c r="V49" s="170" t="str">
        <f>IF('NY count'!AC48=0," ",'NY count'!AC48)</f>
        <v xml:space="preserve"> </v>
      </c>
      <c r="W49" s="99" t="str">
        <f t="shared" ref="W49:W54" si="45">IF(V49=" ","",(V49/$V$86))</f>
        <v/>
      </c>
      <c r="X49" s="23"/>
    </row>
    <row r="50" spans="3:24" hidden="1" x14ac:dyDescent="0.2">
      <c r="C50" s="43" t="s">
        <v>43</v>
      </c>
      <c r="D50" s="123" t="s">
        <v>149</v>
      </c>
      <c r="E50" s="131" t="str">
        <f t="shared" si="38"/>
        <v>Main / Aux Generators (Emergency Generator)</v>
      </c>
      <c r="F50" s="59"/>
      <c r="G50" s="170"/>
      <c r="H50" s="99"/>
      <c r="I50" s="59"/>
      <c r="J50" s="170"/>
      <c r="K50" s="99"/>
      <c r="L50" s="59"/>
      <c r="M50" s="170"/>
      <c r="N50" s="99" t="str">
        <f t="shared" si="43"/>
        <v/>
      </c>
      <c r="O50" s="59"/>
      <c r="P50" s="170"/>
      <c r="Q50" s="99" t="str">
        <f t="shared" si="44"/>
        <v/>
      </c>
      <c r="R50" s="58" t="str">
        <f>IF('NY count'!AB49=0," ",'NY count'!AB49)</f>
        <v xml:space="preserve"> </v>
      </c>
      <c r="S50" s="58" t="str">
        <f>IF('NY count'!AC49=0," ",'NY count'!AC49)</f>
        <v xml:space="preserve"> </v>
      </c>
      <c r="T50" s="99" t="str">
        <f t="shared" si="42"/>
        <v/>
      </c>
      <c r="U50" s="59" t="str">
        <f>IF('NY count'!AB49=0," ",'NY count'!AB49)</f>
        <v xml:space="preserve"> </v>
      </c>
      <c r="V50" s="170" t="str">
        <f>IF('NY count'!AC49=0," ",'NY count'!AC49)</f>
        <v xml:space="preserve"> </v>
      </c>
      <c r="W50" s="99" t="str">
        <f t="shared" si="45"/>
        <v/>
      </c>
      <c r="X50" s="23"/>
    </row>
    <row r="51" spans="3:24" hidden="1" x14ac:dyDescent="0.2">
      <c r="C51" s="43" t="s">
        <v>43</v>
      </c>
      <c r="D51" s="123" t="s">
        <v>150</v>
      </c>
      <c r="E51" s="131" t="str">
        <f t="shared" si="38"/>
        <v>Main / Aux Generators (Generator #1)</v>
      </c>
      <c r="F51" s="59"/>
      <c r="G51" s="170"/>
      <c r="H51" s="99"/>
      <c r="I51" s="59"/>
      <c r="J51" s="170"/>
      <c r="K51" s="99"/>
      <c r="L51" s="59"/>
      <c r="M51" s="170"/>
      <c r="N51" s="99" t="str">
        <f t="shared" si="43"/>
        <v/>
      </c>
      <c r="O51" s="59"/>
      <c r="P51" s="170"/>
      <c r="Q51" s="99" t="str">
        <f t="shared" si="44"/>
        <v/>
      </c>
      <c r="R51" s="58" t="str">
        <f>IF('NY count'!AB50=0," ",'NY count'!AB50)</f>
        <v xml:space="preserve"> </v>
      </c>
      <c r="S51" s="58" t="str">
        <f>IF('NY count'!AC50=0," ",'NY count'!AC50)</f>
        <v xml:space="preserve"> </v>
      </c>
      <c r="T51" s="99" t="str">
        <f t="shared" si="42"/>
        <v/>
      </c>
      <c r="U51" s="59" t="str">
        <f>IF('NY count'!AB50=0," ",'NY count'!AB50)</f>
        <v xml:space="preserve"> </v>
      </c>
      <c r="V51" s="170" t="str">
        <f>IF('NY count'!AC50=0," ",'NY count'!AC50)</f>
        <v xml:space="preserve"> </v>
      </c>
      <c r="W51" s="99" t="str">
        <f t="shared" si="45"/>
        <v/>
      </c>
      <c r="X51" s="23"/>
    </row>
    <row r="52" spans="3:24" hidden="1" x14ac:dyDescent="0.2">
      <c r="C52" s="43" t="s">
        <v>43</v>
      </c>
      <c r="D52" s="123" t="s">
        <v>151</v>
      </c>
      <c r="E52" s="131" t="str">
        <f t="shared" si="38"/>
        <v>Main / Aux Generators (Generator #2)</v>
      </c>
      <c r="F52" s="59"/>
      <c r="G52" s="170"/>
      <c r="H52" s="99"/>
      <c r="I52" s="59"/>
      <c r="J52" s="170"/>
      <c r="K52" s="99"/>
      <c r="L52" s="59"/>
      <c r="M52" s="170"/>
      <c r="N52" s="99" t="str">
        <f t="shared" si="43"/>
        <v/>
      </c>
      <c r="O52" s="59"/>
      <c r="P52" s="170"/>
      <c r="Q52" s="99" t="str">
        <f t="shared" si="44"/>
        <v/>
      </c>
      <c r="R52" s="58" t="str">
        <f>IF('NY count'!AB51=0," ",'NY count'!AB51)</f>
        <v xml:space="preserve"> </v>
      </c>
      <c r="S52" s="58" t="str">
        <f>IF('NY count'!AC51=0," ",'NY count'!AC51)</f>
        <v xml:space="preserve"> </v>
      </c>
      <c r="T52" s="99" t="str">
        <f t="shared" si="42"/>
        <v/>
      </c>
      <c r="U52" s="59" t="str">
        <f>IF('NY count'!AB51=0," ",'NY count'!AB51)</f>
        <v xml:space="preserve"> </v>
      </c>
      <c r="V52" s="170" t="str">
        <f>IF('NY count'!AC51=0," ",'NY count'!AC51)</f>
        <v xml:space="preserve"> </v>
      </c>
      <c r="W52" s="99" t="str">
        <f t="shared" si="45"/>
        <v/>
      </c>
      <c r="X52" s="23"/>
    </row>
    <row r="53" spans="3:24" hidden="1" x14ac:dyDescent="0.2">
      <c r="C53" s="43" t="s">
        <v>43</v>
      </c>
      <c r="D53" s="123" t="s">
        <v>152</v>
      </c>
      <c r="E53" s="131" t="str">
        <f t="shared" si="38"/>
        <v>Main / Aux Generators (PP1)</v>
      </c>
      <c r="F53" s="121"/>
      <c r="G53" s="177"/>
      <c r="H53" s="132"/>
      <c r="I53" s="180"/>
      <c r="J53" s="177"/>
      <c r="K53" s="132"/>
      <c r="L53" s="121"/>
      <c r="M53" s="177"/>
      <c r="N53" s="132" t="str">
        <f t="shared" si="43"/>
        <v/>
      </c>
      <c r="O53" s="121"/>
      <c r="P53" s="177"/>
      <c r="Q53" s="132" t="str">
        <f t="shared" si="44"/>
        <v/>
      </c>
      <c r="R53" s="58" t="str">
        <f>IF('NY count'!AB52=0," ",'NY count'!AB52)</f>
        <v xml:space="preserve"> </v>
      </c>
      <c r="S53" s="58" t="str">
        <f>IF('NY count'!AC52=0," ",'NY count'!AC52)</f>
        <v xml:space="preserve"> </v>
      </c>
      <c r="T53" s="132" t="str">
        <f t="shared" si="42"/>
        <v/>
      </c>
      <c r="U53" s="59" t="str">
        <f>IF('NY count'!AB52=0," ",'NY count'!AB52)</f>
        <v xml:space="preserve"> </v>
      </c>
      <c r="V53" s="170" t="str">
        <f>IF('NY count'!AC52=0," ",'NY count'!AC52)</f>
        <v xml:space="preserve"> </v>
      </c>
      <c r="W53" s="99" t="str">
        <f t="shared" si="45"/>
        <v/>
      </c>
      <c r="X53" s="23"/>
    </row>
    <row r="54" spans="3:24" hidden="1" x14ac:dyDescent="0.2">
      <c r="C54" s="43" t="s">
        <v>43</v>
      </c>
      <c r="D54" s="120" t="s">
        <v>153</v>
      </c>
      <c r="E54" s="134" t="str">
        <f t="shared" si="38"/>
        <v>Main / Aux Generators (PP2)</v>
      </c>
      <c r="F54" s="122"/>
      <c r="G54" s="176"/>
      <c r="H54" s="133"/>
      <c r="I54" s="181"/>
      <c r="J54" s="176"/>
      <c r="K54" s="133"/>
      <c r="L54" s="122"/>
      <c r="M54" s="176"/>
      <c r="N54" s="133" t="str">
        <f t="shared" si="43"/>
        <v/>
      </c>
      <c r="O54" s="122"/>
      <c r="P54" s="176"/>
      <c r="Q54" s="133" t="str">
        <f t="shared" si="44"/>
        <v/>
      </c>
      <c r="R54" s="61" t="str">
        <f>IF('NY count'!AB53=0," ",'NY count'!AB53)</f>
        <v xml:space="preserve"> </v>
      </c>
      <c r="S54" s="61" t="str">
        <f>IF('NY count'!AC53=0," ",'NY count'!AC53)</f>
        <v xml:space="preserve"> </v>
      </c>
      <c r="T54" s="133" t="str">
        <f t="shared" si="42"/>
        <v/>
      </c>
      <c r="U54" s="60" t="str">
        <f>IF('NY count'!AB53=0," ",'NY count'!AB53)</f>
        <v xml:space="preserve"> </v>
      </c>
      <c r="V54" s="171" t="str">
        <f>IF('NY count'!AC53=0," ",'NY count'!AC53)</f>
        <v xml:space="preserve"> </v>
      </c>
      <c r="W54" s="102" t="str">
        <f t="shared" si="45"/>
        <v/>
      </c>
      <c r="X54" s="23"/>
    </row>
    <row r="55" spans="3:24" x14ac:dyDescent="0.2">
      <c r="C55" s="234" t="s">
        <v>116</v>
      </c>
      <c r="D55" s="236"/>
      <c r="E55" s="235"/>
      <c r="F55" s="65">
        <f>SUM(F46:F54)</f>
        <v>177</v>
      </c>
      <c r="G55" s="174">
        <f>SUM(G46:G54)</f>
        <v>311.01777777785435</v>
      </c>
      <c r="H55" s="100">
        <f>IF(G55=0,"",(G55/$G$86))</f>
        <v>0.13283793642211925</v>
      </c>
      <c r="I55" s="65">
        <f>SUM(I46:I54)</f>
        <v>30</v>
      </c>
      <c r="J55" s="174">
        <f>SUM(J46:J54)</f>
        <v>165.11166666660458</v>
      </c>
      <c r="K55" s="100">
        <f t="shared" si="39"/>
        <v>9.1769745173051087E-2</v>
      </c>
      <c r="L55" s="65">
        <f>SUM(L46:L54)</f>
        <v>75</v>
      </c>
      <c r="M55" s="174">
        <f>SUM(M46:M54)</f>
        <v>1268.4099999999999</v>
      </c>
      <c r="N55" s="100">
        <f t="shared" si="40"/>
        <v>0.48008412634597397</v>
      </c>
      <c r="O55" s="65">
        <f>SUM(O46:O54)</f>
        <v>17</v>
      </c>
      <c r="P55" s="174">
        <f>SUM(P46:P54)</f>
        <v>79.502500000062867</v>
      </c>
      <c r="Q55" s="100">
        <f t="shared" si="41"/>
        <v>7.1195790476052789E-2</v>
      </c>
      <c r="R55" s="65">
        <f>SUM(R46:R54)</f>
        <v>0</v>
      </c>
      <c r="S55" s="174">
        <f>SUM(S46:S54)</f>
        <v>0</v>
      </c>
      <c r="T55" s="100" t="str">
        <f>IF(S55=0,"",(S55/$S$86))</f>
        <v/>
      </c>
      <c r="U55" s="65">
        <f>F55+I55+L55+O55+R55</f>
        <v>299</v>
      </c>
      <c r="V55" s="174">
        <f>G55+J55+M55+P55+S55</f>
        <v>1824.0419444445215</v>
      </c>
      <c r="W55" s="100">
        <f>IF(V55=0,"",(V55/$V$86))</f>
        <v>0.2309130314396286</v>
      </c>
      <c r="X55" s="23"/>
    </row>
    <row r="56" spans="3:24" ht="4.5" customHeight="1" x14ac:dyDescent="0.2">
      <c r="C56" s="63"/>
      <c r="D56" s="63"/>
      <c r="E56" s="63"/>
      <c r="F56" s="64"/>
      <c r="G56" s="173"/>
      <c r="H56" s="101"/>
      <c r="I56" s="64"/>
      <c r="J56" s="173"/>
      <c r="K56" s="101"/>
      <c r="L56" s="64"/>
      <c r="M56" s="173"/>
      <c r="N56" s="101"/>
      <c r="O56" s="64"/>
      <c r="P56" s="173"/>
      <c r="Q56" s="101"/>
      <c r="R56" s="64"/>
      <c r="S56" s="173"/>
      <c r="T56" s="101"/>
      <c r="U56" s="64"/>
      <c r="V56" s="173"/>
      <c r="W56" s="101"/>
      <c r="X56" s="23"/>
    </row>
    <row r="57" spans="3:24" hidden="1" x14ac:dyDescent="0.2">
      <c r="C57" s="32" t="s">
        <v>44</v>
      </c>
      <c r="D57" s="32" t="s">
        <v>142</v>
      </c>
      <c r="E57" s="43" t="str">
        <f t="shared" ref="E57:E64" si="46">C57&amp;" "&amp;"("&amp;D57&amp;")"</f>
        <v>Main Hoist (Cylinders)</v>
      </c>
      <c r="F57" s="59"/>
      <c r="G57" s="170"/>
      <c r="H57" s="99"/>
      <c r="I57" s="59"/>
      <c r="J57" s="170"/>
      <c r="K57" s="99"/>
      <c r="L57" s="59"/>
      <c r="M57" s="170"/>
      <c r="N57" s="99" t="str">
        <f t="shared" ref="N57:N60" si="47">IF(M57=0,"",(M57/$M$86))</f>
        <v/>
      </c>
      <c r="O57" s="59"/>
      <c r="P57" s="170"/>
      <c r="Q57" s="148" t="str">
        <f t="shared" ref="Q57:Q60" si="48">IF(P57=0,"",(P57/$P$86))</f>
        <v/>
      </c>
      <c r="R57" s="59" t="str">
        <f>IF('NY count'!AB42=0," ",'NY count'!AB42)</f>
        <v xml:space="preserve"> </v>
      </c>
      <c r="S57" s="58" t="str">
        <f>IF('NY count'!AC42=0," ",'NY count'!AC42)</f>
        <v xml:space="preserve"> </v>
      </c>
      <c r="T57" s="148" t="str">
        <f t="shared" ref="T57:T60" si="49">IF(S57=" ","",(S57/$S$86))</f>
        <v/>
      </c>
      <c r="U57" s="59" t="str">
        <f>IF('NY count'!AB42=0," ",'NY count'!AB42)</f>
        <v xml:space="preserve"> </v>
      </c>
      <c r="V57" s="170" t="str">
        <f>IF('NY count'!AC42=0," ",'NY count'!AC42)</f>
        <v xml:space="preserve"> </v>
      </c>
      <c r="W57" s="99" t="str">
        <f t="shared" ref="W57:W64" si="50">IF(V57=" ","",(V57/$V$86))</f>
        <v/>
      </c>
      <c r="X57" s="23"/>
    </row>
    <row r="58" spans="3:24" hidden="1" x14ac:dyDescent="0.2">
      <c r="C58" s="32" t="s">
        <v>44</v>
      </c>
      <c r="D58" s="32" t="s">
        <v>143</v>
      </c>
      <c r="E58" s="43" t="str">
        <f t="shared" si="46"/>
        <v>Main Hoist (Excavator Hydraulics)</v>
      </c>
      <c r="F58" s="59"/>
      <c r="G58" s="170"/>
      <c r="H58" s="99"/>
      <c r="I58" s="59"/>
      <c r="J58" s="170"/>
      <c r="K58" s="99"/>
      <c r="L58" s="59"/>
      <c r="M58" s="170"/>
      <c r="N58" s="99" t="str">
        <f t="shared" si="47"/>
        <v/>
      </c>
      <c r="O58" s="59"/>
      <c r="P58" s="170"/>
      <c r="Q58" s="148" t="str">
        <f t="shared" si="48"/>
        <v/>
      </c>
      <c r="R58" s="59" t="str">
        <f>IF('NY count'!AB43=0," ",'NY count'!AB43)</f>
        <v xml:space="preserve"> </v>
      </c>
      <c r="S58" s="58" t="str">
        <f>IF('NY count'!AC43=0," ",'NY count'!AC43)</f>
        <v xml:space="preserve"> </v>
      </c>
      <c r="T58" s="148" t="str">
        <f t="shared" si="49"/>
        <v/>
      </c>
      <c r="U58" s="59" t="str">
        <f>IF('NY count'!AB43=0," ",'NY count'!AB43)</f>
        <v xml:space="preserve"> </v>
      </c>
      <c r="V58" s="170" t="str">
        <f>IF('NY count'!AC43=0," ",'NY count'!AC43)</f>
        <v xml:space="preserve"> </v>
      </c>
      <c r="W58" s="99" t="str">
        <f t="shared" si="50"/>
        <v/>
      </c>
      <c r="X58" s="23"/>
    </row>
    <row r="59" spans="3:24" hidden="1" x14ac:dyDescent="0.2">
      <c r="C59" s="32" t="s">
        <v>44</v>
      </c>
      <c r="D59" s="32" t="s">
        <v>144</v>
      </c>
      <c r="E59" s="43" t="str">
        <f t="shared" si="46"/>
        <v>Main Hoist (Hoses)</v>
      </c>
      <c r="F59" s="59"/>
      <c r="G59" s="170"/>
      <c r="H59" s="99"/>
      <c r="I59" s="59"/>
      <c r="J59" s="170"/>
      <c r="K59" s="99"/>
      <c r="L59" s="59"/>
      <c r="M59" s="170"/>
      <c r="N59" s="99" t="str">
        <f t="shared" si="47"/>
        <v/>
      </c>
      <c r="O59" s="59"/>
      <c r="P59" s="170"/>
      <c r="Q59" s="148" t="str">
        <f t="shared" si="48"/>
        <v/>
      </c>
      <c r="R59" s="59" t="str">
        <f>IF('NY count'!AB44=0," ",'NY count'!AB44)</f>
        <v xml:space="preserve"> </v>
      </c>
      <c r="S59" s="58" t="str">
        <f>IF('NY count'!AC44=0," ",'NY count'!AC44)</f>
        <v xml:space="preserve"> </v>
      </c>
      <c r="T59" s="99" t="str">
        <f t="shared" si="49"/>
        <v/>
      </c>
      <c r="U59" s="59" t="str">
        <f>IF('NY count'!AB44=0," ",'NY count'!AB44)</f>
        <v xml:space="preserve"> </v>
      </c>
      <c r="V59" s="170" t="str">
        <f>IF('NY count'!AC44=0," ",'NY count'!AC44)</f>
        <v xml:space="preserve"> </v>
      </c>
      <c r="W59" s="99" t="str">
        <f t="shared" si="50"/>
        <v/>
      </c>
      <c r="X59" s="23"/>
    </row>
    <row r="60" spans="3:24" hidden="1" x14ac:dyDescent="0.2">
      <c r="C60" s="43" t="s">
        <v>44</v>
      </c>
      <c r="D60" s="43" t="s">
        <v>145</v>
      </c>
      <c r="E60" s="43" t="str">
        <f t="shared" si="46"/>
        <v>Main Hoist (Hytop Hydraulics)</v>
      </c>
      <c r="F60" s="59"/>
      <c r="G60" s="170"/>
      <c r="H60" s="99"/>
      <c r="I60" s="59"/>
      <c r="J60" s="170"/>
      <c r="K60" s="99"/>
      <c r="L60" s="59"/>
      <c r="M60" s="170"/>
      <c r="N60" s="99" t="str">
        <f t="shared" si="47"/>
        <v/>
      </c>
      <c r="O60" s="59"/>
      <c r="P60" s="170"/>
      <c r="Q60" s="148" t="str">
        <f t="shared" si="48"/>
        <v/>
      </c>
      <c r="R60" s="59" t="str">
        <f>IF('NY count'!AB45=0," ",'NY count'!AB45)</f>
        <v xml:space="preserve"> </v>
      </c>
      <c r="S60" s="58" t="str">
        <f>IF('NY count'!AC45=0," ",'NY count'!AC45)</f>
        <v xml:space="preserve"> </v>
      </c>
      <c r="T60" s="99" t="str">
        <f t="shared" si="49"/>
        <v/>
      </c>
      <c r="U60" s="59" t="str">
        <f>IF('NY count'!AB45=0," ",'NY count'!AB45)</f>
        <v xml:space="preserve"> </v>
      </c>
      <c r="V60" s="170" t="str">
        <f>IF('NY count'!AC45=0," ",'NY count'!AC45)</f>
        <v xml:space="preserve"> </v>
      </c>
      <c r="W60" s="99" t="str">
        <f t="shared" si="50"/>
        <v/>
      </c>
      <c r="X60" s="23"/>
    </row>
    <row r="61" spans="3:24" x14ac:dyDescent="0.2">
      <c r="C61" s="32" t="s">
        <v>44</v>
      </c>
      <c r="D61" s="32" t="s">
        <v>58</v>
      </c>
      <c r="E61" s="43" t="str">
        <f t="shared" si="46"/>
        <v>Main Hoist (Closer)</v>
      </c>
      <c r="F61" s="59">
        <f>IF('53 count'!AB45=0, " ",('53 count'!AB45))</f>
        <v>65</v>
      </c>
      <c r="G61" s="170">
        <f>IF('53 count'!AC45=0, " ",('53 count'!AC45))</f>
        <v>33.793888888799117</v>
      </c>
      <c r="H61" s="99">
        <f>IF(G61=" ","",(G61/$G$86))</f>
        <v>1.4433613717325263E-2</v>
      </c>
      <c r="I61" s="59">
        <f>IF('54 count'!AB45=0, " ",('54 count'!AB45))</f>
        <v>10</v>
      </c>
      <c r="J61" s="170">
        <f>IF('54 count'!AC45=0, " ",('54 count'!AC45))</f>
        <v>27.48</v>
      </c>
      <c r="K61" s="99">
        <f t="shared" ref="K61:K65" si="51">IF(J61=" ","",(J61/$J$86))</f>
        <v>1.5273497314078706E-2</v>
      </c>
      <c r="L61" s="59">
        <f>IF('55 count'!AB45=0, " ",('55 count'!AB45))</f>
        <v>8</v>
      </c>
      <c r="M61" s="170">
        <f>IF('55 count'!AC45=0, " ",('55 count'!AC45))</f>
        <v>81.38</v>
      </c>
      <c r="N61" s="99">
        <f t="shared" ref="N61:N65" si="52">IF(M61=" ","",(M61/$M$86))</f>
        <v>3.0801748805224939E-2</v>
      </c>
      <c r="O61" s="59">
        <f>IF('58 count'!AB45=0, " ",('58 count'!AB45))</f>
        <v>13</v>
      </c>
      <c r="P61" s="170">
        <f>IF('58 count'!AC45=0, " ",('58 count'!AC45))</f>
        <v>323.18388888886199</v>
      </c>
      <c r="Q61" s="148">
        <f t="shared" ref="Q61:Q65" si="53">IF(P61=" ","",(P61/$P$86))</f>
        <v>0.28941646411809879</v>
      </c>
      <c r="R61" s="59"/>
      <c r="S61" s="170"/>
      <c r="T61" s="99" t="str">
        <f>IF(S61=0,"",(S61/$S$86))</f>
        <v/>
      </c>
      <c r="U61" s="59">
        <f>IF('53 count'!AB45+'54 count'!AB45+'55 count'!AB45+'58 count'!AB45=0," ",'53 count'!AB45+'54 count'!AB45+'55 count'!AB45+'58 count'!AB45)</f>
        <v>96</v>
      </c>
      <c r="V61" s="170">
        <f>IF('53 count'!AC45+'54 count'!AC45+'55 count'!AC45+'58 count'!AC45=0," ",'53 count'!AC45+'54 count'!AC45+'55 count'!AC45+'58 count'!AC45)</f>
        <v>465.83777777766113</v>
      </c>
      <c r="W61" s="99">
        <f t="shared" si="50"/>
        <v>5.8972335451692504E-2</v>
      </c>
      <c r="X61" s="23"/>
    </row>
    <row r="62" spans="3:24" x14ac:dyDescent="0.2">
      <c r="C62" s="32" t="s">
        <v>44</v>
      </c>
      <c r="D62" s="32" t="s">
        <v>59</v>
      </c>
      <c r="E62" s="43" t="str">
        <f t="shared" si="46"/>
        <v>Main Hoist (Closer Wire)</v>
      </c>
      <c r="F62" s="59">
        <f>IF('53 count'!AB46=0, " ",('53 count'!AB46))</f>
        <v>47</v>
      </c>
      <c r="G62" s="170">
        <f>IF('53 count'!AC46=0, " ",('53 count'!AC46))</f>
        <v>116.56027777804528</v>
      </c>
      <c r="H62" s="99">
        <f>IF(G62=" ","",(G62/$G$86))</f>
        <v>4.9783735448987024E-2</v>
      </c>
      <c r="I62" s="59">
        <f>IF('54 count'!AB46=0, " ",('54 count'!AB46))</f>
        <v>77</v>
      </c>
      <c r="J62" s="170">
        <f>IF('54 count'!AC46=0, " ",('54 count'!AC46))</f>
        <v>157.54416666674894</v>
      </c>
      <c r="K62" s="99">
        <f t="shared" si="51"/>
        <v>8.7563697468462806E-2</v>
      </c>
      <c r="L62" s="59">
        <f>IF('55 count'!AB46=0, " ",('55 count'!AB46))</f>
        <v>55</v>
      </c>
      <c r="M62" s="170">
        <f>IF('55 count'!AC46=0, " ",('55 count'!AC46))</f>
        <v>96.69</v>
      </c>
      <c r="N62" s="99">
        <f t="shared" si="52"/>
        <v>3.6596474465190459E-2</v>
      </c>
      <c r="O62" s="59">
        <f>IF('58 count'!AB46=0, " ",('58 count'!AB46))</f>
        <v>40</v>
      </c>
      <c r="P62" s="170">
        <f>IF('58 count'!AC46=0, " ",('58 count'!AC46))</f>
        <v>97.017500000118744</v>
      </c>
      <c r="Q62" s="99">
        <f t="shared" si="53"/>
        <v>8.6880759756151615E-2</v>
      </c>
      <c r="R62" s="59"/>
      <c r="S62" s="170"/>
      <c r="T62" s="99" t="str">
        <f>IF(S62=0,"",(S62/$S$86))</f>
        <v/>
      </c>
      <c r="U62" s="59">
        <f>IF('53 count'!AB46+'54 count'!AB46+'55 count'!AB46+'58 count'!AB46=0," ",'53 count'!AB46+'54 count'!AB46+'55 count'!AB46+'58 count'!AB46)</f>
        <v>219</v>
      </c>
      <c r="V62" s="170">
        <f>IF('53 count'!AC46+'54 count'!AC46+'55 count'!AC46+'58 count'!AC46=0," ",'53 count'!AC46+'54 count'!AC46+'55 count'!AC46+'58 count'!AC46)</f>
        <v>467.81194444491297</v>
      </c>
      <c r="W62" s="99">
        <f t="shared" si="50"/>
        <v>5.9222253394144761E-2</v>
      </c>
      <c r="X62" s="23"/>
    </row>
    <row r="63" spans="3:24" x14ac:dyDescent="0.2">
      <c r="C63" s="32" t="s">
        <v>44</v>
      </c>
      <c r="D63" s="32" t="s">
        <v>60</v>
      </c>
      <c r="E63" s="43" t="str">
        <f t="shared" si="46"/>
        <v>Main Hoist (Holder)</v>
      </c>
      <c r="F63" s="59">
        <f>IF('53 count'!AB47=0, " ",('53 count'!AB47))</f>
        <v>65</v>
      </c>
      <c r="G63" s="170">
        <f>IF('53 count'!AC47=0, " ",('53 count'!AC47))</f>
        <v>362.12249999986727</v>
      </c>
      <c r="H63" s="99">
        <f>IF(G63=" ","",(G63/$G$86))</f>
        <v>0.15466513192811579</v>
      </c>
      <c r="I63" s="59">
        <f>IF('54 count'!AB47=0, " ",('54 count'!AB47))</f>
        <v>48</v>
      </c>
      <c r="J63" s="170">
        <f>IF('54 count'!AC47=0, " ",('54 count'!AC47))</f>
        <v>283.88305555563187</v>
      </c>
      <c r="K63" s="99">
        <f t="shared" si="51"/>
        <v>0.15778337287268557</v>
      </c>
      <c r="L63" s="59">
        <f>IF('55 count'!AB47=0, " ",('55 count'!AB47))</f>
        <v>49</v>
      </c>
      <c r="M63" s="170">
        <f>IF('55 count'!AC47=0, " ",('55 count'!AC47))</f>
        <v>104.00999999999999</v>
      </c>
      <c r="N63" s="99">
        <f t="shared" si="52"/>
        <v>3.9367042187656007E-2</v>
      </c>
      <c r="O63" s="59">
        <f>IF('58 count'!AB47=0, " ",('58 count'!AB47))</f>
        <v>44</v>
      </c>
      <c r="P63" s="170">
        <f>IF('58 count'!AC47=0, " ",('58 count'!AC47))</f>
        <v>58.528611110751513</v>
      </c>
      <c r="Q63" s="99">
        <f t="shared" si="53"/>
        <v>5.2413329561864661E-2</v>
      </c>
      <c r="R63" s="59"/>
      <c r="S63" s="170"/>
      <c r="T63" s="99" t="str">
        <f>IF(S63=0,"",(S63/$S$86))</f>
        <v/>
      </c>
      <c r="U63" s="59">
        <f>IF('53 count'!AB47+'54 count'!AB47+'55 count'!AB47+'58 count'!AB47=0," ",'53 count'!AB47+'54 count'!AB47+'55 count'!AB47+'58 count'!AB47)</f>
        <v>206</v>
      </c>
      <c r="V63" s="170">
        <f>IF('53 count'!AC47+'54 count'!AC47+'55 count'!AC47+'58 count'!AC47=0," ",'53 count'!AC47+'54 count'!AC47+'55 count'!AC47+'58 count'!AC47)</f>
        <v>808.54416666625059</v>
      </c>
      <c r="W63" s="99">
        <f t="shared" si="50"/>
        <v>0.10235695793420437</v>
      </c>
      <c r="X63" s="23"/>
    </row>
    <row r="64" spans="3:24" x14ac:dyDescent="0.2">
      <c r="C64" s="44" t="s">
        <v>44</v>
      </c>
      <c r="D64" s="44" t="s">
        <v>61</v>
      </c>
      <c r="E64" s="44" t="str">
        <f t="shared" si="46"/>
        <v>Main Hoist (Holder Wire)</v>
      </c>
      <c r="F64" s="60">
        <f>IF('53 count'!AB48=0, " ",('53 count'!AB48))</f>
        <v>25</v>
      </c>
      <c r="G64" s="171">
        <f>IF('53 count'!AC48=0, " ",('53 count'!AC48))</f>
        <v>46.349166666711682</v>
      </c>
      <c r="H64" s="102">
        <f>IF(G64=" ","",(G64/$G$86))</f>
        <v>1.9796063424028655E-2</v>
      </c>
      <c r="I64" s="60">
        <f>IF('54 count'!AB48=0, " ",('54 count'!AB48))</f>
        <v>45</v>
      </c>
      <c r="J64" s="171">
        <f>IF('54 count'!AC48=0, " ",('54 count'!AC48))</f>
        <v>102.40527777779847</v>
      </c>
      <c r="K64" s="102">
        <f t="shared" si="51"/>
        <v>5.6917275658176447E-2</v>
      </c>
      <c r="L64" s="60">
        <f>IF('55 count'!AB48=0, " ",('55 count'!AB48))</f>
        <v>36</v>
      </c>
      <c r="M64" s="171">
        <f>IF('55 count'!AC48=0, " ",('55 count'!AC48))</f>
        <v>54.8</v>
      </c>
      <c r="N64" s="102">
        <f t="shared" si="52"/>
        <v>2.07414086326656E-2</v>
      </c>
      <c r="O64" s="60">
        <f>IF('58 count'!AB48=0, " ",('58 count'!AB48))</f>
        <v>19</v>
      </c>
      <c r="P64" s="171">
        <f>IF('58 count'!AC48=0, " ",('58 count'!AC48))</f>
        <v>26.99444444476627</v>
      </c>
      <c r="Q64" s="102">
        <f t="shared" si="53"/>
        <v>2.4173966991044394E-2</v>
      </c>
      <c r="R64" s="60"/>
      <c r="S64" s="171"/>
      <c r="T64" s="102" t="str">
        <f>IF(S64=0,"",(S64/$S$86))</f>
        <v/>
      </c>
      <c r="U64" s="60">
        <f>IF('53 count'!AB48+'54 count'!AB48+'55 count'!AB48+'58 count'!AB48=0," ",'53 count'!AB48+'54 count'!AB48+'55 count'!AB48+'58 count'!AB48)</f>
        <v>125</v>
      </c>
      <c r="V64" s="171">
        <f>IF('53 count'!AC48+'54 count'!AC48+'55 count'!AC48+'58 count'!AC48=0," ",'53 count'!AC48+'54 count'!AC48+'55 count'!AC48+'58 count'!AC48)</f>
        <v>230.54888888927644</v>
      </c>
      <c r="W64" s="102">
        <f t="shared" si="50"/>
        <v>2.9186139600903313E-2</v>
      </c>
      <c r="X64" s="23"/>
    </row>
    <row r="65" spans="3:24" x14ac:dyDescent="0.2">
      <c r="C65" s="234" t="s">
        <v>117</v>
      </c>
      <c r="D65" s="234"/>
      <c r="E65" s="235"/>
      <c r="F65" s="65">
        <f>SUM(F57:F64)</f>
        <v>202</v>
      </c>
      <c r="G65" s="174">
        <f>SUM(G57:G64)</f>
        <v>558.82583333342336</v>
      </c>
      <c r="H65" s="100">
        <f>IF(G65=0,"",(G65/$G$86))</f>
        <v>0.23867854451845674</v>
      </c>
      <c r="I65" s="65">
        <f>SUM(I57:I64)</f>
        <v>180</v>
      </c>
      <c r="J65" s="174">
        <f>SUM(J57:J64)</f>
        <v>571.31250000017928</v>
      </c>
      <c r="K65" s="100">
        <f t="shared" si="51"/>
        <v>0.31753784331340357</v>
      </c>
      <c r="L65" s="65">
        <f>SUM(L57:L64)</f>
        <v>148</v>
      </c>
      <c r="M65" s="174">
        <f>SUM(M57:M64)</f>
        <v>336.88</v>
      </c>
      <c r="N65" s="100">
        <f t="shared" si="52"/>
        <v>0.12750667409073702</v>
      </c>
      <c r="O65" s="65">
        <f>SUM(O57:O64)</f>
        <v>116</v>
      </c>
      <c r="P65" s="174">
        <f>SUM(P57:P64)</f>
        <v>505.72444444449849</v>
      </c>
      <c r="Q65" s="100">
        <f t="shared" si="53"/>
        <v>0.45288452042715943</v>
      </c>
      <c r="R65" s="65">
        <f>SUM(R57:R64)</f>
        <v>0</v>
      </c>
      <c r="S65" s="174">
        <f>SUM(S57:S64)</f>
        <v>0</v>
      </c>
      <c r="T65" s="100" t="str">
        <f>IF(S65=0,"",(S65/$S$86))</f>
        <v/>
      </c>
      <c r="U65" s="65">
        <f>F65+I65+L65+O65+R65</f>
        <v>646</v>
      </c>
      <c r="V65" s="174">
        <f>G65+J65+M65+P65+S65</f>
        <v>1972.7427777781011</v>
      </c>
      <c r="W65" s="100">
        <f>IF(V65=0,"",(V65/$V$86))</f>
        <v>0.24973768638094493</v>
      </c>
      <c r="X65" s="23"/>
    </row>
    <row r="66" spans="3:24" ht="4.5" customHeight="1" x14ac:dyDescent="0.2">
      <c r="C66" s="63"/>
      <c r="D66" s="63"/>
      <c r="E66" s="63"/>
      <c r="F66" s="64"/>
      <c r="G66" s="173"/>
      <c r="H66" s="101"/>
      <c r="I66" s="64"/>
      <c r="J66" s="173"/>
      <c r="K66" s="101"/>
      <c r="L66" s="64"/>
      <c r="M66" s="173"/>
      <c r="N66" s="101"/>
      <c r="O66" s="64"/>
      <c r="P66" s="173"/>
      <c r="Q66" s="101"/>
      <c r="R66" s="64"/>
      <c r="S66" s="173"/>
      <c r="T66" s="101"/>
      <c r="U66" s="64"/>
      <c r="V66" s="173"/>
      <c r="W66" s="101"/>
      <c r="X66" s="23"/>
    </row>
    <row r="67" spans="3:24" hidden="1" x14ac:dyDescent="0.2">
      <c r="C67" s="123" t="s">
        <v>45</v>
      </c>
      <c r="D67" s="123" t="s">
        <v>154</v>
      </c>
      <c r="E67" s="131" t="str">
        <f t="shared" ref="E67:E72" si="54">C67&amp;" "&amp;"("&amp;D67&amp;")"</f>
        <v>Spud System (Spud Hydraulics)</v>
      </c>
      <c r="F67" s="121"/>
      <c r="G67" s="175"/>
      <c r="H67" s="132"/>
      <c r="I67" s="180"/>
      <c r="J67" s="175"/>
      <c r="K67" s="132"/>
      <c r="L67" s="121"/>
      <c r="M67" s="175"/>
      <c r="N67" s="132" t="str">
        <f>IF(M67=0,"",(M67/$M$86))</f>
        <v/>
      </c>
      <c r="O67" s="121"/>
      <c r="P67" s="175"/>
      <c r="Q67" s="45" t="str">
        <f>IF(P67=0,"",(P67/$P$86))</f>
        <v/>
      </c>
      <c r="R67" s="59" t="str">
        <f>IF('NY count'!AB56=0, " ",('NY count'!AB56))</f>
        <v xml:space="preserve"> </v>
      </c>
      <c r="S67" s="58" t="str">
        <f>IF('NY count'!AC56=0, " ",('NY count'!AC56))</f>
        <v xml:space="preserve"> </v>
      </c>
      <c r="T67" s="99" t="str">
        <f t="shared" ref="T67:T72" si="55">IF(S67=" ","",(S67/$S$86))</f>
        <v/>
      </c>
      <c r="U67" s="142" t="str">
        <f>IF('NY count'!AB56=0, " ",('NY count'!AB56))</f>
        <v xml:space="preserve"> </v>
      </c>
      <c r="V67" s="70" t="str">
        <f>IF('NY count'!AC56=0, " ",('NY count'!AC56))</f>
        <v xml:space="preserve"> </v>
      </c>
      <c r="W67" s="99" t="str">
        <f t="shared" ref="W67:W72" si="56">IF(V67=" ","",(V67/$V$86))</f>
        <v/>
      </c>
      <c r="X67" s="23"/>
    </row>
    <row r="68" spans="3:24" x14ac:dyDescent="0.2">
      <c r="C68" s="32" t="s">
        <v>45</v>
      </c>
      <c r="D68" s="32" t="s">
        <v>62</v>
      </c>
      <c r="E68" s="43" t="str">
        <f t="shared" si="54"/>
        <v>Spud System (Spud Sheaves)</v>
      </c>
      <c r="F68" s="59">
        <f>IF('53 count'!AB51=0, " ",('53 count'!AB51))</f>
        <v>1</v>
      </c>
      <c r="G68" s="170">
        <f>IF('53 count'!AC51=0, " ",('53 count'!AC51))</f>
        <v>0.25</v>
      </c>
      <c r="H68" s="99">
        <f>IF(G68=" ","",(G68/$G$86))</f>
        <v>1.0677680338019074E-4</v>
      </c>
      <c r="I68" s="59">
        <f>IF('54 count'!AB51=0, " ",('54 count'!AB51))</f>
        <v>8</v>
      </c>
      <c r="J68" s="170">
        <f>IF('54 count'!AC51=0, " ",('54 count'!AC51))</f>
        <v>6.7299999999999995</v>
      </c>
      <c r="K68" s="99">
        <f t="shared" ref="K68:K73" si="57">IF(J68=" ","",(J68/$J$86))</f>
        <v>3.7405617512281547E-3</v>
      </c>
      <c r="L68" s="59">
        <f>IF('55 count'!AB51=0, " ",('55 count'!AB51))</f>
        <v>5</v>
      </c>
      <c r="M68" s="170">
        <f>IF('55 count'!AC51=0, " ",('55 count'!AC51))</f>
        <v>5.53</v>
      </c>
      <c r="N68" s="99">
        <f t="shared" ref="N68:N73" si="58">IF(M68=" ","",(M68/$M$86))</f>
        <v>2.0930655061795764E-3</v>
      </c>
      <c r="O68" s="59" t="str">
        <f>IF('58 count'!AB51=0, " ",('58 count'!AB51))</f>
        <v xml:space="preserve"> </v>
      </c>
      <c r="P68" s="170" t="str">
        <f>IF('58 count'!AC51=0, " ",('58 count'!AC51))</f>
        <v xml:space="preserve"> </v>
      </c>
      <c r="Q68" s="148" t="str">
        <f t="shared" ref="Q68:Q73" si="59">IF(P68=" ","",(P68/$P$86))</f>
        <v/>
      </c>
      <c r="R68" s="59" t="str">
        <f>IF('NY count'!AB57=0, " ",('NY count'!AB57))</f>
        <v xml:space="preserve"> </v>
      </c>
      <c r="S68" s="58" t="str">
        <f>IF('NY count'!AC57=0, " ",('NY count'!AC57))</f>
        <v xml:space="preserve"> </v>
      </c>
      <c r="T68" s="148" t="str">
        <f t="shared" si="55"/>
        <v/>
      </c>
      <c r="U68" s="59">
        <f>IF('53 count'!AB51+'54 count'!AB51+'55 count'!AB51+'58 count'!AB51+'NY count'!AB57=0," ",'53 count'!AB51+'54 count'!AB51+'55 count'!AB51+'58 count'!AB51+'NY count'!AB57)</f>
        <v>14</v>
      </c>
      <c r="V68" s="58">
        <f>IF('53 count'!AC51+'54 count'!AC51+'55 count'!AC51+'58 count'!AC51+'NY count'!AC57=0," ",'53 count'!AC51+'54 count'!AC51+'55 count'!AC51+'58 count'!AC51+'NY count'!AC57)</f>
        <v>12.51</v>
      </c>
      <c r="W68" s="99">
        <f t="shared" si="56"/>
        <v>1.583692761072696E-3</v>
      </c>
      <c r="X68" s="23"/>
    </row>
    <row r="69" spans="3:24" x14ac:dyDescent="0.2">
      <c r="C69" s="32" t="s">
        <v>45</v>
      </c>
      <c r="D69" s="32" t="s">
        <v>63</v>
      </c>
      <c r="E69" s="43" t="str">
        <f t="shared" si="54"/>
        <v>Spud System (Spud Structure)</v>
      </c>
      <c r="F69" s="59">
        <f>IF('53 count'!AB52=0, " ",('53 count'!AB52))</f>
        <v>9</v>
      </c>
      <c r="G69" s="170">
        <f>IF('53 count'!AC52=0, " ",('53 count'!AC52))</f>
        <v>82.18666666660458</v>
      </c>
      <c r="H69" s="99">
        <f t="shared" ref="H69:H72" si="60">IF(G69=" ","",(G69/$G$86))</f>
        <v>3.5102518188533251E-2</v>
      </c>
      <c r="I69" s="59">
        <f>IF('54 count'!AB52=0, " ",('54 count'!AB52))</f>
        <v>6</v>
      </c>
      <c r="J69" s="170">
        <f>IF('54 count'!AC52=0, " ",('54 count'!AC52))</f>
        <v>209.03000000000003</v>
      </c>
      <c r="K69" s="99">
        <f t="shared" si="57"/>
        <v>0.11617973593747716</v>
      </c>
      <c r="L69" s="59">
        <f>IF('55 count'!AB52=0, " ",('55 count'!AB52))</f>
        <v>1</v>
      </c>
      <c r="M69" s="170">
        <f>IF('55 count'!AC52=0, " ",('55 count'!AC52))</f>
        <v>0.41</v>
      </c>
      <c r="N69" s="99">
        <f t="shared" si="58"/>
        <v>1.5518207188673169E-4</v>
      </c>
      <c r="O69" s="59">
        <f>IF('58 count'!AB52=0, " ",('58 count'!AB52))</f>
        <v>3</v>
      </c>
      <c r="P69" s="170">
        <f>IF('58 count'!AC52=0, " ",('58 count'!AC52))</f>
        <v>15.89</v>
      </c>
      <c r="Q69" s="148">
        <f t="shared" si="59"/>
        <v>1.4229755173278631E-2</v>
      </c>
      <c r="R69" s="59" t="str">
        <f>IF('NY count'!AB58=0, " ",('NY count'!AB58))</f>
        <v xml:space="preserve"> </v>
      </c>
      <c r="S69" s="58" t="str">
        <f>IF('NY count'!AC58=0, " ",('NY count'!AC58))</f>
        <v xml:space="preserve"> </v>
      </c>
      <c r="T69" s="148" t="str">
        <f t="shared" si="55"/>
        <v/>
      </c>
      <c r="U69" s="59">
        <f>IF('53 count'!AB52+'54 count'!AB52+'55 count'!AB52+'58 count'!AB52+'NY count'!AB58=0," ",'53 count'!AB52+'54 count'!AB52+'55 count'!AB52+'58 count'!AB52+'NY count'!AB58)</f>
        <v>19</v>
      </c>
      <c r="V69" s="58">
        <f>IF('53 count'!AC52+'54 count'!AC52+'55 count'!AC52+'58 count'!AC52+'NY count'!AC58=0," ",'53 count'!AC52+'54 count'!AC52+'55 count'!AC52+'58 count'!AC52+'NY count'!AC58)</f>
        <v>307.51666666660464</v>
      </c>
      <c r="W69" s="99">
        <f t="shared" si="56"/>
        <v>3.8929809664996567E-2</v>
      </c>
      <c r="X69" s="23"/>
    </row>
    <row r="70" spans="3:24" x14ac:dyDescent="0.2">
      <c r="C70" s="32" t="s">
        <v>45</v>
      </c>
      <c r="D70" s="32" t="s">
        <v>64</v>
      </c>
      <c r="E70" s="43" t="str">
        <f t="shared" si="54"/>
        <v>Spud System (Spud Winch)</v>
      </c>
      <c r="F70" s="59">
        <f>IF('53 count'!AB53=0, " ",('53 count'!AB53))</f>
        <v>31</v>
      </c>
      <c r="G70" s="170">
        <f>IF('53 count'!AC53=0, " ",('53 count'!AC53))</f>
        <v>55.15</v>
      </c>
      <c r="H70" s="99">
        <f t="shared" si="60"/>
        <v>2.3554962825670076E-2</v>
      </c>
      <c r="I70" s="59">
        <f>IF('54 count'!AB53=0, " ",('54 count'!AB53))</f>
        <v>41</v>
      </c>
      <c r="J70" s="170">
        <f>IF('54 count'!AC53=0, " ",('54 count'!AC53))</f>
        <v>32.822500000146682</v>
      </c>
      <c r="K70" s="99">
        <f t="shared" si="57"/>
        <v>1.8242880844017057E-2</v>
      </c>
      <c r="L70" s="59">
        <f>IF('55 count'!AB53=0, " ",('55 count'!AB53))</f>
        <v>22</v>
      </c>
      <c r="M70" s="170">
        <f>IF('55 count'!AC53=0, " ",('55 count'!AC53))</f>
        <v>112.77027777774026</v>
      </c>
      <c r="N70" s="99">
        <f t="shared" si="58"/>
        <v>4.2682744762907295E-2</v>
      </c>
      <c r="O70" s="59">
        <f>IF('58 count'!AB53=0, " ",('58 count'!AB53))</f>
        <v>12</v>
      </c>
      <c r="P70" s="170">
        <f>IF('58 count'!AC53=0, " ",('58 count'!AC53))</f>
        <v>8.5527777778450407</v>
      </c>
      <c r="Q70" s="148">
        <f t="shared" si="59"/>
        <v>7.6591525380864051E-3</v>
      </c>
      <c r="R70" s="59" t="str">
        <f>IF('NY count'!AB59=0, " ",('NY count'!AB59))</f>
        <v xml:space="preserve"> </v>
      </c>
      <c r="S70" s="58" t="str">
        <f>IF('NY count'!AC59=0, " ",('NY count'!AC59))</f>
        <v xml:space="preserve"> </v>
      </c>
      <c r="T70" s="148" t="str">
        <f t="shared" si="55"/>
        <v/>
      </c>
      <c r="U70" s="59">
        <f>IF('53 count'!AB53+'54 count'!AB53+'55 count'!AB53+'58 count'!AB53+'NY count'!AB59=0," ",'53 count'!AB53+'54 count'!AB53+'55 count'!AB53+'58 count'!AB53+'NY count'!AB59)</f>
        <v>106</v>
      </c>
      <c r="V70" s="58">
        <f>IF('53 count'!AC53+'54 count'!AC53+'55 count'!AC53+'58 count'!AC53+'NY count'!AC59=0," ",'53 count'!AC53+'54 count'!AC53+'55 count'!AC53+'58 count'!AC53+'NY count'!AC59)</f>
        <v>209.29555555573199</v>
      </c>
      <c r="W70" s="99">
        <f t="shared" si="56"/>
        <v>2.6495592027042453E-2</v>
      </c>
      <c r="X70" s="23"/>
    </row>
    <row r="71" spans="3:24" x14ac:dyDescent="0.2">
      <c r="C71" s="32" t="s">
        <v>45</v>
      </c>
      <c r="D71" s="32" t="s">
        <v>65</v>
      </c>
      <c r="E71" s="43" t="str">
        <f t="shared" si="54"/>
        <v>Spud System (Spud Wires)</v>
      </c>
      <c r="F71" s="59">
        <f>IF('53 count'!AB54=0, " ",('53 count'!AB54))</f>
        <v>11</v>
      </c>
      <c r="G71" s="170">
        <f>IF('53 count'!AC54=0, " ",('53 count'!AC54))</f>
        <v>71.84277777771932</v>
      </c>
      <c r="H71" s="99">
        <f t="shared" si="60"/>
        <v>3.0684568628233089E-2</v>
      </c>
      <c r="I71" s="59">
        <f>IF('54 count'!AB54=0, " ",('54 count'!AB54))</f>
        <v>13</v>
      </c>
      <c r="J71" s="170">
        <f>IF('54 count'!AC54=0, " ",('54 count'!AC54))</f>
        <v>29.09</v>
      </c>
      <c r="K71" s="99">
        <f t="shared" si="57"/>
        <v>1.6168341952931205E-2</v>
      </c>
      <c r="L71" s="59">
        <f>IF('55 count'!AB54=0, " ",('55 count'!AB54))</f>
        <v>6</v>
      </c>
      <c r="M71" s="170">
        <f>IF('55 count'!AC54=0, " ",('55 count'!AC54))</f>
        <v>5.35</v>
      </c>
      <c r="N71" s="99">
        <f t="shared" si="58"/>
        <v>2.0249367916927185E-3</v>
      </c>
      <c r="O71" s="59">
        <f>IF('58 count'!AB54=0, " ",('58 count'!AB54))</f>
        <v>4</v>
      </c>
      <c r="P71" s="170">
        <f>IF('58 count'!AC54=0, " ",('58 count'!AC54))</f>
        <v>7.6802777778147719</v>
      </c>
      <c r="Q71" s="148">
        <f t="shared" si="59"/>
        <v>6.8778145022704001E-3</v>
      </c>
      <c r="R71" s="59" t="str">
        <f>IF('NY count'!AB60=0, " ",('NY count'!AB60))</f>
        <v xml:space="preserve"> </v>
      </c>
      <c r="S71" s="58" t="str">
        <f>IF('NY count'!AC60=0, " ",('NY count'!AC60))</f>
        <v xml:space="preserve"> </v>
      </c>
      <c r="T71" s="148" t="str">
        <f t="shared" si="55"/>
        <v/>
      </c>
      <c r="U71" s="59">
        <f>IF('53 count'!AB54+'54 count'!AB54+'55 count'!AB54+'58 count'!AB54+'NY count'!AB60=0," ",'53 count'!AB54+'54 count'!AB54+'55 count'!AB54+'58 count'!AB54+'NY count'!AB60)</f>
        <v>34</v>
      </c>
      <c r="V71" s="58">
        <f>IF('53 count'!AC54+'54 count'!AC54+'55 count'!AC54+'58 count'!AC54+'NY count'!AC60=0," ",'53 count'!AC54+'54 count'!AC54+'55 count'!AC54+'58 count'!AC54+'NY count'!AC60)</f>
        <v>113.96305555553408</v>
      </c>
      <c r="W71" s="99">
        <f t="shared" si="56"/>
        <v>1.4427055644526366E-2</v>
      </c>
      <c r="X71" s="23"/>
    </row>
    <row r="72" spans="3:24" x14ac:dyDescent="0.2">
      <c r="C72" s="44" t="s">
        <v>45</v>
      </c>
      <c r="D72" s="44" t="s">
        <v>66</v>
      </c>
      <c r="E72" s="44" t="str">
        <f t="shared" si="54"/>
        <v>Spud System (Walking Mechanism)</v>
      </c>
      <c r="F72" s="60">
        <f>IF('53 count'!AB55=0, " ",('53 count'!AB55))</f>
        <v>24</v>
      </c>
      <c r="G72" s="171">
        <f>IF('53 count'!AC55=0, " ",('53 count'!AC55))</f>
        <v>76.235000000176939</v>
      </c>
      <c r="H72" s="102">
        <f t="shared" si="60"/>
        <v>3.2560518422830934E-2</v>
      </c>
      <c r="I72" s="60">
        <f>IF('54 count'!AB55=0, " ",('54 count'!AB55))</f>
        <v>21</v>
      </c>
      <c r="J72" s="171">
        <f>IF('54 count'!AC55=0, " ",('54 count'!AC55))</f>
        <v>22.131388888936492</v>
      </c>
      <c r="K72" s="102">
        <f t="shared" si="57"/>
        <v>1.2300717203493553E-2</v>
      </c>
      <c r="L72" s="60">
        <f>IF('55 count'!AB55=0, " ",('55 count'!AB55))</f>
        <v>22</v>
      </c>
      <c r="M72" s="171">
        <f>IF('55 count'!AC55=0, " ",('55 count'!AC55))</f>
        <v>62.84</v>
      </c>
      <c r="N72" s="102">
        <f t="shared" si="58"/>
        <v>2.3784491213078587E-2</v>
      </c>
      <c r="O72" s="60">
        <f>IF('58 count'!AB55=0, " ",('58 count'!AB55))</f>
        <v>42</v>
      </c>
      <c r="P72" s="171">
        <f>IF('58 count'!AC55=0, " ",('58 count'!AC55))</f>
        <v>43.398611111186909</v>
      </c>
      <c r="Q72" s="149">
        <f t="shared" si="59"/>
        <v>3.8864166832757667E-2</v>
      </c>
      <c r="R72" s="60" t="str">
        <f>IF('NY count'!AB61=0, " ",('NY count'!AB61))</f>
        <v xml:space="preserve"> </v>
      </c>
      <c r="S72" s="61" t="str">
        <f>IF('NY count'!AC61=0, " ",('NY count'!AC61))</f>
        <v xml:space="preserve"> </v>
      </c>
      <c r="T72" s="149" t="str">
        <f t="shared" si="55"/>
        <v/>
      </c>
      <c r="U72" s="60">
        <f>IF('53 count'!AB55+'54 count'!AB55+'55 count'!AB55+'58 count'!AB55+'NY count'!AB61=0," ",'53 count'!AB55+'54 count'!AB55+'55 count'!AB55+'58 count'!AB55+'NY count'!AB61)</f>
        <v>109</v>
      </c>
      <c r="V72" s="61">
        <f>IF('53 count'!AC55+'54 count'!AC55+'55 count'!AC55+'58 count'!AC55+'NY count'!AC61=0," ",'53 count'!AC55+'54 count'!AC55+'55 count'!AC55+'58 count'!AC55+'NY count'!AC61)</f>
        <v>204.60500000030035</v>
      </c>
      <c r="W72" s="102">
        <f t="shared" si="56"/>
        <v>2.5901795154256967E-2</v>
      </c>
      <c r="X72" s="23"/>
    </row>
    <row r="73" spans="3:24" x14ac:dyDescent="0.2">
      <c r="C73" s="236" t="s">
        <v>118</v>
      </c>
      <c r="D73" s="236"/>
      <c r="E73" s="236"/>
      <c r="F73" s="65">
        <f>SUM(F67:F72)</f>
        <v>76</v>
      </c>
      <c r="G73" s="174">
        <f>SUM(G67:G72)</f>
        <v>285.66444444450087</v>
      </c>
      <c r="H73" s="100">
        <f>IF(G73=0,"",(G73/$G$86))</f>
        <v>0.12200934486864756</v>
      </c>
      <c r="I73" s="65">
        <f>SUM(I67:I72)</f>
        <v>89</v>
      </c>
      <c r="J73" s="174">
        <f>SUM(J67:J72)</f>
        <v>299.80388888908317</v>
      </c>
      <c r="K73" s="100">
        <f t="shared" si="57"/>
        <v>0.16663223768914712</v>
      </c>
      <c r="L73" s="65">
        <f>SUM(L67:L72)</f>
        <v>56</v>
      </c>
      <c r="M73" s="174">
        <f>SUM(M67:M72)</f>
        <v>186.90027777774026</v>
      </c>
      <c r="N73" s="100">
        <f t="shared" si="58"/>
        <v>7.0740420345744903E-2</v>
      </c>
      <c r="O73" s="65">
        <f>SUM(O67:O72)</f>
        <v>61</v>
      </c>
      <c r="P73" s="174">
        <f>SUM(P67:P72)</f>
        <v>75.521666666846727</v>
      </c>
      <c r="Q73" s="100">
        <f t="shared" si="59"/>
        <v>6.7630889046393111E-2</v>
      </c>
      <c r="R73" s="65">
        <f>SUM(R67:R72)</f>
        <v>0</v>
      </c>
      <c r="S73" s="174">
        <f>SUM(S67:S72)</f>
        <v>0</v>
      </c>
      <c r="T73" s="100" t="str">
        <f>IF(S73=0,"",(S73/$S$86))</f>
        <v/>
      </c>
      <c r="U73" s="65">
        <f>F73+I73+L73+O73+R73</f>
        <v>282</v>
      </c>
      <c r="V73" s="174">
        <f>G73+J73+M73+P73+S73</f>
        <v>847.89027777817103</v>
      </c>
      <c r="W73" s="100">
        <f>IF(V73=0,"",(V73/$V$86))</f>
        <v>0.10733794525189504</v>
      </c>
      <c r="X73" s="23"/>
    </row>
    <row r="74" spans="3:24" ht="4.5" customHeight="1" x14ac:dyDescent="0.2">
      <c r="C74" s="63"/>
      <c r="D74" s="63"/>
      <c r="E74" s="63"/>
      <c r="F74" s="64"/>
      <c r="G74" s="173"/>
      <c r="H74" s="101"/>
      <c r="I74" s="64"/>
      <c r="J74" s="173"/>
      <c r="K74" s="101"/>
      <c r="L74" s="64"/>
      <c r="M74" s="173"/>
      <c r="N74" s="101"/>
      <c r="O74" s="64"/>
      <c r="P74" s="173"/>
      <c r="Q74" s="101"/>
      <c r="R74" s="64"/>
      <c r="S74" s="173"/>
      <c r="T74" s="101"/>
      <c r="U74" s="64"/>
      <c r="V74" s="173"/>
      <c r="W74" s="101"/>
      <c r="X74" s="23"/>
    </row>
    <row r="75" spans="3:24" hidden="1" x14ac:dyDescent="0.2">
      <c r="C75" s="32" t="s">
        <v>155</v>
      </c>
      <c r="D75" s="123" t="s">
        <v>161</v>
      </c>
      <c r="E75" s="131" t="str">
        <f>C75&amp;" "&amp;"("&amp;D75&amp;")"</f>
        <v>Tagline / Boom Assist (A-Frame (Wires, Winch))</v>
      </c>
      <c r="F75" s="121"/>
      <c r="G75" s="175"/>
      <c r="H75" s="132"/>
      <c r="I75" s="180"/>
      <c r="J75" s="175"/>
      <c r="K75" s="132"/>
      <c r="L75" s="121"/>
      <c r="M75" s="175"/>
      <c r="N75" s="132" t="str">
        <f>IF(M75=0,"",(M75/$M$86))</f>
        <v/>
      </c>
      <c r="O75" s="121"/>
      <c r="P75" s="175"/>
      <c r="Q75" s="132" t="str">
        <f>IF(P75=0,"",(P75/$P$86))</f>
        <v/>
      </c>
      <c r="R75" s="59" t="str">
        <f>IF('NY count'!AB64=0, " ",('NY count'!AB64))</f>
        <v xml:space="preserve"> </v>
      </c>
      <c r="S75" s="170" t="str">
        <f>IF('NY count'!AC64=0, " ",('NY count'!AC64))</f>
        <v xml:space="preserve"> </v>
      </c>
      <c r="T75" s="148" t="str">
        <f t="shared" ref="T75:T78" si="61">IF(S75=" ","",(S75/$S$86))</f>
        <v/>
      </c>
      <c r="U75" s="142" t="str">
        <f>IF('NY count'!AB64=0, " ",('NY count'!AB64))</f>
        <v xml:space="preserve"> </v>
      </c>
      <c r="V75" s="70" t="str">
        <f>IF('NY count'!AC64=0, " ",('NY count'!AC64))</f>
        <v xml:space="preserve"> </v>
      </c>
      <c r="W75" s="99" t="str">
        <f>IF(V75=" ","",(V75/$V$86))</f>
        <v/>
      </c>
      <c r="X75" s="23"/>
    </row>
    <row r="76" spans="3:24" x14ac:dyDescent="0.2">
      <c r="C76" s="32" t="s">
        <v>155</v>
      </c>
      <c r="D76" s="32" t="s">
        <v>119</v>
      </c>
      <c r="E76" s="43" t="str">
        <f>C76&amp;" "&amp;"("&amp;D76&amp;")"</f>
        <v>Tagline / Boom Assist (Tagline Sheaves)</v>
      </c>
      <c r="F76" s="59" t="str">
        <f>IF('53 count'!AB58=0, " ",('53 count'!AB58))</f>
        <v xml:space="preserve"> </v>
      </c>
      <c r="G76" s="170" t="str">
        <f>IF('53 count'!AC58=0, " ",('53 count'!AC58))</f>
        <v xml:space="preserve"> </v>
      </c>
      <c r="H76" s="99" t="str">
        <f>IF(G76=" ","",(G76/$G$86))</f>
        <v/>
      </c>
      <c r="I76" s="59">
        <f>IF('54 count'!AB58=0, " ",('54 count'!AB58))</f>
        <v>2</v>
      </c>
      <c r="J76" s="170">
        <f>IF('54 count'!AC58=0, " ",('54 count'!AC58))</f>
        <v>0.76</v>
      </c>
      <c r="K76" s="99">
        <f t="shared" ref="K76:K79" si="62">IF(J76=" ","",(J76/$J$86))</f>
        <v>4.2241113386826118E-4</v>
      </c>
      <c r="L76" s="59">
        <f>IF('55 count'!AB58=0, " ",('55 count'!AB58))</f>
        <v>5</v>
      </c>
      <c r="M76" s="170">
        <f>IF('55 count'!AC58=0, " ",('55 count'!AC58))</f>
        <v>0.60000000000000009</v>
      </c>
      <c r="N76" s="99">
        <f t="shared" ref="N76:N79" si="63">IF(M76=" ","",(M76/$M$86))</f>
        <v>2.2709571495619277E-4</v>
      </c>
      <c r="O76" s="59">
        <f>IF('58 count'!AB58=0, " ",('58 count'!AB58))</f>
        <v>1</v>
      </c>
      <c r="P76" s="170">
        <f>IF('58 count'!AC58=0, " ",('58 count'!AC58))</f>
        <v>0.53333333332557231</v>
      </c>
      <c r="Q76" s="99">
        <f t="shared" ref="Q76:Q79" si="64">IF(P76=" ","",(P76/$P$86))</f>
        <v>4.7760873247145998E-4</v>
      </c>
      <c r="R76" s="59" t="str">
        <f>IF('NY count'!AB65=0, " ",('NY count'!AB65))</f>
        <v xml:space="preserve"> </v>
      </c>
      <c r="S76" s="170" t="str">
        <f>IF('NY count'!AC65=0, " ",('NY count'!AC65))</f>
        <v xml:space="preserve"> </v>
      </c>
      <c r="T76" s="148" t="str">
        <f t="shared" si="61"/>
        <v/>
      </c>
      <c r="U76" s="59">
        <f>IF('53 count'!AB58+'54 count'!AB58+'55 count'!AB58+'58 count'!AB58+'NY count'!AB65=0," ",'53 count'!AB58+'54 count'!AB58+'55 count'!AB58+'58 count'!AB58+'NY count'!AB65)</f>
        <v>8</v>
      </c>
      <c r="V76" s="58">
        <f>IF('53 count'!AC58+'54 count'!AC58+'55 count'!AC58+'58 count'!AC58+'NY count'!AC65=0," ",'53 count'!AC58+'54 count'!AC58+'55 count'!AC58+'58 count'!AC58+'NY count'!AC65)</f>
        <v>1.8933333333255724</v>
      </c>
      <c r="W76" s="99">
        <f>IF(V76=" ","",(V76/$V$86))</f>
        <v>2.3968491561033949E-4</v>
      </c>
      <c r="X76" s="23"/>
    </row>
    <row r="77" spans="3:24" x14ac:dyDescent="0.2">
      <c r="C77" s="32" t="s">
        <v>155</v>
      </c>
      <c r="D77" s="32" t="s">
        <v>120</v>
      </c>
      <c r="E77" s="43" t="str">
        <f>C77&amp;" "&amp;"("&amp;D77&amp;")"</f>
        <v>Tagline / Boom Assist (Tagline Winch )</v>
      </c>
      <c r="F77" s="59">
        <f>IF('53 count'!AB59=0, " ",('53 count'!AB59))</f>
        <v>22</v>
      </c>
      <c r="G77" s="170">
        <f>IF('53 count'!AC59=0, " ",('53 count'!AC59))</f>
        <v>28.66999999994179</v>
      </c>
      <c r="H77" s="99">
        <f>IF(G77=" ","",(G77/$G$86))</f>
        <v>1.2245163811615412E-2</v>
      </c>
      <c r="I77" s="59">
        <f>IF('54 count'!AB59=0, " ",('54 count'!AB59))</f>
        <v>9</v>
      </c>
      <c r="J77" s="170">
        <f>IF('54 count'!AC59=0, " ",('54 count'!AC59))</f>
        <v>4.54</v>
      </c>
      <c r="K77" s="99">
        <f t="shared" si="62"/>
        <v>2.5233507207393494E-3</v>
      </c>
      <c r="L77" s="59">
        <f>IF('55 count'!AB59=0, " ",('55 count'!AB59))</f>
        <v>8</v>
      </c>
      <c r="M77" s="170">
        <f>IF('55 count'!AC59=0, " ",('55 count'!AC59))</f>
        <v>211.26</v>
      </c>
      <c r="N77" s="99">
        <f t="shared" si="63"/>
        <v>7.9960401236075451E-2</v>
      </c>
      <c r="O77" s="59">
        <f>IF('58 count'!AB59=0, " ",('58 count'!AB59))</f>
        <v>1</v>
      </c>
      <c r="P77" s="170">
        <f>IF('58 count'!AC59=0, " ",('58 count'!AC59))</f>
        <v>7.7222222287673503E-2</v>
      </c>
      <c r="Q77" s="99">
        <f t="shared" si="64"/>
        <v>6.9153764448715816E-5</v>
      </c>
      <c r="R77" s="59" t="str">
        <f>IF('NY count'!AB66=0, " ",('NY count'!AB66))</f>
        <v xml:space="preserve"> </v>
      </c>
      <c r="S77" s="170" t="str">
        <f>IF('NY count'!AC66=0, " ",('NY count'!AC66))</f>
        <v xml:space="preserve"> </v>
      </c>
      <c r="T77" s="148" t="str">
        <f t="shared" si="61"/>
        <v/>
      </c>
      <c r="U77" s="59">
        <f>IF('53 count'!AB59+'54 count'!AB59+'55 count'!AB59+'58 count'!AB59+'NY count'!AB66=0," ",'53 count'!AB59+'54 count'!AB59+'55 count'!AB59+'58 count'!AB59+'NY count'!AB66)</f>
        <v>40</v>
      </c>
      <c r="V77" s="58">
        <f>IF('53 count'!AC59+'54 count'!AC59+'55 count'!AC59+'58 count'!AC59+'NY count'!AC66=0," ",'53 count'!AC59+'54 count'!AC59+'55 count'!AC59+'58 count'!AC59+'NY count'!AC66)</f>
        <v>244.54722222222946</v>
      </c>
      <c r="W77" s="99">
        <f t="shared" ref="W77:W78" si="65">IF(V77=" ","",(V77/$V$86))</f>
        <v>3.0958246648583595E-2</v>
      </c>
      <c r="X77" s="23"/>
    </row>
    <row r="78" spans="3:24" x14ac:dyDescent="0.2">
      <c r="C78" s="44" t="s">
        <v>155</v>
      </c>
      <c r="D78" s="44" t="s">
        <v>162</v>
      </c>
      <c r="E78" s="44" t="str">
        <f>C78&amp;" "&amp;"("&amp;D78&amp;")"</f>
        <v>Tagline / Boom Assist (Tagline Wire)</v>
      </c>
      <c r="F78" s="60">
        <f>IF('53 count'!AB60=0, " ",('53 count'!AB60))</f>
        <v>50</v>
      </c>
      <c r="G78" s="171">
        <f>IF('53 count'!AC60=0, " ",('53 count'!AC60))</f>
        <v>41.579444444531106</v>
      </c>
      <c r="H78" s="102">
        <f>IF(G78=" ","",(G78/$G$86))</f>
        <v>1.7758880656445049E-2</v>
      </c>
      <c r="I78" s="60">
        <f>IF('54 count'!AB60=0, " ",('54 count'!AB60))</f>
        <v>42</v>
      </c>
      <c r="J78" s="171">
        <f>IF('54 count'!AC60=0, " ",('54 count'!AC60))</f>
        <v>34.169999999999995</v>
      </c>
      <c r="K78" s="102">
        <f t="shared" si="62"/>
        <v>1.8991826900366424E-2</v>
      </c>
      <c r="L78" s="60">
        <f>IF('55 count'!AB60=0, " ",('55 count'!AB60))</f>
        <v>30</v>
      </c>
      <c r="M78" s="171">
        <f>IF('55 count'!AC60=0, " ",('55 count'!AC60))</f>
        <v>35.940000000000005</v>
      </c>
      <c r="N78" s="102">
        <f t="shared" si="63"/>
        <v>1.3603033325875947E-2</v>
      </c>
      <c r="O78" s="60">
        <f>IF('58 count'!AB60=0, " ",('58 count'!AB60))</f>
        <v>25</v>
      </c>
      <c r="P78" s="171">
        <f>IF('58 count'!AC60=0, " ",('58 count'!AC60))</f>
        <v>13.072222222057171</v>
      </c>
      <c r="Q78" s="102">
        <f t="shared" si="64"/>
        <v>1.1706389036536558E-2</v>
      </c>
      <c r="R78" s="60" t="str">
        <f>IF('NY count'!AB67=0, " ",('NY count'!AB67))</f>
        <v xml:space="preserve"> </v>
      </c>
      <c r="S78" s="171" t="str">
        <f>IF('NY count'!AC67=0, " ",('NY count'!AC67))</f>
        <v xml:space="preserve"> </v>
      </c>
      <c r="T78" s="149" t="str">
        <f t="shared" si="61"/>
        <v/>
      </c>
      <c r="U78" s="60">
        <f>IF('53 count'!AB60+'54 count'!AB60+'55 count'!AB60+'58 count'!AB60+'NY count'!AB67=0," ",'53 count'!AB60+'54 count'!AB60+'55 count'!AB60+'58 count'!AB60+'NY count'!AB67)</f>
        <v>147</v>
      </c>
      <c r="V78" s="61">
        <f>IF('53 count'!AC60+'54 count'!AC60+'55 count'!AC60+'58 count'!AC60+'NY count'!AC67=0," ",'53 count'!AC60+'54 count'!AC60+'55 count'!AC60+'58 count'!AC60+'NY count'!AC67)</f>
        <v>124.76166666658827</v>
      </c>
      <c r="W78" s="102">
        <f t="shared" si="65"/>
        <v>1.5794096591466071E-2</v>
      </c>
      <c r="X78" s="23"/>
    </row>
    <row r="79" spans="3:24" x14ac:dyDescent="0.2">
      <c r="C79" s="236" t="s">
        <v>160</v>
      </c>
      <c r="D79" s="236"/>
      <c r="E79" s="236"/>
      <c r="F79" s="65">
        <f>SUM(F75:F78)</f>
        <v>72</v>
      </c>
      <c r="G79" s="174">
        <f>SUM(G75:G78)</f>
        <v>70.2494444444729</v>
      </c>
      <c r="H79" s="100">
        <f>IF(G79=0,"",(G79/$G$86))</f>
        <v>3.0004044468060462E-2</v>
      </c>
      <c r="I79" s="65">
        <f>SUM(I75:I78)</f>
        <v>53</v>
      </c>
      <c r="J79" s="174">
        <f>SUM(J75:J78)</f>
        <v>39.469999999999992</v>
      </c>
      <c r="K79" s="100">
        <f t="shared" si="62"/>
        <v>2.1937588754974032E-2</v>
      </c>
      <c r="L79" s="65">
        <f>SUM(L75:L78)</f>
        <v>43</v>
      </c>
      <c r="M79" s="174">
        <f>SUM(M75:M78)</f>
        <v>247.79999999999998</v>
      </c>
      <c r="N79" s="100">
        <f t="shared" si="63"/>
        <v>9.3790530276907591E-2</v>
      </c>
      <c r="O79" s="65">
        <f>SUM(O75:O78)</f>
        <v>27</v>
      </c>
      <c r="P79" s="174">
        <f>SUM(P75:P78)</f>
        <v>13.682777777670417</v>
      </c>
      <c r="Q79" s="100">
        <f t="shared" si="64"/>
        <v>1.2253151533456734E-2</v>
      </c>
      <c r="R79" s="65">
        <f>SUM(R75:R78)</f>
        <v>0</v>
      </c>
      <c r="S79" s="174">
        <f>SUM(S75:S78)</f>
        <v>0</v>
      </c>
      <c r="T79" s="100" t="str">
        <f>IF(S79=0,"",(S79/$S$86))</f>
        <v/>
      </c>
      <c r="U79" s="65">
        <f>F79+I79+L79+O79+R79</f>
        <v>195</v>
      </c>
      <c r="V79" s="174">
        <f>G79+J79+M79+P79+S79</f>
        <v>371.20222222214329</v>
      </c>
      <c r="W79" s="100">
        <f>IF(V79=0,"",(V79/$V$86))</f>
        <v>4.6992028155660004E-2</v>
      </c>
      <c r="X79" s="23"/>
    </row>
    <row r="80" spans="3:24" ht="4.5" customHeight="1" x14ac:dyDescent="0.2">
      <c r="C80" s="63"/>
      <c r="D80" s="63"/>
      <c r="E80" s="63"/>
      <c r="F80" s="64"/>
      <c r="G80" s="173"/>
      <c r="H80" s="101"/>
      <c r="I80" s="64"/>
      <c r="J80" s="173"/>
      <c r="K80" s="101"/>
      <c r="L80" s="64"/>
      <c r="M80" s="173"/>
      <c r="N80" s="101"/>
      <c r="O80" s="64"/>
      <c r="P80" s="173"/>
      <c r="Q80" s="101"/>
      <c r="R80" s="64"/>
      <c r="S80" s="173"/>
      <c r="T80" s="101"/>
      <c r="U80" s="64"/>
      <c r="V80" s="173"/>
      <c r="W80" s="101"/>
      <c r="X80" s="23"/>
    </row>
    <row r="81" spans="3:26" x14ac:dyDescent="0.2">
      <c r="C81" s="32" t="s">
        <v>47</v>
      </c>
      <c r="D81" s="32" t="s">
        <v>67</v>
      </c>
      <c r="E81" s="43" t="str">
        <f>C81&amp;" "&amp;"("&amp;D81&amp;")"</f>
        <v>Tugs and Scows (Scow Repair)</v>
      </c>
      <c r="F81" s="59">
        <f>IF('53 count'!AB63=0, " ",('53 count'!AB63))</f>
        <v>57</v>
      </c>
      <c r="G81" s="170">
        <f>IF('53 count'!AC63=0, " ",('53 count'!AC63))</f>
        <v>132.47499999981142</v>
      </c>
      <c r="H81" s="99">
        <f>IF(G81=" ","",(G81/$G$86))</f>
        <v>5.6581028111082524E-2</v>
      </c>
      <c r="I81" s="59">
        <f>IF('54 count'!AB63=0, " ",('54 count'!AB63))</f>
        <v>117</v>
      </c>
      <c r="J81" s="170">
        <f>IF('54 count'!AC63=0, " ",('54 count'!AC63))</f>
        <v>193.46305555508937</v>
      </c>
      <c r="K81" s="99">
        <f t="shared" ref="K81:K83" si="66">IF(J81=" ","",(J81/$J$86))</f>
        <v>0.10752756402453119</v>
      </c>
      <c r="L81" s="59">
        <f>IF('55 count'!AB63=0, " ",('55 count'!AB63))</f>
        <v>110</v>
      </c>
      <c r="M81" s="170">
        <f>IF('55 count'!AC63=0, " ",('55 count'!AC63))</f>
        <v>204.60027777779845</v>
      </c>
      <c r="N81" s="99">
        <f t="shared" ref="N81:N83" si="67">IF(M81=" ","",(M81/$M$86))</f>
        <v>7.7439743936974614E-2</v>
      </c>
      <c r="O81" s="59">
        <f>IF('58 count'!AB63=0, " ",('58 count'!AB63))</f>
        <v>49</v>
      </c>
      <c r="P81" s="170">
        <f>IF('58 count'!AC63=0, " ",('58 count'!AC63))</f>
        <v>47.489999999976718</v>
      </c>
      <c r="Q81" s="99">
        <f t="shared" ref="Q81:Q83" si="68">IF(P81=" ","",(P81/$P$86))</f>
        <v>4.2528072572603576E-2</v>
      </c>
      <c r="R81" s="59" t="str">
        <f>IF('NY count'!AB70=0, " ",('NY count'!AB70))</f>
        <v xml:space="preserve"> </v>
      </c>
      <c r="S81" s="170" t="str">
        <f>IF('NY count'!AC70=0, " ",('NY count'!AC70))</f>
        <v xml:space="preserve"> </v>
      </c>
      <c r="T81" s="99" t="str">
        <f t="shared" ref="T81:T82" si="69">IF(S81=" ","",(S81/$S$86))</f>
        <v/>
      </c>
      <c r="U81" s="59">
        <f>IF('53 count'!AB63+'54 count'!AB63+'55 count'!AB63+'58 count'!AB63+'NY count'!AB70=0," ",'53 count'!AB63+'54 count'!AB63+'55 count'!AB63+'58 count'!AB63+'NY count'!AB70)</f>
        <v>333</v>
      </c>
      <c r="V81" s="170">
        <f>IF('53 count'!AC63+'54 count'!AC63+'55 count'!AC63+'58 count'!AC63+'NY count'!AC70=0," ",'53 count'!AC63+'54 count'!AC63+'55 count'!AC63+'58 count'!AC63+'NY count'!AC70)</f>
        <v>578.02833333267597</v>
      </c>
      <c r="W81" s="99">
        <f t="shared" ref="W81:W82" si="70">IF(V81=" ","",(V81/$V$86))</f>
        <v>7.3175002973131439E-2</v>
      </c>
      <c r="X81" s="23"/>
    </row>
    <row r="82" spans="3:26" x14ac:dyDescent="0.2">
      <c r="C82" s="44" t="s">
        <v>47</v>
      </c>
      <c r="D82" s="44" t="s">
        <v>68</v>
      </c>
      <c r="E82" s="44" t="str">
        <f>C82&amp;" "&amp;"("&amp;D82&amp;")"</f>
        <v>Tugs and Scows (Tug Repair)</v>
      </c>
      <c r="F82" s="60">
        <f>IF('53 count'!AB64=0, " ",('53 count'!AB64))</f>
        <v>7</v>
      </c>
      <c r="G82" s="171">
        <f>IF('53 count'!AC64=0, " ",('53 count'!AC64))</f>
        <v>13.07</v>
      </c>
      <c r="H82" s="102">
        <f>IF(G82=" ","",(G82/$G$86))</f>
        <v>5.5822912807163717E-3</v>
      </c>
      <c r="I82" s="60">
        <f>IF('54 count'!AB64=0, " ",('54 count'!AB64))</f>
        <v>16</v>
      </c>
      <c r="J82" s="171">
        <f>IF('54 count'!AC64=0, " ",('54 count'!AC64))</f>
        <v>39.804444444391407</v>
      </c>
      <c r="K82" s="102">
        <f t="shared" si="66"/>
        <v>2.2123474356252084E-2</v>
      </c>
      <c r="L82" s="60">
        <f>IF('55 count'!AB64=0, " ",('55 count'!AB64))</f>
        <v>4</v>
      </c>
      <c r="M82" s="171">
        <f>IF('55 count'!AC64=0, " ",('55 count'!AC64))</f>
        <v>31.17</v>
      </c>
      <c r="N82" s="102">
        <f t="shared" si="67"/>
        <v>1.1797622391974212E-2</v>
      </c>
      <c r="O82" s="60">
        <f>IF('58 count'!AB64=0, " ",('58 count'!AB64))</f>
        <v>9</v>
      </c>
      <c r="P82" s="171">
        <f>IF('58 count'!AC64=0, " ",('58 count'!AC64))</f>
        <v>2.5722222222387789</v>
      </c>
      <c r="Q82" s="102">
        <f t="shared" si="68"/>
        <v>2.3034671160304921E-3</v>
      </c>
      <c r="R82" s="60" t="str">
        <f>IF('NY count'!AB71=0, " ",('NY count'!AB71))</f>
        <v xml:space="preserve"> </v>
      </c>
      <c r="S82" s="171" t="str">
        <f>IF('NY count'!AC71=0, " ",('NY count'!AC71))</f>
        <v xml:space="preserve"> </v>
      </c>
      <c r="T82" s="102" t="str">
        <f t="shared" si="69"/>
        <v/>
      </c>
      <c r="U82" s="60">
        <f>IF('53 count'!AB64+'54 count'!AB64+'55 count'!AB64+'58 count'!AB64+'NY count'!AB71=0," ",'53 count'!AB64+'54 count'!AB64+'55 count'!AB64+'58 count'!AB64+'NY count'!AB71)</f>
        <v>36</v>
      </c>
      <c r="V82" s="171">
        <f>IF('53 count'!AC64+'54 count'!AC64+'55 count'!AC64+'58 count'!AC64+'NY count'!AC71=0," ",'53 count'!AC64+'54 count'!AC64+'55 count'!AC64+'58 count'!AC64+'NY count'!AC71)</f>
        <v>86.616666666630195</v>
      </c>
      <c r="W82" s="102">
        <f t="shared" si="70"/>
        <v>1.0965162908728133E-2</v>
      </c>
      <c r="X82" s="23"/>
    </row>
    <row r="83" spans="3:26" x14ac:dyDescent="0.2">
      <c r="C83" s="236" t="s">
        <v>121</v>
      </c>
      <c r="D83" s="236"/>
      <c r="E83" s="236"/>
      <c r="F83" s="65">
        <f>SUM(F81:F82)</f>
        <v>64</v>
      </c>
      <c r="G83" s="174">
        <f>SUM(G81:G82)</f>
        <v>145.54499999981141</v>
      </c>
      <c r="H83" s="100">
        <f>IF(G83=0,"",(G83/$G$86))</f>
        <v>6.2163319391798894E-2</v>
      </c>
      <c r="I83" s="65">
        <f>SUM(I81:I82)</f>
        <v>133</v>
      </c>
      <c r="J83" s="174">
        <f>SUM(J81:J82)</f>
        <v>233.26749999948078</v>
      </c>
      <c r="K83" s="100">
        <f t="shared" si="66"/>
        <v>0.12965103838078326</v>
      </c>
      <c r="L83" s="65">
        <f>SUM(L81:L82)</f>
        <v>114</v>
      </c>
      <c r="M83" s="174">
        <f>SUM(M81:M82)</f>
        <v>235.77027777779847</v>
      </c>
      <c r="N83" s="100">
        <f t="shared" si="67"/>
        <v>8.9237366328948839E-2</v>
      </c>
      <c r="O83" s="65">
        <f>SUM(O81:O82)</f>
        <v>58</v>
      </c>
      <c r="P83" s="174">
        <f>SUM(P81:P82)</f>
        <v>50.062222222215496</v>
      </c>
      <c r="Q83" s="100">
        <f t="shared" si="68"/>
        <v>4.483153968863407E-2</v>
      </c>
      <c r="R83" s="65">
        <f>SUM(R81:R82)</f>
        <v>0</v>
      </c>
      <c r="S83" s="174">
        <f>SUM(S81:S82)</f>
        <v>0</v>
      </c>
      <c r="T83" s="100" t="str">
        <f>IF(S83=0,"",(S83/$S$86))</f>
        <v/>
      </c>
      <c r="U83" s="65">
        <f>F83+I83+L83+O83+R83</f>
        <v>369</v>
      </c>
      <c r="V83" s="174">
        <f>G83+J83+M83+P83+S83</f>
        <v>664.64499999930615</v>
      </c>
      <c r="W83" s="100">
        <f>IF(V83=0,"",(V83/$V$86))</f>
        <v>8.4140165881859574E-2</v>
      </c>
      <c r="X83" s="23"/>
    </row>
    <row r="84" spans="3:26" ht="4.5" customHeight="1" x14ac:dyDescent="0.2">
      <c r="C84" s="63"/>
      <c r="D84" s="63"/>
      <c r="E84" s="63"/>
      <c r="F84" s="64"/>
      <c r="G84" s="173"/>
      <c r="H84" s="101"/>
      <c r="I84" s="64"/>
      <c r="J84" s="173"/>
      <c r="K84" s="101"/>
      <c r="L84" s="64"/>
      <c r="M84" s="173"/>
      <c r="N84" s="101"/>
      <c r="O84" s="64"/>
      <c r="P84" s="173"/>
      <c r="Q84" s="101"/>
      <c r="R84" s="64"/>
      <c r="S84" s="173"/>
      <c r="T84" s="101"/>
      <c r="U84" s="64"/>
      <c r="V84" s="173"/>
      <c r="W84" s="101"/>
      <c r="X84" s="23"/>
    </row>
    <row r="85" spans="3:26" ht="4.5" customHeight="1" x14ac:dyDescent="0.2">
      <c r="C85" s="67"/>
      <c r="D85" s="67"/>
      <c r="E85" s="67"/>
      <c r="F85" s="96"/>
      <c r="G85" s="178"/>
      <c r="H85" s="101"/>
      <c r="I85" s="182"/>
      <c r="J85" s="178"/>
      <c r="K85" s="101"/>
      <c r="L85" s="96"/>
      <c r="M85" s="178"/>
      <c r="N85" s="101"/>
      <c r="O85" s="96"/>
      <c r="P85" s="178"/>
      <c r="Q85" s="101"/>
      <c r="R85" s="96"/>
      <c r="S85" s="178"/>
      <c r="T85" s="101"/>
      <c r="U85" s="96"/>
      <c r="V85" s="178"/>
      <c r="W85" s="101"/>
      <c r="X85" s="23"/>
    </row>
    <row r="86" spans="3:26" x14ac:dyDescent="0.2">
      <c r="C86" s="23"/>
      <c r="D86" s="23"/>
      <c r="E86" s="68" t="s">
        <v>101</v>
      </c>
      <c r="F86" s="69">
        <f>F17+F55+F44+F40+F34+F30+F14+F26+F65+F73+F79+F83</f>
        <v>973</v>
      </c>
      <c r="G86" s="179">
        <f>G17+G55+G44+G40+G34+G30+G14+G26+G65+G73+G79+G83</f>
        <v>2341.3324999985912</v>
      </c>
      <c r="H86" s="99">
        <f>IF(G86=0,"",(G86/$G$86))</f>
        <v>1</v>
      </c>
      <c r="I86" s="69">
        <f>I17+I55+I44+I40+I34+I30+I14+I26+I65+I73+I79+I83</f>
        <v>820</v>
      </c>
      <c r="J86" s="179">
        <f>J17+J55+J44+J40+J34+J30+J14+J26+J65+J73+J79+J83</f>
        <v>1799.1949999997487</v>
      </c>
      <c r="K86" s="99">
        <f>IF(J86=" ","",(J86/$J$86))</f>
        <v>1</v>
      </c>
      <c r="L86" s="69">
        <f>L17+L55+L44+L40+L34+L30+L14+L26+L65+L73+L79+L83</f>
        <v>655</v>
      </c>
      <c r="M86" s="179">
        <f>M17+M55+M44+M40+M34+M30+M14+M26+M65+M73+M79+M83</f>
        <v>2642.0577777777153</v>
      </c>
      <c r="N86" s="99">
        <f>IF(M86=" ","",(M86/$M$86))</f>
        <v>1</v>
      </c>
      <c r="O86" s="69">
        <f>O17+O55+O44+O40+O34+O30+O14+O26+O65+O73+O79+O83</f>
        <v>481</v>
      </c>
      <c r="P86" s="179">
        <f>P17+P55+P44+P40+P34+P30+P14+P26+P65+P73+P79+P83</f>
        <v>1116.6741666672567</v>
      </c>
      <c r="Q86" s="99">
        <f>IF(P86=" ","",(P86/$P$86))</f>
        <v>1</v>
      </c>
      <c r="R86" s="69">
        <f>R17+R55+R44+R40+R34+R30+R14+R26+R65+R73+R79+R83</f>
        <v>0</v>
      </c>
      <c r="S86" s="179">
        <f>S17+S55+S44+S40+S34+S30+S14+S26+S65+S73+S79+S83</f>
        <v>0</v>
      </c>
      <c r="T86" s="99" t="str">
        <f>IF(S86=0,"",(S86/$S$86))</f>
        <v/>
      </c>
      <c r="U86" s="69">
        <f>F86+I86+L86+O86+R86</f>
        <v>2929</v>
      </c>
      <c r="V86" s="179">
        <f>G86+J86+M86+P86+S86</f>
        <v>7899.2594444433116</v>
      </c>
      <c r="W86" s="99">
        <f>IF(V86=0,"",(V86/$V$86))</f>
        <v>1</v>
      </c>
      <c r="X86" s="23"/>
    </row>
    <row r="87" spans="3:26" x14ac:dyDescent="0.2">
      <c r="C87" s="23"/>
      <c r="D87" s="23"/>
      <c r="E87" s="23"/>
      <c r="F87" s="70"/>
      <c r="G87" s="70"/>
      <c r="H87" s="52"/>
      <c r="I87" s="70"/>
      <c r="J87" s="70"/>
      <c r="K87" s="52"/>
      <c r="L87" s="70"/>
      <c r="M87" s="70"/>
      <c r="N87" s="52"/>
      <c r="O87" s="70"/>
      <c r="P87" s="70"/>
      <c r="Q87" s="52"/>
      <c r="R87" s="70"/>
      <c r="S87" s="70"/>
      <c r="T87" s="52"/>
      <c r="U87" s="70"/>
      <c r="V87" s="70"/>
      <c r="W87" s="52"/>
    </row>
    <row r="88" spans="3:26" s="23" customFormat="1" x14ac:dyDescent="0.2">
      <c r="H88" s="45"/>
      <c r="K88" s="45"/>
      <c r="N88" s="45"/>
      <c r="Q88" s="45"/>
      <c r="T88" s="45"/>
      <c r="Y88"/>
      <c r="Z88"/>
    </row>
    <row r="89" spans="3:26" s="23" customFormat="1" x14ac:dyDescent="0.2">
      <c r="H89" s="45"/>
      <c r="K89" s="45"/>
      <c r="N89" s="45"/>
      <c r="Q89" s="45"/>
      <c r="T89" s="45"/>
      <c r="U89" s="103">
        <f>U14+U17+U26+U30+U34+U40+U44+U55+U65+U73+U79+U83</f>
        <v>2929</v>
      </c>
      <c r="V89" s="150">
        <f>V14+V17+V26+V30+V34+V40+V44+V55+V65+V73+V79+V83</f>
        <v>7899.2594444433116</v>
      </c>
    </row>
    <row r="90" spans="3:26" s="23" customFormat="1" x14ac:dyDescent="0.2"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  <c r="Q90" s="233"/>
      <c r="R90" s="233"/>
      <c r="S90" s="233"/>
      <c r="T90" s="233"/>
    </row>
    <row r="91" spans="3:26" s="23" customFormat="1" x14ac:dyDescent="0.2">
      <c r="C91" s="46"/>
      <c r="D91" s="46"/>
      <c r="E91" s="46"/>
      <c r="F91" s="46"/>
      <c r="G91" s="46"/>
      <c r="H91" s="47"/>
      <c r="I91" s="46"/>
      <c r="J91" s="46"/>
      <c r="K91" s="47"/>
      <c r="L91" s="46"/>
      <c r="M91" s="46"/>
      <c r="N91" s="47"/>
      <c r="O91" s="46"/>
      <c r="P91" s="46"/>
      <c r="Q91" s="47"/>
      <c r="R91" s="46"/>
      <c r="S91" s="46"/>
      <c r="T91" s="47"/>
    </row>
    <row r="92" spans="3:26" s="23" customFormat="1" x14ac:dyDescent="0.2">
      <c r="C92" s="43"/>
      <c r="D92" s="43"/>
      <c r="E92" s="43"/>
      <c r="F92" s="43"/>
      <c r="G92" s="43"/>
      <c r="H92" s="48"/>
      <c r="I92" s="43"/>
      <c r="J92" s="43"/>
      <c r="K92" s="48"/>
      <c r="L92" s="43"/>
      <c r="M92" s="43"/>
      <c r="N92" s="48"/>
      <c r="O92" s="43"/>
      <c r="P92" s="43"/>
      <c r="Q92" s="48"/>
      <c r="R92" s="43"/>
      <c r="S92" s="43"/>
      <c r="T92" s="48"/>
    </row>
    <row r="93" spans="3:26" s="23" customFormat="1" x14ac:dyDescent="0.2">
      <c r="C93" s="43"/>
      <c r="D93" s="43"/>
      <c r="E93" s="43"/>
      <c r="F93" s="43"/>
      <c r="G93" s="43"/>
      <c r="H93" s="48"/>
      <c r="I93" s="43"/>
      <c r="J93" s="43"/>
      <c r="K93" s="48"/>
      <c r="L93" s="43"/>
      <c r="M93" s="43"/>
      <c r="N93" s="48"/>
      <c r="O93" s="43"/>
      <c r="P93" s="43"/>
      <c r="Q93" s="48"/>
      <c r="R93" s="43"/>
      <c r="S93" s="43"/>
      <c r="T93" s="48"/>
    </row>
    <row r="94" spans="3:26" s="23" customFormat="1" x14ac:dyDescent="0.2">
      <c r="C94" s="43"/>
      <c r="D94" s="43"/>
      <c r="E94" s="43"/>
      <c r="F94" s="43"/>
      <c r="G94" s="43"/>
      <c r="H94" s="48"/>
      <c r="I94" s="43"/>
      <c r="J94" s="43"/>
      <c r="K94" s="48"/>
      <c r="L94" s="43"/>
      <c r="M94" s="43"/>
      <c r="N94" s="48"/>
      <c r="O94" s="43"/>
      <c r="P94" s="43"/>
      <c r="Q94" s="48"/>
      <c r="R94" s="43"/>
      <c r="S94" s="43"/>
      <c r="T94" s="48"/>
    </row>
    <row r="95" spans="3:26" s="23" customFormat="1" x14ac:dyDescent="0.2">
      <c r="C95" s="43"/>
      <c r="D95" s="43"/>
      <c r="E95" s="43"/>
      <c r="F95" s="43"/>
      <c r="G95" s="43"/>
      <c r="H95" s="48"/>
      <c r="I95" s="43"/>
      <c r="J95" s="43"/>
      <c r="K95" s="48"/>
      <c r="L95" s="43"/>
      <c r="M95" s="43"/>
      <c r="N95" s="48"/>
      <c r="O95" s="43"/>
      <c r="P95" s="43"/>
      <c r="Q95" s="48"/>
      <c r="R95" s="43"/>
      <c r="S95" s="43"/>
      <c r="T95" s="48"/>
    </row>
    <row r="96" spans="3:26" s="23" customFormat="1" x14ac:dyDescent="0.2">
      <c r="C96" s="43"/>
      <c r="D96" s="43"/>
      <c r="E96" s="43"/>
      <c r="F96" s="43"/>
      <c r="G96" s="43"/>
      <c r="H96" s="48"/>
      <c r="I96" s="43"/>
      <c r="J96" s="43"/>
      <c r="K96" s="48"/>
      <c r="L96" s="43"/>
      <c r="M96" s="43"/>
      <c r="N96" s="48"/>
      <c r="O96" s="43"/>
      <c r="P96" s="43"/>
      <c r="Q96" s="48"/>
      <c r="R96" s="43"/>
      <c r="S96" s="43"/>
      <c r="T96" s="48"/>
    </row>
    <row r="97" spans="3:20" s="23" customFormat="1" x14ac:dyDescent="0.2">
      <c r="C97" s="43"/>
      <c r="D97" s="43"/>
      <c r="E97" s="43"/>
      <c r="F97" s="43"/>
      <c r="G97" s="43"/>
      <c r="H97" s="48"/>
      <c r="I97" s="43"/>
      <c r="J97" s="43"/>
      <c r="K97" s="48"/>
      <c r="L97" s="43"/>
      <c r="M97" s="43"/>
      <c r="N97" s="48"/>
      <c r="O97" s="43"/>
      <c r="P97" s="43"/>
      <c r="Q97" s="48"/>
      <c r="R97" s="43"/>
      <c r="S97" s="43"/>
      <c r="T97" s="48"/>
    </row>
    <row r="98" spans="3:20" s="23" customFormat="1" x14ac:dyDescent="0.2">
      <c r="C98" s="43"/>
      <c r="D98" s="43"/>
      <c r="E98" s="43"/>
      <c r="F98" s="43"/>
      <c r="G98" s="43"/>
      <c r="H98" s="48"/>
      <c r="I98" s="43"/>
      <c r="J98" s="43"/>
      <c r="K98" s="48"/>
      <c r="L98" s="43"/>
      <c r="M98" s="43"/>
      <c r="N98" s="48"/>
      <c r="O98" s="43"/>
      <c r="P98" s="43"/>
      <c r="Q98" s="48"/>
      <c r="R98" s="43"/>
      <c r="S98" s="43"/>
      <c r="T98" s="48"/>
    </row>
    <row r="99" spans="3:20" s="23" customFormat="1" x14ac:dyDescent="0.2">
      <c r="C99" s="43"/>
      <c r="D99" s="43"/>
      <c r="E99" s="43"/>
      <c r="F99" s="43"/>
      <c r="G99" s="43"/>
      <c r="H99" s="48"/>
      <c r="I99" s="43"/>
      <c r="J99" s="43"/>
      <c r="K99" s="48"/>
      <c r="L99" s="43"/>
      <c r="M99" s="43"/>
      <c r="N99" s="48"/>
      <c r="O99" s="43"/>
      <c r="P99" s="43"/>
      <c r="Q99" s="48"/>
      <c r="R99" s="43"/>
      <c r="S99" s="43"/>
      <c r="T99" s="48"/>
    </row>
    <row r="100" spans="3:20" s="23" customFormat="1" x14ac:dyDescent="0.2">
      <c r="C100" s="43"/>
      <c r="D100" s="43"/>
      <c r="E100" s="43"/>
      <c r="F100" s="43"/>
      <c r="G100" s="43"/>
      <c r="H100" s="48"/>
      <c r="I100" s="43"/>
      <c r="J100" s="43"/>
      <c r="K100" s="48"/>
      <c r="L100" s="43"/>
      <c r="M100" s="43"/>
      <c r="N100" s="48"/>
      <c r="O100" s="43"/>
      <c r="P100" s="43"/>
      <c r="Q100" s="48"/>
      <c r="R100" s="43"/>
      <c r="S100" s="43"/>
      <c r="T100" s="48"/>
    </row>
    <row r="101" spans="3:20" s="23" customFormat="1" x14ac:dyDescent="0.2">
      <c r="C101" s="43"/>
      <c r="D101" s="43"/>
      <c r="E101" s="43"/>
      <c r="F101" s="43"/>
      <c r="G101" s="43"/>
      <c r="H101" s="48"/>
      <c r="I101" s="43"/>
      <c r="J101" s="43"/>
      <c r="K101" s="48"/>
      <c r="L101" s="43"/>
      <c r="M101" s="43"/>
      <c r="N101" s="48"/>
      <c r="O101" s="43"/>
      <c r="P101" s="43"/>
      <c r="Q101" s="48"/>
      <c r="R101" s="43"/>
      <c r="S101" s="43"/>
      <c r="T101" s="48"/>
    </row>
    <row r="102" spans="3:20" s="23" customFormat="1" x14ac:dyDescent="0.2">
      <c r="C102" s="43"/>
      <c r="D102" s="43"/>
      <c r="E102" s="43"/>
      <c r="F102" s="43"/>
      <c r="G102" s="43"/>
      <c r="H102" s="48"/>
      <c r="I102" s="43"/>
      <c r="J102" s="43"/>
      <c r="K102" s="48"/>
      <c r="L102" s="43"/>
      <c r="M102" s="43"/>
      <c r="N102" s="48"/>
      <c r="O102" s="43"/>
      <c r="P102" s="43"/>
      <c r="Q102" s="48"/>
      <c r="R102" s="43"/>
      <c r="S102" s="43"/>
      <c r="T102" s="48"/>
    </row>
    <row r="103" spans="3:20" s="23" customFormat="1" x14ac:dyDescent="0.2">
      <c r="C103" s="43"/>
      <c r="D103" s="43"/>
      <c r="E103" s="43"/>
      <c r="F103" s="43"/>
      <c r="G103" s="43"/>
      <c r="H103" s="48"/>
      <c r="I103" s="43"/>
      <c r="J103" s="43"/>
      <c r="K103" s="48"/>
      <c r="L103" s="43"/>
      <c r="M103" s="43"/>
      <c r="N103" s="48"/>
      <c r="O103" s="43"/>
      <c r="P103" s="43"/>
      <c r="Q103" s="48"/>
      <c r="R103" s="43"/>
      <c r="S103" s="43"/>
      <c r="T103" s="48"/>
    </row>
    <row r="104" spans="3:20" s="23" customFormat="1" x14ac:dyDescent="0.2">
      <c r="C104" s="43"/>
      <c r="D104" s="43"/>
      <c r="E104" s="43"/>
      <c r="F104" s="43"/>
      <c r="G104" s="43"/>
      <c r="H104" s="48"/>
      <c r="I104" s="43"/>
      <c r="J104" s="43"/>
      <c r="K104" s="48"/>
      <c r="L104" s="43"/>
      <c r="M104" s="43"/>
      <c r="N104" s="48"/>
      <c r="O104" s="43"/>
      <c r="P104" s="43"/>
      <c r="Q104" s="48"/>
      <c r="R104" s="43"/>
      <c r="S104" s="43"/>
      <c r="T104" s="48"/>
    </row>
    <row r="105" spans="3:20" s="23" customFormat="1" x14ac:dyDescent="0.2">
      <c r="C105" s="43"/>
      <c r="D105" s="43"/>
      <c r="E105" s="43"/>
      <c r="F105" s="43"/>
      <c r="G105" s="43"/>
      <c r="H105" s="48"/>
      <c r="I105" s="43"/>
      <c r="J105" s="43"/>
      <c r="K105" s="48"/>
      <c r="L105" s="43"/>
      <c r="M105" s="43"/>
      <c r="N105" s="48"/>
      <c r="O105" s="43"/>
      <c r="P105" s="43"/>
      <c r="Q105" s="48"/>
      <c r="R105" s="43"/>
      <c r="S105" s="43"/>
      <c r="T105" s="48"/>
    </row>
    <row r="106" spans="3:20" s="23" customFormat="1" x14ac:dyDescent="0.2">
      <c r="C106" s="43"/>
      <c r="D106" s="43"/>
      <c r="E106" s="43"/>
      <c r="F106" s="43"/>
      <c r="G106" s="43"/>
      <c r="H106" s="48"/>
      <c r="I106" s="43"/>
      <c r="J106" s="43"/>
      <c r="K106" s="48"/>
      <c r="L106" s="43"/>
      <c r="M106" s="43"/>
      <c r="N106" s="48"/>
      <c r="O106" s="43"/>
      <c r="P106" s="43"/>
      <c r="Q106" s="48"/>
      <c r="R106" s="43"/>
      <c r="S106" s="43"/>
      <c r="T106" s="48"/>
    </row>
    <row r="107" spans="3:20" s="23" customFormat="1" x14ac:dyDescent="0.2">
      <c r="C107" s="43"/>
      <c r="D107" s="43"/>
      <c r="E107" s="43"/>
      <c r="F107" s="43"/>
      <c r="G107" s="43"/>
      <c r="H107" s="48"/>
      <c r="I107" s="43"/>
      <c r="J107" s="43"/>
      <c r="K107" s="48"/>
      <c r="L107" s="43"/>
      <c r="M107" s="43"/>
      <c r="N107" s="48"/>
      <c r="O107" s="43"/>
      <c r="P107" s="43"/>
      <c r="Q107" s="48"/>
      <c r="R107" s="43"/>
      <c r="S107" s="43"/>
      <c r="T107" s="48"/>
    </row>
    <row r="108" spans="3:20" s="23" customFormat="1" x14ac:dyDescent="0.2">
      <c r="C108" s="43"/>
      <c r="D108" s="43"/>
      <c r="E108" s="43"/>
      <c r="F108" s="43"/>
      <c r="G108" s="43"/>
      <c r="H108" s="48"/>
      <c r="I108" s="43"/>
      <c r="J108" s="43"/>
      <c r="K108" s="48"/>
      <c r="L108" s="43"/>
      <c r="M108" s="43"/>
      <c r="N108" s="48"/>
      <c r="O108" s="43"/>
      <c r="P108" s="43"/>
      <c r="Q108" s="48"/>
      <c r="R108" s="43"/>
      <c r="S108" s="43"/>
      <c r="T108" s="48"/>
    </row>
    <row r="109" spans="3:20" s="23" customFormat="1" x14ac:dyDescent="0.2">
      <c r="C109" s="43"/>
      <c r="D109" s="43"/>
      <c r="E109" s="43"/>
      <c r="F109" s="43"/>
      <c r="G109" s="43"/>
      <c r="H109" s="48"/>
      <c r="I109" s="43"/>
      <c r="J109" s="43"/>
      <c r="K109" s="48"/>
      <c r="L109" s="43"/>
      <c r="M109" s="43"/>
      <c r="N109" s="48"/>
      <c r="O109" s="43"/>
      <c r="P109" s="43"/>
      <c r="Q109" s="48"/>
      <c r="R109" s="43"/>
      <c r="S109" s="43"/>
      <c r="T109" s="48"/>
    </row>
    <row r="110" spans="3:20" s="23" customFormat="1" x14ac:dyDescent="0.2">
      <c r="C110" s="43"/>
      <c r="D110" s="43"/>
      <c r="E110" s="43"/>
      <c r="F110" s="43"/>
      <c r="G110" s="43"/>
      <c r="H110" s="48"/>
      <c r="I110" s="43"/>
      <c r="J110" s="43"/>
      <c r="K110" s="48"/>
      <c r="L110" s="43"/>
      <c r="M110" s="43"/>
      <c r="N110" s="48"/>
      <c r="O110" s="43"/>
      <c r="P110" s="43"/>
      <c r="Q110" s="48"/>
      <c r="R110" s="43"/>
      <c r="S110" s="43"/>
      <c r="T110" s="48"/>
    </row>
    <row r="111" spans="3:20" s="23" customFormat="1" x14ac:dyDescent="0.2">
      <c r="C111" s="43"/>
      <c r="D111" s="43"/>
      <c r="E111" s="43"/>
      <c r="F111" s="43"/>
      <c r="G111" s="43"/>
      <c r="H111" s="48"/>
      <c r="I111" s="43"/>
      <c r="J111" s="43"/>
      <c r="K111" s="48"/>
      <c r="L111" s="43"/>
      <c r="M111" s="43"/>
      <c r="N111" s="48"/>
      <c r="O111" s="43"/>
      <c r="P111" s="43"/>
      <c r="Q111" s="48"/>
      <c r="R111" s="43"/>
      <c r="S111" s="43"/>
      <c r="T111" s="48"/>
    </row>
    <row r="112" spans="3:20" s="23" customFormat="1" x14ac:dyDescent="0.2">
      <c r="C112" s="43"/>
      <c r="D112" s="43"/>
      <c r="E112" s="43"/>
      <c r="F112" s="43"/>
      <c r="G112" s="43"/>
      <c r="H112" s="48"/>
      <c r="I112" s="43"/>
      <c r="J112" s="43"/>
      <c r="K112" s="48"/>
      <c r="L112" s="43"/>
      <c r="M112" s="43"/>
      <c r="N112" s="48"/>
      <c r="O112" s="43"/>
      <c r="P112" s="43"/>
      <c r="Q112" s="48"/>
      <c r="R112" s="43"/>
      <c r="S112" s="43"/>
      <c r="T112" s="48"/>
    </row>
    <row r="113" spans="3:20" s="23" customFormat="1" x14ac:dyDescent="0.2">
      <c r="C113" s="43"/>
      <c r="D113" s="43"/>
      <c r="E113" s="43"/>
      <c r="F113" s="43"/>
      <c r="G113" s="43"/>
      <c r="H113" s="48"/>
      <c r="I113" s="43"/>
      <c r="J113" s="43"/>
      <c r="K113" s="48"/>
      <c r="L113" s="43"/>
      <c r="M113" s="43"/>
      <c r="N113" s="48"/>
      <c r="O113" s="43"/>
      <c r="P113" s="43"/>
      <c r="Q113" s="48"/>
      <c r="R113" s="43"/>
      <c r="S113" s="43"/>
      <c r="T113" s="48"/>
    </row>
    <row r="114" spans="3:20" s="23" customFormat="1" x14ac:dyDescent="0.2">
      <c r="C114" s="43"/>
      <c r="D114" s="43"/>
      <c r="E114" s="43"/>
      <c r="F114" s="43"/>
      <c r="G114" s="43"/>
      <c r="H114" s="48"/>
      <c r="I114" s="43"/>
      <c r="J114" s="43"/>
      <c r="K114" s="48"/>
      <c r="L114" s="43"/>
      <c r="M114" s="43"/>
      <c r="N114" s="48"/>
      <c r="O114" s="43"/>
      <c r="P114" s="43"/>
      <c r="Q114" s="48"/>
      <c r="R114" s="43"/>
      <c r="S114" s="43"/>
      <c r="T114" s="48"/>
    </row>
    <row r="115" spans="3:20" s="23" customFormat="1" x14ac:dyDescent="0.2">
      <c r="C115" s="43"/>
      <c r="D115" s="43"/>
      <c r="E115" s="43"/>
      <c r="F115" s="43"/>
      <c r="G115" s="43"/>
      <c r="H115" s="48"/>
      <c r="I115" s="43"/>
      <c r="J115" s="43"/>
      <c r="K115" s="48"/>
      <c r="L115" s="43"/>
      <c r="M115" s="43"/>
      <c r="N115" s="48"/>
      <c r="O115" s="43"/>
      <c r="P115" s="43"/>
      <c r="Q115" s="48"/>
      <c r="R115" s="43"/>
      <c r="S115" s="43"/>
      <c r="T115" s="48"/>
    </row>
    <row r="116" spans="3:20" s="23" customFormat="1" x14ac:dyDescent="0.2">
      <c r="C116" s="43"/>
      <c r="D116" s="43"/>
      <c r="E116" s="43"/>
      <c r="F116" s="43"/>
      <c r="G116" s="43"/>
      <c r="H116" s="48"/>
      <c r="I116" s="43"/>
      <c r="J116" s="43"/>
      <c r="K116" s="48"/>
      <c r="L116" s="43"/>
      <c r="M116" s="43"/>
      <c r="N116" s="48"/>
      <c r="O116" s="43"/>
      <c r="P116" s="43"/>
      <c r="Q116" s="48"/>
      <c r="R116" s="43"/>
      <c r="S116" s="43"/>
      <c r="T116" s="48"/>
    </row>
    <row r="117" spans="3:20" s="23" customFormat="1" x14ac:dyDescent="0.2">
      <c r="C117" s="43"/>
      <c r="D117" s="43"/>
      <c r="E117" s="43"/>
      <c r="F117" s="43"/>
      <c r="G117" s="43"/>
      <c r="H117" s="48"/>
      <c r="I117" s="43"/>
      <c r="J117" s="43"/>
      <c r="K117" s="48"/>
      <c r="L117" s="43"/>
      <c r="M117" s="43"/>
      <c r="N117" s="48"/>
      <c r="O117" s="43"/>
      <c r="P117" s="43"/>
      <c r="Q117" s="48"/>
      <c r="R117" s="43"/>
      <c r="S117" s="43"/>
      <c r="T117" s="48"/>
    </row>
    <row r="118" spans="3:20" s="23" customFormat="1" x14ac:dyDescent="0.2">
      <c r="C118" s="43"/>
      <c r="D118" s="43"/>
      <c r="E118" s="43"/>
      <c r="F118" s="43"/>
      <c r="G118" s="43"/>
      <c r="H118" s="48"/>
      <c r="I118" s="43"/>
      <c r="J118" s="43"/>
      <c r="K118" s="48"/>
      <c r="L118" s="43"/>
      <c r="M118" s="43"/>
      <c r="N118" s="48"/>
      <c r="O118" s="43"/>
      <c r="P118" s="43"/>
      <c r="Q118" s="48"/>
      <c r="R118" s="43"/>
      <c r="S118" s="43"/>
      <c r="T118" s="48"/>
    </row>
    <row r="119" spans="3:20" s="23" customFormat="1" x14ac:dyDescent="0.2">
      <c r="C119" s="43"/>
      <c r="D119" s="43"/>
      <c r="E119" s="43"/>
      <c r="F119" s="43"/>
      <c r="G119" s="43"/>
      <c r="H119" s="48"/>
      <c r="I119" s="43"/>
      <c r="J119" s="43"/>
      <c r="K119" s="48"/>
      <c r="L119" s="43"/>
      <c r="M119" s="43"/>
      <c r="N119" s="48"/>
      <c r="O119" s="43"/>
      <c r="P119" s="43"/>
      <c r="Q119" s="48"/>
      <c r="R119" s="43"/>
      <c r="S119" s="43"/>
      <c r="T119" s="48"/>
    </row>
    <row r="120" spans="3:20" s="23" customFormat="1" x14ac:dyDescent="0.2">
      <c r="C120" s="43"/>
      <c r="D120" s="43"/>
      <c r="E120" s="43"/>
      <c r="F120" s="43"/>
      <c r="G120" s="43"/>
      <c r="H120" s="48"/>
      <c r="I120" s="43"/>
      <c r="J120" s="43"/>
      <c r="K120" s="48"/>
      <c r="L120" s="43"/>
      <c r="M120" s="43"/>
      <c r="N120" s="48"/>
      <c r="O120" s="43"/>
      <c r="P120" s="43"/>
      <c r="Q120" s="48"/>
      <c r="R120" s="43"/>
      <c r="S120" s="43"/>
      <c r="T120" s="48"/>
    </row>
    <row r="121" spans="3:20" s="23" customFormat="1" x14ac:dyDescent="0.2">
      <c r="C121" s="43"/>
      <c r="D121" s="43"/>
      <c r="E121" s="43"/>
      <c r="F121" s="43"/>
      <c r="G121" s="43"/>
      <c r="H121" s="48"/>
      <c r="I121" s="43"/>
      <c r="J121" s="43"/>
      <c r="K121" s="48"/>
      <c r="L121" s="43"/>
      <c r="M121" s="43"/>
      <c r="N121" s="48"/>
      <c r="O121" s="43"/>
      <c r="P121" s="43"/>
      <c r="Q121" s="48"/>
      <c r="R121" s="43"/>
      <c r="S121" s="43"/>
      <c r="T121" s="48"/>
    </row>
    <row r="122" spans="3:20" s="23" customFormat="1" x14ac:dyDescent="0.2">
      <c r="C122" s="43"/>
      <c r="D122" s="43"/>
      <c r="E122" s="43"/>
      <c r="F122" s="43"/>
      <c r="G122" s="43"/>
      <c r="H122" s="48"/>
      <c r="I122" s="43"/>
      <c r="J122" s="43"/>
      <c r="K122" s="48"/>
      <c r="L122" s="43"/>
      <c r="M122" s="43"/>
      <c r="N122" s="48"/>
      <c r="O122" s="43"/>
      <c r="P122" s="43"/>
      <c r="Q122" s="48"/>
      <c r="R122" s="43"/>
      <c r="S122" s="43"/>
      <c r="T122" s="48"/>
    </row>
    <row r="123" spans="3:20" s="23" customFormat="1" x14ac:dyDescent="0.2">
      <c r="C123" s="43"/>
      <c r="D123" s="43"/>
      <c r="E123" s="43"/>
      <c r="F123" s="43"/>
      <c r="G123" s="43"/>
      <c r="H123" s="48"/>
      <c r="I123" s="43"/>
      <c r="J123" s="43"/>
      <c r="K123" s="48"/>
      <c r="L123" s="43"/>
      <c r="M123" s="43"/>
      <c r="N123" s="48"/>
      <c r="O123" s="43"/>
      <c r="P123" s="43"/>
      <c r="Q123" s="48"/>
      <c r="R123" s="43"/>
      <c r="S123" s="43"/>
      <c r="T123" s="48"/>
    </row>
    <row r="124" spans="3:20" s="23" customFormat="1" x14ac:dyDescent="0.2">
      <c r="C124" s="43"/>
      <c r="D124" s="43"/>
      <c r="E124" s="43"/>
      <c r="F124" s="43"/>
      <c r="G124" s="43"/>
      <c r="H124" s="48"/>
      <c r="I124" s="43"/>
      <c r="J124" s="43"/>
      <c r="K124" s="48"/>
      <c r="L124" s="43"/>
      <c r="M124" s="43"/>
      <c r="N124" s="48"/>
      <c r="O124" s="43"/>
      <c r="P124" s="43"/>
      <c r="Q124" s="48"/>
      <c r="R124" s="43"/>
      <c r="S124" s="43"/>
      <c r="T124" s="48"/>
    </row>
    <row r="125" spans="3:20" s="23" customFormat="1" x14ac:dyDescent="0.2">
      <c r="C125" s="43"/>
      <c r="D125" s="43"/>
      <c r="E125" s="43"/>
      <c r="F125" s="43"/>
      <c r="G125" s="43"/>
      <c r="H125" s="48"/>
      <c r="I125" s="43"/>
      <c r="J125" s="43"/>
      <c r="K125" s="48"/>
      <c r="L125" s="43"/>
      <c r="M125" s="43"/>
      <c r="N125" s="48"/>
      <c r="O125" s="43"/>
      <c r="P125" s="43"/>
      <c r="Q125" s="48"/>
      <c r="R125" s="43"/>
      <c r="S125" s="43"/>
      <c r="T125" s="48"/>
    </row>
    <row r="126" spans="3:20" s="23" customFormat="1" x14ac:dyDescent="0.2">
      <c r="C126" s="43"/>
      <c r="D126" s="43"/>
      <c r="E126" s="43"/>
      <c r="F126" s="43"/>
      <c r="G126" s="43"/>
      <c r="H126" s="48"/>
      <c r="I126" s="43"/>
      <c r="J126" s="43"/>
      <c r="K126" s="48"/>
      <c r="L126" s="43"/>
      <c r="M126" s="43"/>
      <c r="N126" s="48"/>
      <c r="O126" s="43"/>
      <c r="P126" s="43"/>
      <c r="Q126" s="48"/>
      <c r="R126" s="43"/>
      <c r="S126" s="43"/>
      <c r="T126" s="48"/>
    </row>
    <row r="127" spans="3:20" s="23" customFormat="1" x14ac:dyDescent="0.2">
      <c r="C127" s="43"/>
      <c r="D127" s="43"/>
      <c r="E127" s="43"/>
      <c r="F127" s="43"/>
      <c r="G127" s="43"/>
      <c r="H127" s="48"/>
      <c r="I127" s="43"/>
      <c r="J127" s="43"/>
      <c r="K127" s="48"/>
      <c r="L127" s="43"/>
      <c r="M127" s="43"/>
      <c r="N127" s="48"/>
      <c r="O127" s="43"/>
      <c r="P127" s="43"/>
      <c r="Q127" s="48"/>
      <c r="R127" s="43"/>
      <c r="S127" s="43"/>
      <c r="T127" s="48"/>
    </row>
    <row r="128" spans="3:20" s="23" customFormat="1" x14ac:dyDescent="0.2">
      <c r="C128" s="43"/>
      <c r="D128" s="43"/>
      <c r="E128" s="43"/>
      <c r="F128" s="43"/>
      <c r="G128" s="43"/>
      <c r="H128" s="48"/>
      <c r="I128" s="43"/>
      <c r="J128" s="43"/>
      <c r="K128" s="48"/>
      <c r="L128" s="43"/>
      <c r="M128" s="43"/>
      <c r="N128" s="48"/>
      <c r="O128" s="43"/>
      <c r="P128" s="43"/>
      <c r="Q128" s="48"/>
      <c r="R128" s="43"/>
      <c r="S128" s="43"/>
      <c r="T128" s="48"/>
    </row>
    <row r="129" spans="3:20" s="23" customFormat="1" x14ac:dyDescent="0.2">
      <c r="C129" s="43"/>
      <c r="D129" s="43"/>
      <c r="E129" s="43"/>
      <c r="F129" s="43"/>
      <c r="G129" s="43"/>
      <c r="H129" s="48"/>
      <c r="I129" s="43"/>
      <c r="J129" s="43"/>
      <c r="K129" s="48"/>
      <c r="L129" s="43"/>
      <c r="M129" s="43"/>
      <c r="N129" s="48"/>
      <c r="O129" s="43"/>
      <c r="P129" s="43"/>
      <c r="Q129" s="48"/>
      <c r="R129" s="43"/>
      <c r="S129" s="43"/>
      <c r="T129" s="48"/>
    </row>
    <row r="130" spans="3:20" s="23" customFormat="1" x14ac:dyDescent="0.2">
      <c r="C130" s="43"/>
      <c r="D130" s="43"/>
      <c r="E130" s="43"/>
      <c r="F130" s="43"/>
      <c r="G130" s="43"/>
      <c r="H130" s="48"/>
      <c r="I130" s="43"/>
      <c r="J130" s="43"/>
      <c r="K130" s="48"/>
      <c r="L130" s="43"/>
      <c r="M130" s="43"/>
      <c r="N130" s="48"/>
      <c r="O130" s="43"/>
      <c r="P130" s="43"/>
      <c r="Q130" s="48"/>
      <c r="R130" s="43"/>
      <c r="S130" s="43"/>
      <c r="T130" s="48"/>
    </row>
    <row r="131" spans="3:20" s="23" customFormat="1" x14ac:dyDescent="0.2">
      <c r="C131" s="43"/>
      <c r="D131" s="43"/>
      <c r="E131" s="43"/>
      <c r="F131" s="43"/>
      <c r="G131" s="43"/>
      <c r="H131" s="48"/>
      <c r="I131" s="43"/>
      <c r="J131" s="43"/>
      <c r="K131" s="48"/>
      <c r="L131" s="43"/>
      <c r="M131" s="43"/>
      <c r="N131" s="48"/>
      <c r="O131" s="43"/>
      <c r="P131" s="43"/>
      <c r="Q131" s="48"/>
      <c r="R131" s="43"/>
      <c r="S131" s="43"/>
      <c r="T131" s="48"/>
    </row>
    <row r="132" spans="3:20" s="23" customFormat="1" x14ac:dyDescent="0.2">
      <c r="C132" s="43"/>
      <c r="D132" s="43"/>
      <c r="E132" s="43"/>
      <c r="F132" s="43"/>
      <c r="G132" s="43"/>
      <c r="H132" s="48"/>
      <c r="I132" s="43"/>
      <c r="J132" s="43"/>
      <c r="K132" s="48"/>
      <c r="L132" s="43"/>
      <c r="M132" s="43"/>
      <c r="N132" s="48"/>
      <c r="O132" s="43"/>
      <c r="P132" s="43"/>
      <c r="Q132" s="48"/>
      <c r="R132" s="43"/>
      <c r="S132" s="43"/>
      <c r="T132" s="48"/>
    </row>
    <row r="133" spans="3:20" s="23" customFormat="1" x14ac:dyDescent="0.2">
      <c r="C133" s="43"/>
      <c r="D133" s="43"/>
      <c r="E133" s="43"/>
      <c r="F133" s="43"/>
      <c r="G133" s="43"/>
      <c r="H133" s="48"/>
      <c r="I133" s="43"/>
      <c r="J133" s="43"/>
      <c r="K133" s="48"/>
      <c r="L133" s="43"/>
      <c r="M133" s="43"/>
      <c r="N133" s="48"/>
      <c r="O133" s="43"/>
      <c r="P133" s="43"/>
      <c r="Q133" s="48"/>
      <c r="R133" s="43"/>
      <c r="S133" s="43"/>
      <c r="T133" s="48"/>
    </row>
    <row r="134" spans="3:20" s="23" customFormat="1" x14ac:dyDescent="0.2">
      <c r="C134" s="43"/>
      <c r="D134" s="43"/>
      <c r="E134" s="43"/>
      <c r="F134" s="43"/>
      <c r="G134" s="43"/>
      <c r="H134" s="48"/>
      <c r="I134" s="43"/>
      <c r="J134" s="43"/>
      <c r="K134" s="48"/>
      <c r="L134" s="43"/>
      <c r="M134" s="43"/>
      <c r="N134" s="48"/>
      <c r="O134" s="43"/>
      <c r="P134" s="43"/>
      <c r="Q134" s="48"/>
      <c r="R134" s="43"/>
      <c r="S134" s="43"/>
      <c r="T134" s="48"/>
    </row>
    <row r="135" spans="3:20" s="23" customFormat="1" x14ac:dyDescent="0.2">
      <c r="C135" s="43"/>
      <c r="D135" s="43"/>
      <c r="E135" s="43"/>
      <c r="F135" s="43"/>
      <c r="G135" s="43"/>
      <c r="H135" s="48"/>
      <c r="I135" s="43"/>
      <c r="J135" s="43"/>
      <c r="K135" s="48"/>
      <c r="L135" s="43"/>
      <c r="M135" s="43"/>
      <c r="N135" s="48"/>
      <c r="O135" s="43"/>
      <c r="P135" s="43"/>
      <c r="Q135" s="48"/>
      <c r="R135" s="43"/>
      <c r="S135" s="43"/>
      <c r="T135" s="48"/>
    </row>
    <row r="136" spans="3:20" s="23" customFormat="1" x14ac:dyDescent="0.2">
      <c r="C136" s="43"/>
      <c r="D136" s="43"/>
      <c r="E136" s="43"/>
      <c r="F136" s="43"/>
      <c r="G136" s="43"/>
      <c r="H136" s="48"/>
      <c r="I136" s="43"/>
      <c r="J136" s="43"/>
      <c r="K136" s="48"/>
      <c r="L136" s="43"/>
      <c r="M136" s="43"/>
      <c r="N136" s="48"/>
      <c r="O136" s="43"/>
      <c r="P136" s="43"/>
      <c r="Q136" s="48"/>
      <c r="R136" s="43"/>
      <c r="S136" s="43"/>
      <c r="T136" s="48"/>
    </row>
    <row r="137" spans="3:20" s="23" customFormat="1" x14ac:dyDescent="0.2">
      <c r="C137" s="43"/>
      <c r="D137" s="43"/>
      <c r="E137" s="43"/>
      <c r="F137" s="43"/>
      <c r="G137" s="43"/>
      <c r="H137" s="48"/>
      <c r="I137" s="43"/>
      <c r="J137" s="43"/>
      <c r="K137" s="48"/>
      <c r="L137" s="43"/>
      <c r="M137" s="43"/>
      <c r="N137" s="48"/>
      <c r="O137" s="43"/>
      <c r="P137" s="43"/>
      <c r="Q137" s="48"/>
      <c r="R137" s="43"/>
      <c r="S137" s="43"/>
      <c r="T137" s="48"/>
    </row>
    <row r="138" spans="3:20" s="23" customFormat="1" x14ac:dyDescent="0.2">
      <c r="C138" s="43"/>
      <c r="D138" s="43"/>
      <c r="E138" s="43"/>
      <c r="F138" s="43"/>
      <c r="G138" s="43"/>
      <c r="H138" s="48"/>
      <c r="I138" s="43"/>
      <c r="J138" s="43"/>
      <c r="K138" s="48"/>
      <c r="L138" s="43"/>
      <c r="M138" s="43"/>
      <c r="N138" s="48"/>
      <c r="O138" s="43"/>
      <c r="P138" s="43"/>
      <c r="Q138" s="48"/>
      <c r="R138" s="43"/>
      <c r="S138" s="43"/>
      <c r="T138" s="48"/>
    </row>
    <row r="139" spans="3:20" s="23" customFormat="1" x14ac:dyDescent="0.2">
      <c r="C139" s="43"/>
      <c r="D139" s="43"/>
      <c r="E139" s="43"/>
      <c r="F139" s="43"/>
      <c r="G139" s="43"/>
      <c r="H139" s="48"/>
      <c r="I139" s="43"/>
      <c r="J139" s="43"/>
      <c r="K139" s="48"/>
      <c r="L139" s="43"/>
      <c r="M139" s="43"/>
      <c r="N139" s="48"/>
      <c r="O139" s="43"/>
      <c r="P139" s="43"/>
      <c r="Q139" s="48"/>
      <c r="R139" s="43"/>
      <c r="S139" s="43"/>
      <c r="T139" s="48"/>
    </row>
    <row r="140" spans="3:20" s="23" customFormat="1" x14ac:dyDescent="0.2">
      <c r="C140" s="43"/>
      <c r="D140" s="43"/>
      <c r="E140" s="43"/>
      <c r="F140" s="43"/>
      <c r="G140" s="43"/>
      <c r="H140" s="48"/>
      <c r="I140" s="43"/>
      <c r="J140" s="43"/>
      <c r="K140" s="48"/>
      <c r="L140" s="43"/>
      <c r="M140" s="43"/>
      <c r="N140" s="48"/>
      <c r="O140" s="43"/>
      <c r="P140" s="43"/>
      <c r="Q140" s="48"/>
      <c r="R140" s="43"/>
      <c r="S140" s="43"/>
      <c r="T140" s="48"/>
    </row>
    <row r="141" spans="3:20" s="23" customFormat="1" x14ac:dyDescent="0.2">
      <c r="C141" s="43"/>
      <c r="D141" s="43"/>
      <c r="E141" s="43"/>
      <c r="F141" s="43"/>
      <c r="G141" s="43"/>
      <c r="H141" s="48"/>
      <c r="I141" s="43"/>
      <c r="J141" s="43"/>
      <c r="K141" s="48"/>
      <c r="L141" s="43"/>
      <c r="M141" s="43"/>
      <c r="N141" s="48"/>
      <c r="O141" s="43"/>
      <c r="P141" s="43"/>
      <c r="Q141" s="48"/>
      <c r="R141" s="43"/>
      <c r="S141" s="43"/>
      <c r="T141" s="48"/>
    </row>
    <row r="142" spans="3:20" s="23" customFormat="1" x14ac:dyDescent="0.2">
      <c r="C142" s="43"/>
      <c r="D142" s="43"/>
      <c r="E142" s="43"/>
      <c r="F142" s="43"/>
      <c r="G142" s="43"/>
      <c r="H142" s="48"/>
      <c r="I142" s="43"/>
      <c r="J142" s="43"/>
      <c r="K142" s="48"/>
      <c r="L142" s="43"/>
      <c r="M142" s="43"/>
      <c r="N142" s="48"/>
      <c r="O142" s="43"/>
      <c r="P142" s="43"/>
      <c r="Q142" s="48"/>
      <c r="R142" s="43"/>
      <c r="S142" s="43"/>
      <c r="T142" s="48"/>
    </row>
    <row r="143" spans="3:20" s="23" customFormat="1" x14ac:dyDescent="0.2">
      <c r="C143" s="43"/>
      <c r="D143" s="43"/>
      <c r="E143" s="43"/>
      <c r="F143" s="43"/>
      <c r="G143" s="43"/>
      <c r="H143" s="48"/>
      <c r="I143" s="43"/>
      <c r="J143" s="43"/>
      <c r="K143" s="48"/>
      <c r="L143" s="43"/>
      <c r="M143" s="43"/>
      <c r="N143" s="48"/>
      <c r="O143" s="43"/>
      <c r="P143" s="43"/>
      <c r="Q143" s="48"/>
      <c r="R143" s="43"/>
      <c r="S143" s="43"/>
      <c r="T143" s="48"/>
    </row>
    <row r="144" spans="3:20" s="23" customFormat="1" x14ac:dyDescent="0.2">
      <c r="C144" s="43"/>
      <c r="D144" s="43"/>
      <c r="E144" s="43"/>
      <c r="F144" s="43"/>
      <c r="G144" s="43"/>
      <c r="H144" s="48"/>
      <c r="I144" s="43"/>
      <c r="J144" s="43"/>
      <c r="K144" s="48"/>
      <c r="L144" s="43"/>
      <c r="M144" s="43"/>
      <c r="N144" s="48"/>
      <c r="O144" s="43"/>
      <c r="P144" s="43"/>
      <c r="Q144" s="48"/>
      <c r="R144" s="43"/>
      <c r="S144" s="43"/>
      <c r="T144" s="48"/>
    </row>
    <row r="145" spans="3:20" s="23" customFormat="1" x14ac:dyDescent="0.2">
      <c r="C145" s="43"/>
      <c r="D145" s="43"/>
      <c r="E145" s="43"/>
      <c r="F145" s="43"/>
      <c r="G145" s="43"/>
      <c r="H145" s="48"/>
      <c r="I145" s="43"/>
      <c r="J145" s="43"/>
      <c r="K145" s="48"/>
      <c r="L145" s="43"/>
      <c r="M145" s="43"/>
      <c r="N145" s="48"/>
      <c r="O145" s="43"/>
      <c r="P145" s="43"/>
      <c r="Q145" s="48"/>
      <c r="R145" s="43"/>
      <c r="S145" s="43"/>
      <c r="T145" s="48"/>
    </row>
    <row r="146" spans="3:20" s="23" customFormat="1" x14ac:dyDescent="0.2">
      <c r="C146" s="43"/>
      <c r="D146" s="43"/>
      <c r="E146" s="43"/>
      <c r="F146" s="43"/>
      <c r="G146" s="43"/>
      <c r="H146" s="48"/>
      <c r="I146" s="43"/>
      <c r="J146" s="43"/>
      <c r="K146" s="48"/>
      <c r="L146" s="43"/>
      <c r="M146" s="43"/>
      <c r="N146" s="48"/>
      <c r="O146" s="43"/>
      <c r="P146" s="43"/>
      <c r="Q146" s="48"/>
      <c r="R146" s="43"/>
      <c r="S146" s="43"/>
      <c r="T146" s="48"/>
    </row>
    <row r="147" spans="3:20" s="23" customFormat="1" x14ac:dyDescent="0.2">
      <c r="C147" s="43"/>
      <c r="D147" s="43"/>
      <c r="E147" s="43"/>
      <c r="F147" s="43"/>
      <c r="G147" s="43"/>
      <c r="H147" s="48"/>
      <c r="I147" s="43"/>
      <c r="J147" s="43"/>
      <c r="K147" s="48"/>
      <c r="L147" s="43"/>
      <c r="M147" s="43"/>
      <c r="N147" s="48"/>
      <c r="O147" s="43"/>
      <c r="P147" s="43"/>
      <c r="Q147" s="48"/>
      <c r="R147" s="43"/>
      <c r="S147" s="43"/>
      <c r="T147" s="48"/>
    </row>
    <row r="148" spans="3:20" s="23" customFormat="1" x14ac:dyDescent="0.2">
      <c r="C148" s="43"/>
      <c r="D148" s="43"/>
      <c r="E148" s="43"/>
      <c r="F148" s="43"/>
      <c r="G148" s="43"/>
      <c r="H148" s="48"/>
      <c r="I148" s="43"/>
      <c r="J148" s="43"/>
      <c r="K148" s="48"/>
      <c r="L148" s="43"/>
      <c r="M148" s="43"/>
      <c r="N148" s="48"/>
      <c r="O148" s="43"/>
      <c r="P148" s="43"/>
      <c r="Q148" s="48"/>
      <c r="R148" s="43"/>
      <c r="S148" s="43"/>
      <c r="T148" s="48"/>
    </row>
    <row r="149" spans="3:20" s="23" customFormat="1" x14ac:dyDescent="0.2">
      <c r="C149" s="43"/>
      <c r="D149" s="43"/>
      <c r="E149" s="43"/>
      <c r="F149" s="43"/>
      <c r="G149" s="43"/>
      <c r="H149" s="48"/>
      <c r="I149" s="43"/>
      <c r="J149" s="43"/>
      <c r="K149" s="48"/>
      <c r="L149" s="43"/>
      <c r="M149" s="43"/>
      <c r="N149" s="48"/>
      <c r="O149" s="43"/>
      <c r="P149" s="43"/>
      <c r="Q149" s="48"/>
      <c r="R149" s="43"/>
      <c r="S149" s="43"/>
      <c r="T149" s="48"/>
    </row>
    <row r="150" spans="3:20" s="23" customFormat="1" x14ac:dyDescent="0.2">
      <c r="C150" s="43"/>
      <c r="D150" s="43"/>
      <c r="E150" s="43"/>
      <c r="F150" s="43"/>
      <c r="G150" s="43"/>
      <c r="H150" s="48"/>
      <c r="I150" s="43"/>
      <c r="J150" s="43"/>
      <c r="K150" s="48"/>
      <c r="L150" s="43"/>
      <c r="M150" s="43"/>
      <c r="N150" s="48"/>
      <c r="O150" s="43"/>
      <c r="P150" s="43"/>
      <c r="Q150" s="48"/>
      <c r="R150" s="43"/>
      <c r="S150" s="43"/>
      <c r="T150" s="48"/>
    </row>
    <row r="151" spans="3:20" s="23" customFormat="1" x14ac:dyDescent="0.2">
      <c r="C151" s="43"/>
      <c r="D151" s="43"/>
      <c r="E151" s="43"/>
      <c r="F151" s="43"/>
      <c r="G151" s="43"/>
      <c r="H151" s="48"/>
      <c r="I151" s="43"/>
      <c r="J151" s="43"/>
      <c r="K151" s="48"/>
      <c r="L151" s="43"/>
      <c r="M151" s="43"/>
      <c r="N151" s="48"/>
      <c r="O151" s="43"/>
      <c r="P151" s="43"/>
      <c r="Q151" s="48"/>
      <c r="R151" s="43"/>
      <c r="S151" s="43"/>
      <c r="T151" s="48"/>
    </row>
    <row r="152" spans="3:20" s="23" customFormat="1" x14ac:dyDescent="0.2">
      <c r="C152" s="43"/>
      <c r="D152" s="43"/>
      <c r="E152" s="43"/>
      <c r="F152" s="43"/>
      <c r="G152" s="43"/>
      <c r="H152" s="48"/>
      <c r="I152" s="43"/>
      <c r="J152" s="43"/>
      <c r="K152" s="48"/>
      <c r="L152" s="43"/>
      <c r="M152" s="43"/>
      <c r="N152" s="48"/>
      <c r="O152" s="43"/>
      <c r="P152" s="43"/>
      <c r="Q152" s="48"/>
      <c r="R152" s="43"/>
      <c r="S152" s="43"/>
      <c r="T152" s="48"/>
    </row>
    <row r="153" spans="3:20" s="23" customFormat="1" x14ac:dyDescent="0.2">
      <c r="C153" s="43"/>
      <c r="D153" s="43"/>
      <c r="E153" s="43"/>
      <c r="F153" s="43"/>
      <c r="G153" s="43"/>
      <c r="H153" s="48"/>
      <c r="I153" s="43"/>
      <c r="J153" s="43"/>
      <c r="K153" s="48"/>
      <c r="L153" s="43"/>
      <c r="M153" s="43"/>
      <c r="N153" s="48"/>
      <c r="O153" s="43"/>
      <c r="P153" s="43"/>
      <c r="Q153" s="48"/>
      <c r="R153" s="43"/>
      <c r="S153" s="43"/>
      <c r="T153" s="48"/>
    </row>
    <row r="154" spans="3:20" s="23" customFormat="1" x14ac:dyDescent="0.2">
      <c r="C154" s="43"/>
      <c r="D154" s="43"/>
      <c r="E154" s="43"/>
      <c r="F154" s="43"/>
      <c r="G154" s="43"/>
      <c r="H154" s="48"/>
      <c r="I154" s="43"/>
      <c r="J154" s="43"/>
      <c r="K154" s="48"/>
      <c r="L154" s="43"/>
      <c r="M154" s="43"/>
      <c r="N154" s="48"/>
      <c r="O154" s="43"/>
      <c r="P154" s="43"/>
      <c r="Q154" s="48"/>
      <c r="R154" s="43"/>
      <c r="S154" s="43"/>
      <c r="T154" s="48"/>
    </row>
    <row r="155" spans="3:20" s="23" customFormat="1" x14ac:dyDescent="0.2">
      <c r="C155" s="43"/>
      <c r="D155" s="43"/>
      <c r="E155" s="43"/>
      <c r="F155" s="43"/>
      <c r="G155" s="43"/>
      <c r="H155" s="48"/>
      <c r="I155" s="43"/>
      <c r="J155" s="43"/>
      <c r="K155" s="48"/>
      <c r="L155" s="43"/>
      <c r="M155" s="43"/>
      <c r="N155" s="48"/>
      <c r="O155" s="43"/>
      <c r="P155" s="43"/>
      <c r="Q155" s="48"/>
      <c r="R155" s="43"/>
      <c r="S155" s="43"/>
      <c r="T155" s="48"/>
    </row>
    <row r="156" spans="3:20" s="23" customFormat="1" x14ac:dyDescent="0.2">
      <c r="C156" s="43"/>
      <c r="D156" s="43"/>
      <c r="E156" s="43"/>
      <c r="F156" s="43"/>
      <c r="G156" s="43"/>
      <c r="H156" s="48"/>
      <c r="I156" s="43"/>
      <c r="J156" s="43"/>
      <c r="K156" s="48"/>
      <c r="L156" s="43"/>
      <c r="M156" s="43"/>
      <c r="N156" s="48"/>
      <c r="O156" s="43"/>
      <c r="P156" s="43"/>
      <c r="Q156" s="48"/>
      <c r="R156" s="43"/>
      <c r="S156" s="43"/>
      <c r="T156" s="48"/>
    </row>
    <row r="157" spans="3:20" s="23" customFormat="1" x14ac:dyDescent="0.2">
      <c r="C157" s="43"/>
      <c r="D157" s="43"/>
      <c r="E157" s="43"/>
      <c r="F157" s="43"/>
      <c r="G157" s="43"/>
      <c r="H157" s="48"/>
      <c r="I157" s="43"/>
      <c r="J157" s="43"/>
      <c r="K157" s="48"/>
      <c r="L157" s="43"/>
      <c r="M157" s="43"/>
      <c r="N157" s="48"/>
      <c r="O157" s="43"/>
      <c r="P157" s="43"/>
      <c r="Q157" s="48"/>
      <c r="R157" s="43"/>
      <c r="S157" s="43"/>
      <c r="T157" s="48"/>
    </row>
    <row r="158" spans="3:20" s="23" customFormat="1" x14ac:dyDescent="0.2">
      <c r="C158" s="43"/>
      <c r="D158" s="43"/>
      <c r="E158" s="43"/>
      <c r="F158" s="43"/>
      <c r="G158" s="43"/>
      <c r="H158" s="48"/>
      <c r="I158" s="43"/>
      <c r="J158" s="43"/>
      <c r="K158" s="48"/>
      <c r="L158" s="43"/>
      <c r="M158" s="43"/>
      <c r="N158" s="48"/>
      <c r="O158" s="43"/>
      <c r="P158" s="43"/>
      <c r="Q158" s="48"/>
      <c r="R158" s="43"/>
      <c r="S158" s="43"/>
      <c r="T158" s="48"/>
    </row>
    <row r="159" spans="3:20" s="23" customFormat="1" x14ac:dyDescent="0.2">
      <c r="C159" s="43"/>
      <c r="D159" s="43"/>
      <c r="E159" s="43"/>
      <c r="F159" s="43"/>
      <c r="G159" s="43"/>
      <c r="H159" s="48"/>
      <c r="I159" s="43"/>
      <c r="J159" s="43"/>
      <c r="K159" s="48"/>
      <c r="L159" s="43"/>
      <c r="M159" s="43"/>
      <c r="N159" s="48"/>
      <c r="O159" s="43"/>
      <c r="P159" s="43"/>
      <c r="Q159" s="48"/>
      <c r="R159" s="43"/>
      <c r="S159" s="43"/>
      <c r="T159" s="48"/>
    </row>
    <row r="160" spans="3:20" s="23" customFormat="1" x14ac:dyDescent="0.2">
      <c r="C160" s="43"/>
      <c r="D160" s="43"/>
      <c r="E160" s="43"/>
      <c r="F160" s="43"/>
      <c r="G160" s="43"/>
      <c r="H160" s="48"/>
      <c r="I160" s="43"/>
      <c r="J160" s="43"/>
      <c r="K160" s="48"/>
      <c r="L160" s="43"/>
      <c r="M160" s="43"/>
      <c r="N160" s="48"/>
      <c r="O160" s="43"/>
      <c r="P160" s="43"/>
      <c r="Q160" s="48"/>
      <c r="R160" s="43"/>
      <c r="S160" s="43"/>
      <c r="T160" s="48"/>
    </row>
    <row r="161" spans="3:20" s="23" customFormat="1" x14ac:dyDescent="0.2">
      <c r="C161" s="43"/>
      <c r="D161" s="43"/>
      <c r="E161" s="43"/>
      <c r="F161" s="43"/>
      <c r="G161" s="43"/>
      <c r="H161" s="48"/>
      <c r="I161" s="43"/>
      <c r="J161" s="43"/>
      <c r="K161" s="48"/>
      <c r="L161" s="43"/>
      <c r="M161" s="43"/>
      <c r="N161" s="48"/>
      <c r="O161" s="43"/>
      <c r="P161" s="43"/>
      <c r="Q161" s="48"/>
      <c r="R161" s="43"/>
      <c r="S161" s="43"/>
      <c r="T161" s="48"/>
    </row>
    <row r="162" spans="3:20" s="23" customFormat="1" x14ac:dyDescent="0.2">
      <c r="E162" s="49"/>
      <c r="H162" s="45"/>
      <c r="K162" s="45"/>
      <c r="N162" s="45"/>
      <c r="Q162" s="45"/>
      <c r="T162" s="45"/>
    </row>
    <row r="163" spans="3:20" s="23" customFormat="1" x14ac:dyDescent="0.2">
      <c r="H163" s="45"/>
      <c r="K163" s="45"/>
      <c r="N163" s="45"/>
      <c r="Q163" s="45"/>
      <c r="T163" s="45"/>
    </row>
    <row r="164" spans="3:20" s="23" customFormat="1" x14ac:dyDescent="0.2">
      <c r="H164" s="45"/>
      <c r="K164" s="45"/>
      <c r="N164" s="45"/>
      <c r="Q164" s="45"/>
      <c r="T164" s="45"/>
    </row>
    <row r="165" spans="3:20" s="23" customFormat="1" x14ac:dyDescent="0.2">
      <c r="H165" s="45"/>
      <c r="K165" s="45"/>
      <c r="N165" s="45"/>
      <c r="Q165" s="45"/>
      <c r="T165" s="45"/>
    </row>
    <row r="166" spans="3:20" s="23" customFormat="1" x14ac:dyDescent="0.2">
      <c r="H166" s="45"/>
      <c r="K166" s="45"/>
      <c r="N166" s="45"/>
      <c r="Q166" s="45"/>
      <c r="T166" s="45"/>
    </row>
    <row r="167" spans="3:20" s="23" customFormat="1" x14ac:dyDescent="0.2">
      <c r="H167" s="45"/>
      <c r="K167" s="45"/>
      <c r="N167" s="45"/>
      <c r="Q167" s="45"/>
      <c r="T167" s="45"/>
    </row>
    <row r="168" spans="3:20" s="23" customFormat="1" x14ac:dyDescent="0.2">
      <c r="H168" s="45"/>
      <c r="K168" s="45"/>
      <c r="N168" s="45"/>
      <c r="Q168" s="45"/>
      <c r="T168" s="45"/>
    </row>
    <row r="169" spans="3:20" s="23" customFormat="1" x14ac:dyDescent="0.2">
      <c r="H169" s="45"/>
      <c r="K169" s="45"/>
      <c r="N169" s="45"/>
      <c r="Q169" s="45"/>
      <c r="T169" s="45"/>
    </row>
    <row r="170" spans="3:20" s="23" customFormat="1" x14ac:dyDescent="0.2">
      <c r="H170" s="45"/>
      <c r="K170" s="45"/>
      <c r="N170" s="45"/>
      <c r="Q170" s="45"/>
      <c r="T170" s="45"/>
    </row>
    <row r="171" spans="3:20" s="23" customFormat="1" x14ac:dyDescent="0.2">
      <c r="H171" s="45"/>
      <c r="K171" s="45"/>
      <c r="N171" s="45"/>
      <c r="Q171" s="45"/>
      <c r="T171" s="45"/>
    </row>
    <row r="172" spans="3:20" s="23" customFormat="1" x14ac:dyDescent="0.2">
      <c r="H172" s="45"/>
      <c r="K172" s="45"/>
      <c r="N172" s="45"/>
      <c r="Q172" s="45"/>
      <c r="T172" s="45"/>
    </row>
    <row r="173" spans="3:20" s="23" customFormat="1" x14ac:dyDescent="0.2">
      <c r="H173" s="45"/>
      <c r="K173" s="45"/>
      <c r="N173" s="45"/>
      <c r="Q173" s="45"/>
      <c r="T173" s="45"/>
    </row>
    <row r="174" spans="3:20" s="23" customFormat="1" x14ac:dyDescent="0.2">
      <c r="H174" s="45"/>
      <c r="K174" s="45"/>
      <c r="N174" s="45"/>
      <c r="Q174" s="45"/>
      <c r="T174" s="45"/>
    </row>
    <row r="175" spans="3:20" s="23" customFormat="1" x14ac:dyDescent="0.2">
      <c r="H175" s="45"/>
      <c r="K175" s="45"/>
      <c r="N175" s="45"/>
      <c r="Q175" s="45"/>
      <c r="T175" s="45"/>
    </row>
    <row r="176" spans="3:20" s="23" customFormat="1" x14ac:dyDescent="0.2">
      <c r="H176" s="45"/>
      <c r="K176" s="45"/>
      <c r="N176" s="45"/>
      <c r="Q176" s="45"/>
      <c r="T176" s="45"/>
    </row>
    <row r="177" spans="8:20" s="23" customFormat="1" x14ac:dyDescent="0.2">
      <c r="H177" s="45"/>
      <c r="K177" s="45"/>
      <c r="N177" s="45"/>
      <c r="Q177" s="45"/>
      <c r="T177" s="45"/>
    </row>
    <row r="178" spans="8:20" s="23" customFormat="1" x14ac:dyDescent="0.2">
      <c r="H178" s="45"/>
      <c r="K178" s="45"/>
      <c r="N178" s="45"/>
      <c r="Q178" s="45"/>
      <c r="T178" s="45"/>
    </row>
    <row r="179" spans="8:20" s="23" customFormat="1" x14ac:dyDescent="0.2">
      <c r="H179" s="45"/>
      <c r="K179" s="45"/>
      <c r="N179" s="45"/>
      <c r="Q179" s="45"/>
      <c r="T179" s="45"/>
    </row>
    <row r="180" spans="8:20" s="23" customFormat="1" x14ac:dyDescent="0.2">
      <c r="H180" s="45"/>
      <c r="K180" s="45"/>
      <c r="N180" s="45"/>
      <c r="Q180" s="45"/>
      <c r="T180" s="45"/>
    </row>
    <row r="181" spans="8:20" s="23" customFormat="1" x14ac:dyDescent="0.2">
      <c r="H181" s="45"/>
      <c r="K181" s="45"/>
      <c r="N181" s="45"/>
      <c r="Q181" s="45"/>
      <c r="T181" s="45"/>
    </row>
    <row r="182" spans="8:20" s="23" customFormat="1" x14ac:dyDescent="0.2">
      <c r="H182" s="45"/>
      <c r="K182" s="45"/>
      <c r="N182" s="45"/>
      <c r="Q182" s="45"/>
      <c r="T182" s="45"/>
    </row>
    <row r="183" spans="8:20" s="23" customFormat="1" x14ac:dyDescent="0.2">
      <c r="H183" s="45"/>
      <c r="K183" s="45"/>
      <c r="N183" s="45"/>
      <c r="Q183" s="45"/>
      <c r="T183" s="45"/>
    </row>
    <row r="184" spans="8:20" s="23" customFormat="1" x14ac:dyDescent="0.2">
      <c r="H184" s="45"/>
      <c r="K184" s="45"/>
      <c r="N184" s="45"/>
      <c r="Q184" s="45"/>
      <c r="T184" s="45"/>
    </row>
    <row r="185" spans="8:20" s="23" customFormat="1" x14ac:dyDescent="0.2">
      <c r="H185" s="45"/>
      <c r="K185" s="45"/>
      <c r="N185" s="45"/>
      <c r="Q185" s="45"/>
      <c r="T185" s="45"/>
    </row>
    <row r="186" spans="8:20" s="23" customFormat="1" x14ac:dyDescent="0.2">
      <c r="H186" s="45"/>
      <c r="K186" s="45"/>
      <c r="N186" s="45"/>
      <c r="Q186" s="45"/>
      <c r="T186" s="45"/>
    </row>
    <row r="187" spans="8:20" s="23" customFormat="1" x14ac:dyDescent="0.2">
      <c r="H187" s="45"/>
      <c r="K187" s="45"/>
      <c r="N187" s="45"/>
      <c r="Q187" s="45"/>
      <c r="T187" s="45"/>
    </row>
    <row r="188" spans="8:20" s="23" customFormat="1" x14ac:dyDescent="0.2">
      <c r="H188" s="45"/>
      <c r="K188" s="45"/>
      <c r="N188" s="45"/>
      <c r="Q188" s="45"/>
      <c r="T188" s="45"/>
    </row>
    <row r="189" spans="8:20" s="23" customFormat="1" x14ac:dyDescent="0.2">
      <c r="H189" s="45"/>
      <c r="K189" s="45"/>
      <c r="N189" s="45"/>
      <c r="Q189" s="45"/>
      <c r="T189" s="45"/>
    </row>
    <row r="190" spans="8:20" s="23" customFormat="1" x14ac:dyDescent="0.2">
      <c r="H190" s="45"/>
      <c r="K190" s="45"/>
      <c r="N190" s="45"/>
      <c r="Q190" s="45"/>
      <c r="T190" s="45"/>
    </row>
    <row r="191" spans="8:20" s="23" customFormat="1" x14ac:dyDescent="0.2">
      <c r="H191" s="45"/>
      <c r="K191" s="45"/>
      <c r="N191" s="45"/>
      <c r="Q191" s="45"/>
      <c r="T191" s="45"/>
    </row>
    <row r="192" spans="8:20" s="23" customFormat="1" x14ac:dyDescent="0.2">
      <c r="H192" s="45"/>
      <c r="K192" s="45"/>
      <c r="N192" s="45"/>
      <c r="Q192" s="45"/>
      <c r="T192" s="45"/>
    </row>
    <row r="193" spans="8:20" s="23" customFormat="1" x14ac:dyDescent="0.2">
      <c r="H193" s="45"/>
      <c r="K193" s="45"/>
      <c r="N193" s="45"/>
      <c r="Q193" s="45"/>
      <c r="T193" s="45"/>
    </row>
    <row r="194" spans="8:20" s="23" customFormat="1" x14ac:dyDescent="0.2">
      <c r="H194" s="45"/>
      <c r="K194" s="45"/>
      <c r="N194" s="45"/>
      <c r="Q194" s="45"/>
      <c r="T194" s="45"/>
    </row>
    <row r="195" spans="8:20" s="23" customFormat="1" x14ac:dyDescent="0.2">
      <c r="H195" s="45"/>
      <c r="K195" s="45"/>
      <c r="N195" s="45"/>
      <c r="Q195" s="45"/>
      <c r="T195" s="45"/>
    </row>
    <row r="196" spans="8:20" s="23" customFormat="1" x14ac:dyDescent="0.2">
      <c r="H196" s="45"/>
      <c r="K196" s="45"/>
      <c r="N196" s="45"/>
      <c r="Q196" s="45"/>
      <c r="T196" s="45"/>
    </row>
    <row r="197" spans="8:20" s="23" customFormat="1" x14ac:dyDescent="0.2">
      <c r="H197" s="45"/>
      <c r="K197" s="45"/>
      <c r="N197" s="45"/>
      <c r="Q197" s="45"/>
      <c r="T197" s="45"/>
    </row>
    <row r="198" spans="8:20" s="23" customFormat="1" x14ac:dyDescent="0.2">
      <c r="H198" s="45"/>
      <c r="K198" s="45"/>
      <c r="N198" s="45"/>
      <c r="Q198" s="45"/>
      <c r="T198" s="45"/>
    </row>
    <row r="199" spans="8:20" s="23" customFormat="1" x14ac:dyDescent="0.2">
      <c r="H199" s="45"/>
      <c r="K199" s="45"/>
      <c r="N199" s="45"/>
      <c r="Q199" s="45"/>
      <c r="T199" s="45"/>
    </row>
    <row r="200" spans="8:20" s="23" customFormat="1" x14ac:dyDescent="0.2">
      <c r="H200" s="45"/>
      <c r="K200" s="45"/>
      <c r="N200" s="45"/>
      <c r="Q200" s="45"/>
      <c r="T200" s="45"/>
    </row>
    <row r="201" spans="8:20" s="23" customFormat="1" x14ac:dyDescent="0.2">
      <c r="H201" s="45"/>
      <c r="K201" s="45"/>
      <c r="N201" s="45"/>
      <c r="Q201" s="45"/>
      <c r="T201" s="45"/>
    </row>
    <row r="202" spans="8:20" s="23" customFormat="1" x14ac:dyDescent="0.2">
      <c r="H202" s="45"/>
      <c r="K202" s="45"/>
      <c r="N202" s="45"/>
      <c r="Q202" s="45"/>
      <c r="T202" s="45"/>
    </row>
    <row r="203" spans="8:20" s="23" customFormat="1" x14ac:dyDescent="0.2">
      <c r="H203" s="45"/>
      <c r="K203" s="45"/>
      <c r="N203" s="45"/>
      <c r="Q203" s="45"/>
      <c r="T203" s="45"/>
    </row>
    <row r="204" spans="8:20" s="23" customFormat="1" x14ac:dyDescent="0.2">
      <c r="H204" s="45"/>
      <c r="K204" s="45"/>
      <c r="N204" s="45"/>
      <c r="Q204" s="45"/>
      <c r="T204" s="45"/>
    </row>
    <row r="205" spans="8:20" s="23" customFormat="1" x14ac:dyDescent="0.2">
      <c r="H205" s="45"/>
      <c r="K205" s="45"/>
      <c r="N205" s="45"/>
      <c r="Q205" s="45"/>
      <c r="T205" s="45"/>
    </row>
    <row r="206" spans="8:20" s="23" customFormat="1" x14ac:dyDescent="0.2">
      <c r="H206" s="45"/>
      <c r="K206" s="45"/>
      <c r="N206" s="45"/>
      <c r="Q206" s="45"/>
      <c r="T206" s="45"/>
    </row>
    <row r="207" spans="8:20" s="23" customFormat="1" x14ac:dyDescent="0.2">
      <c r="H207" s="45"/>
      <c r="K207" s="45"/>
      <c r="N207" s="45"/>
      <c r="Q207" s="45"/>
      <c r="T207" s="45"/>
    </row>
    <row r="208" spans="8:20" s="23" customFormat="1" x14ac:dyDescent="0.2">
      <c r="H208" s="45"/>
      <c r="K208" s="45"/>
      <c r="N208" s="45"/>
      <c r="Q208" s="45"/>
      <c r="T208" s="45"/>
    </row>
    <row r="209" spans="8:20" s="23" customFormat="1" x14ac:dyDescent="0.2">
      <c r="H209" s="45"/>
      <c r="K209" s="45"/>
      <c r="N209" s="45"/>
      <c r="Q209" s="45"/>
      <c r="T209" s="45"/>
    </row>
    <row r="210" spans="8:20" s="23" customFormat="1" x14ac:dyDescent="0.2">
      <c r="H210" s="45"/>
      <c r="K210" s="45"/>
      <c r="N210" s="45"/>
      <c r="Q210" s="45"/>
      <c r="T210" s="45"/>
    </row>
    <row r="211" spans="8:20" s="23" customFormat="1" x14ac:dyDescent="0.2">
      <c r="H211" s="45"/>
      <c r="K211" s="45"/>
      <c r="N211" s="45"/>
      <c r="Q211" s="45"/>
      <c r="T211" s="45"/>
    </row>
    <row r="212" spans="8:20" s="23" customFormat="1" x14ac:dyDescent="0.2">
      <c r="H212" s="45"/>
      <c r="K212" s="45"/>
      <c r="N212" s="45"/>
      <c r="Q212" s="45"/>
      <c r="T212" s="45"/>
    </row>
    <row r="213" spans="8:20" s="23" customFormat="1" x14ac:dyDescent="0.2">
      <c r="H213" s="45"/>
      <c r="K213" s="45"/>
      <c r="N213" s="45"/>
      <c r="Q213" s="45"/>
      <c r="T213" s="45"/>
    </row>
    <row r="214" spans="8:20" s="23" customFormat="1" x14ac:dyDescent="0.2">
      <c r="H214" s="45"/>
      <c r="K214" s="45"/>
      <c r="N214" s="45"/>
      <c r="Q214" s="45"/>
      <c r="T214" s="45"/>
    </row>
    <row r="215" spans="8:20" s="23" customFormat="1" x14ac:dyDescent="0.2">
      <c r="H215" s="45"/>
      <c r="K215" s="45"/>
      <c r="N215" s="45"/>
      <c r="Q215" s="45"/>
      <c r="T215" s="45"/>
    </row>
    <row r="216" spans="8:20" s="23" customFormat="1" x14ac:dyDescent="0.2">
      <c r="H216" s="45"/>
      <c r="K216" s="45"/>
      <c r="N216" s="45"/>
      <c r="Q216" s="45"/>
      <c r="T216" s="45"/>
    </row>
    <row r="217" spans="8:20" s="23" customFormat="1" x14ac:dyDescent="0.2">
      <c r="H217" s="45"/>
      <c r="K217" s="45"/>
      <c r="N217" s="45"/>
      <c r="Q217" s="45"/>
      <c r="T217" s="45"/>
    </row>
    <row r="218" spans="8:20" s="23" customFormat="1" x14ac:dyDescent="0.2">
      <c r="H218" s="45"/>
      <c r="K218" s="45"/>
      <c r="N218" s="45"/>
      <c r="Q218" s="45"/>
      <c r="T218" s="45"/>
    </row>
    <row r="219" spans="8:20" s="23" customFormat="1" x14ac:dyDescent="0.2">
      <c r="H219" s="45"/>
      <c r="K219" s="45"/>
      <c r="N219" s="45"/>
      <c r="Q219" s="45"/>
      <c r="T219" s="45"/>
    </row>
    <row r="220" spans="8:20" s="23" customFormat="1" x14ac:dyDescent="0.2">
      <c r="H220" s="45"/>
      <c r="K220" s="45"/>
      <c r="N220" s="45"/>
      <c r="Q220" s="45"/>
      <c r="T220" s="45"/>
    </row>
    <row r="221" spans="8:20" s="23" customFormat="1" x14ac:dyDescent="0.2">
      <c r="H221" s="45"/>
      <c r="K221" s="45"/>
      <c r="N221" s="45"/>
      <c r="Q221" s="45"/>
      <c r="T221" s="45"/>
    </row>
    <row r="222" spans="8:20" s="23" customFormat="1" x14ac:dyDescent="0.2">
      <c r="H222" s="45"/>
      <c r="K222" s="45"/>
      <c r="N222" s="45"/>
      <c r="Q222" s="45"/>
      <c r="T222" s="45"/>
    </row>
    <row r="223" spans="8:20" s="23" customFormat="1" x14ac:dyDescent="0.2">
      <c r="H223" s="45"/>
      <c r="K223" s="45"/>
      <c r="N223" s="45"/>
      <c r="Q223" s="45"/>
      <c r="T223" s="45"/>
    </row>
    <row r="224" spans="8:20" s="23" customFormat="1" x14ac:dyDescent="0.2">
      <c r="H224" s="45"/>
      <c r="K224" s="45"/>
      <c r="N224" s="45"/>
      <c r="Q224" s="45"/>
      <c r="T224" s="45"/>
    </row>
    <row r="225" spans="8:20" s="23" customFormat="1" x14ac:dyDescent="0.2">
      <c r="H225" s="45"/>
      <c r="K225" s="45"/>
      <c r="N225" s="45"/>
      <c r="Q225" s="45"/>
      <c r="T225" s="45"/>
    </row>
    <row r="226" spans="8:20" s="23" customFormat="1" x14ac:dyDescent="0.2">
      <c r="H226" s="45"/>
      <c r="K226" s="45"/>
      <c r="N226" s="45"/>
      <c r="Q226" s="45"/>
      <c r="T226" s="45"/>
    </row>
    <row r="227" spans="8:20" s="23" customFormat="1" x14ac:dyDescent="0.2">
      <c r="H227" s="45"/>
      <c r="K227" s="45"/>
      <c r="N227" s="45"/>
      <c r="Q227" s="45"/>
      <c r="T227" s="45"/>
    </row>
    <row r="228" spans="8:20" s="23" customFormat="1" x14ac:dyDescent="0.2">
      <c r="H228" s="45"/>
      <c r="K228" s="45"/>
      <c r="N228" s="45"/>
      <c r="Q228" s="45"/>
      <c r="T228" s="45"/>
    </row>
    <row r="229" spans="8:20" s="23" customFormat="1" x14ac:dyDescent="0.2">
      <c r="H229" s="45"/>
      <c r="K229" s="45"/>
      <c r="N229" s="45"/>
      <c r="Q229" s="45"/>
      <c r="T229" s="45"/>
    </row>
    <row r="230" spans="8:20" s="23" customFormat="1" x14ac:dyDescent="0.2">
      <c r="H230" s="45"/>
      <c r="K230" s="45"/>
      <c r="N230" s="45"/>
      <c r="Q230" s="45"/>
      <c r="T230" s="45"/>
    </row>
    <row r="231" spans="8:20" s="23" customFormat="1" x14ac:dyDescent="0.2">
      <c r="H231" s="45"/>
      <c r="K231" s="45"/>
      <c r="N231" s="45"/>
      <c r="Q231" s="45"/>
      <c r="T231" s="45"/>
    </row>
    <row r="232" spans="8:20" s="23" customFormat="1" x14ac:dyDescent="0.2">
      <c r="H232" s="45"/>
      <c r="K232" s="45"/>
      <c r="N232" s="45"/>
      <c r="Q232" s="45"/>
      <c r="T232" s="45"/>
    </row>
    <row r="233" spans="8:20" s="23" customFormat="1" x14ac:dyDescent="0.2">
      <c r="H233" s="45"/>
      <c r="K233" s="45"/>
      <c r="N233" s="45"/>
      <c r="Q233" s="45"/>
      <c r="T233" s="45"/>
    </row>
    <row r="234" spans="8:20" s="23" customFormat="1" x14ac:dyDescent="0.2">
      <c r="H234" s="45"/>
      <c r="K234" s="45"/>
      <c r="N234" s="45"/>
      <c r="Q234" s="45"/>
      <c r="T234" s="45"/>
    </row>
    <row r="235" spans="8:20" s="23" customFormat="1" x14ac:dyDescent="0.2">
      <c r="H235" s="45"/>
      <c r="K235" s="45"/>
      <c r="N235" s="45"/>
      <c r="Q235" s="45"/>
      <c r="T235" s="45"/>
    </row>
    <row r="236" spans="8:20" s="23" customFormat="1" x14ac:dyDescent="0.2">
      <c r="H236" s="45"/>
      <c r="K236" s="45"/>
      <c r="N236" s="45"/>
      <c r="Q236" s="45"/>
      <c r="T236" s="45"/>
    </row>
    <row r="237" spans="8:20" s="23" customFormat="1" x14ac:dyDescent="0.2">
      <c r="H237" s="45"/>
      <c r="K237" s="45"/>
      <c r="N237" s="45"/>
      <c r="Q237" s="45"/>
      <c r="T237" s="45"/>
    </row>
    <row r="238" spans="8:20" s="23" customFormat="1" x14ac:dyDescent="0.2">
      <c r="H238" s="45"/>
      <c r="K238" s="45"/>
      <c r="N238" s="45"/>
      <c r="Q238" s="45"/>
      <c r="T238" s="45"/>
    </row>
    <row r="239" spans="8:20" s="23" customFormat="1" x14ac:dyDescent="0.2">
      <c r="H239" s="45"/>
      <c r="K239" s="45"/>
      <c r="N239" s="45"/>
      <c r="Q239" s="45"/>
      <c r="T239" s="45"/>
    </row>
    <row r="240" spans="8:20" s="23" customFormat="1" x14ac:dyDescent="0.2">
      <c r="H240" s="45"/>
      <c r="K240" s="45"/>
      <c r="N240" s="45"/>
      <c r="Q240" s="45"/>
      <c r="T240" s="45"/>
    </row>
    <row r="241" spans="25:26" x14ac:dyDescent="0.2">
      <c r="Y241" s="23"/>
      <c r="Z241" s="23"/>
    </row>
  </sheetData>
  <mergeCells count="23">
    <mergeCell ref="U5:W5"/>
    <mergeCell ref="C14:E14"/>
    <mergeCell ref="C26:E26"/>
    <mergeCell ref="F5:H5"/>
    <mergeCell ref="I5:K5"/>
    <mergeCell ref="L5:N5"/>
    <mergeCell ref="O5:Q5"/>
    <mergeCell ref="R5:T5"/>
    <mergeCell ref="C17:E17"/>
    <mergeCell ref="C30:E30"/>
    <mergeCell ref="C34:E34"/>
    <mergeCell ref="C40:E40"/>
    <mergeCell ref="C44:E44"/>
    <mergeCell ref="C55:E55"/>
    <mergeCell ref="O90:Q90"/>
    <mergeCell ref="R90:T90"/>
    <mergeCell ref="C65:E65"/>
    <mergeCell ref="C73:E73"/>
    <mergeCell ref="C79:E79"/>
    <mergeCell ref="C83:E83"/>
    <mergeCell ref="F90:H90"/>
    <mergeCell ref="I90:K90"/>
    <mergeCell ref="L90:N90"/>
  </mergeCells>
  <conditionalFormatting sqref="AA32">
    <cfRule type="cellIs" dxfId="0" priority="1" operator="between">
      <formula>0.115</formula>
      <formula>1</formula>
    </cfRule>
  </conditionalFormatting>
  <pageMargins left="0.7" right="0.7" top="0.75" bottom="0.75" header="0.3" footer="0.3"/>
  <pageSetup scale="71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9"/>
  <sheetViews>
    <sheetView showGridLines="0" topLeftCell="A10" zoomScaleNormal="100" workbookViewId="0">
      <selection activeCell="L54" sqref="L54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35" bestFit="1" customWidth="1"/>
    <col min="7" max="7" width="7.5703125" style="2" bestFit="1" customWidth="1"/>
    <col min="8" max="10" width="13.42578125" style="2" customWidth="1"/>
    <col min="11" max="11" width="9.140625" style="2"/>
    <col min="12" max="12" width="10.42578125" style="2" bestFit="1" customWidth="1"/>
    <col min="13" max="13" width="39.7109375" style="2" customWidth="1"/>
    <col min="14" max="14" width="4.7109375" style="2" bestFit="1" customWidth="1"/>
    <col min="15" max="15" width="8.140625" style="162" bestFit="1" customWidth="1"/>
    <col min="16" max="16384" width="9.140625" style="2"/>
  </cols>
  <sheetData>
    <row r="1" spans="1:15" s="22" customFormat="1" ht="30" customHeight="1" x14ac:dyDescent="0.2">
      <c r="A1" s="27" t="s">
        <v>2</v>
      </c>
      <c r="B1" s="20"/>
      <c r="C1" s="21"/>
      <c r="D1" s="21"/>
      <c r="E1" s="21"/>
      <c r="F1" s="41"/>
      <c r="O1" s="167"/>
    </row>
    <row r="2" spans="1:15" ht="15.75" x14ac:dyDescent="0.25">
      <c r="A2" s="3"/>
      <c r="C2" s="4"/>
      <c r="D2" s="4"/>
      <c r="E2" s="4"/>
      <c r="H2" s="30"/>
    </row>
    <row r="3" spans="1:15" ht="15.75" x14ac:dyDescent="0.25">
      <c r="A3" s="5" t="s">
        <v>0</v>
      </c>
      <c r="C3" s="6"/>
      <c r="D3" s="7"/>
      <c r="E3" s="7"/>
      <c r="H3" s="8"/>
      <c r="L3" s="153" t="s">
        <v>135</v>
      </c>
      <c r="M3" s="241" t="s">
        <v>134</v>
      </c>
      <c r="N3" s="241"/>
      <c r="O3" s="241"/>
    </row>
    <row r="4" spans="1:15" x14ac:dyDescent="0.2">
      <c r="A4" s="9" t="s">
        <v>8</v>
      </c>
      <c r="C4" s="6"/>
      <c r="D4" s="7"/>
      <c r="E4" s="7"/>
      <c r="L4" s="114">
        <f>RANK(O4,$O$4:$O$43,0)+COUNTIF($O$4:O4,O4)-1</f>
        <v>29</v>
      </c>
      <c r="M4" s="111" t="str">
        <f>'58 count'!Q54</f>
        <v>Auxiliary Systems (Compressed Air)</v>
      </c>
      <c r="N4" s="111">
        <f>'58 count'!R54</f>
        <v>1</v>
      </c>
      <c r="O4" s="168">
        <f>'58 count'!S54</f>
        <v>0.32</v>
      </c>
    </row>
    <row r="5" spans="1:15" x14ac:dyDescent="0.2">
      <c r="A5" s="10" t="s">
        <v>1</v>
      </c>
      <c r="C5" s="6"/>
      <c r="D5" s="7"/>
      <c r="E5" s="7"/>
      <c r="L5" s="114">
        <f>RANK(O5,$O$4:$O$43,0)+COUNTIF($O$4:O5,O5)-1</f>
        <v>31</v>
      </c>
      <c r="M5" s="111" t="str">
        <f>'58 count'!Q55</f>
        <v>Auxiliary Systems (Deck Crane)</v>
      </c>
      <c r="N5" s="111">
        <f>'58 count'!R55</f>
        <v>0</v>
      </c>
      <c r="O5" s="168">
        <f>'58 count'!S55</f>
        <v>0</v>
      </c>
    </row>
    <row r="6" spans="1:15" x14ac:dyDescent="0.2">
      <c r="L6" s="114">
        <f>RANK(O6,$O$4:$O$43,0)+COUNTIF($O$4:O6,O6)-1</f>
        <v>32</v>
      </c>
      <c r="M6" s="111" t="str">
        <f>'58 count'!Q56</f>
        <v>Auxiliary Systems (Fire Main)</v>
      </c>
      <c r="N6" s="111">
        <f>'58 count'!R56</f>
        <v>0</v>
      </c>
      <c r="O6" s="168">
        <f>'58 count'!S56</f>
        <v>0</v>
      </c>
    </row>
    <row r="7" spans="1:15" x14ac:dyDescent="0.2">
      <c r="L7" s="114">
        <f>RANK(O7,$O$4:$O$43,0)+COUNTIF($O$4:O7,O7)-1</f>
        <v>28</v>
      </c>
      <c r="M7" s="111" t="str">
        <f>'58 count'!Q57</f>
        <v>Auxiliary Systems (Fuel)</v>
      </c>
      <c r="N7" s="111">
        <f>'58 count'!R57</f>
        <v>1</v>
      </c>
      <c r="O7" s="168">
        <f>'58 count'!S57</f>
        <v>0.4</v>
      </c>
    </row>
    <row r="8" spans="1:15" x14ac:dyDescent="0.2">
      <c r="L8" s="114">
        <f>RANK(O8,$O$4:$O$43,0)+COUNTIF($O$4:O8,O8)-1</f>
        <v>10</v>
      </c>
      <c r="M8" s="111" t="str">
        <f>'58 count'!Q58</f>
        <v>Auxiliary Systems (Heating, Ventilation, A/C)</v>
      </c>
      <c r="N8" s="111">
        <f>'58 count'!R58</f>
        <v>31</v>
      </c>
      <c r="O8" s="168">
        <f>'58 count'!S58</f>
        <v>35.008333333688789</v>
      </c>
    </row>
    <row r="9" spans="1:15" x14ac:dyDescent="0.2">
      <c r="L9" s="114">
        <f>RANK(O9,$O$4:$O$43,0)+COUNTIF($O$4:O9,O9)-1</f>
        <v>33</v>
      </c>
      <c r="M9" s="111" t="str">
        <f>'58 count'!Q59</f>
        <v>Auxiliary Systems (Potable Water)</v>
      </c>
      <c r="N9" s="111">
        <f>'58 count'!R59</f>
        <v>0</v>
      </c>
      <c r="O9" s="168">
        <f>'58 count'!S59</f>
        <v>0</v>
      </c>
    </row>
    <row r="10" spans="1:15" x14ac:dyDescent="0.2">
      <c r="L10" s="198">
        <f>RANK(O10,$O$4:$O$43,0)+COUNTIF($O$4:O10,O10)-1</f>
        <v>34</v>
      </c>
      <c r="M10" s="189" t="str">
        <f>'58 count'!Q60</f>
        <v>Auxiliary Systems (Sanitary System)</v>
      </c>
      <c r="N10" s="189">
        <f>'58 count'!R60</f>
        <v>0</v>
      </c>
      <c r="O10" s="199">
        <f>'58 count'!S60</f>
        <v>0</v>
      </c>
    </row>
    <row r="11" spans="1:15" x14ac:dyDescent="0.2">
      <c r="L11" s="198">
        <f>RANK(O11,$O$4:$O$43,0)+COUNTIF($O$4:O11,O11)-1</f>
        <v>9</v>
      </c>
      <c r="M11" s="189" t="str">
        <f>'58 count'!Q61</f>
        <v>Buckets (Weld / Repair Bucket)</v>
      </c>
      <c r="N11" s="189">
        <f>'58 count'!R61</f>
        <v>44</v>
      </c>
      <c r="O11" s="199">
        <f>'58 count'!S61</f>
        <v>37.383333333181213</v>
      </c>
    </row>
    <row r="12" spans="1:15" x14ac:dyDescent="0.2">
      <c r="L12" s="114">
        <f>RANK(O12,$O$4:$O$43,0)+COUNTIF($O$4:O12,O12)-1</f>
        <v>27</v>
      </c>
      <c r="M12" s="111" t="str">
        <f>'58 count'!Q62</f>
        <v>Crane Boom (Boom / Gantry Sheaves)</v>
      </c>
      <c r="N12" s="111">
        <f>'58 count'!R62</f>
        <v>1</v>
      </c>
      <c r="O12" s="168">
        <f>'58 count'!S62</f>
        <v>0.49</v>
      </c>
    </row>
    <row r="13" spans="1:15" x14ac:dyDescent="0.2">
      <c r="L13" s="114">
        <f>RANK(O13,$O$4:$O$43,0)+COUNTIF($O$4:O13,O13)-1</f>
        <v>35</v>
      </c>
      <c r="M13" s="111" t="str">
        <f>'58 count'!Q63</f>
        <v>Crane Boom (Boom / Gantry Structure)</v>
      </c>
      <c r="N13" s="111">
        <f>'58 count'!R63</f>
        <v>0</v>
      </c>
      <c r="O13" s="168">
        <f>'58 count'!S63</f>
        <v>0</v>
      </c>
    </row>
    <row r="14" spans="1:15" x14ac:dyDescent="0.2">
      <c r="L14" s="114">
        <f>RANK(O14,$O$4:$O$43,0)+COUNTIF($O$4:O14,O14)-1</f>
        <v>13</v>
      </c>
      <c r="M14" s="111" t="str">
        <f>'58 count'!Q64</f>
        <v>Crane Boom (Boom Winch)</v>
      </c>
      <c r="N14" s="111">
        <f>'58 count'!R64</f>
        <v>5</v>
      </c>
      <c r="O14" s="168">
        <f>'58 count'!S64</f>
        <v>16.920000000000002</v>
      </c>
    </row>
    <row r="15" spans="1:15" x14ac:dyDescent="0.2">
      <c r="L15" s="114">
        <f>RANK(O15,$O$4:$O$43,0)+COUNTIF($O$4:O15,O15)-1</f>
        <v>36</v>
      </c>
      <c r="M15" s="111" t="str">
        <f>'58 count'!Q65</f>
        <v>Crane Boom (Boom Wires)</v>
      </c>
      <c r="N15" s="111">
        <f>'58 count'!R65</f>
        <v>0</v>
      </c>
      <c r="O15" s="168">
        <f>'58 count'!S65</f>
        <v>0</v>
      </c>
    </row>
    <row r="16" spans="1:15" x14ac:dyDescent="0.2">
      <c r="L16" s="198">
        <f>RANK(O16,$O$4:$O$43,0)+COUNTIF($O$4:O16,O16)-1</f>
        <v>37</v>
      </c>
      <c r="M16" s="189" t="str">
        <f>'58 count'!Q66</f>
        <v>Crane Boom (Penant Wire)</v>
      </c>
      <c r="N16" s="189">
        <f>'58 count'!R66</f>
        <v>0</v>
      </c>
      <c r="O16" s="199">
        <f>'58 count'!S66</f>
        <v>0</v>
      </c>
    </row>
    <row r="17" spans="2:15" x14ac:dyDescent="0.2">
      <c r="L17" s="114">
        <f>RANK(O17,$O$4:$O$43,0)+COUNTIF($O$4:O17,O17)-1</f>
        <v>2</v>
      </c>
      <c r="M17" s="111" t="str">
        <f>'58 count'!Q67</f>
        <v>Crane Swing (Drive (motor, gear box, etc.))</v>
      </c>
      <c r="N17" s="111">
        <f>'58 count'!R67</f>
        <v>86</v>
      </c>
      <c r="O17" s="168">
        <f>'58 count'!S67</f>
        <v>181.73111111119854</v>
      </c>
    </row>
    <row r="18" spans="2:15" x14ac:dyDescent="0.2">
      <c r="L18" s="198">
        <f>RANK(O18,$O$4:$O$43,0)+COUNTIF($O$4:O18,O18)-1</f>
        <v>17</v>
      </c>
      <c r="M18" s="189" t="str">
        <f>'58 count'!Q68</f>
        <v>Crane Swing (Swing Circle (rollers, etc.))</v>
      </c>
      <c r="N18" s="189">
        <f>'58 count'!R68</f>
        <v>2</v>
      </c>
      <c r="O18" s="199">
        <f>'58 count'!S68</f>
        <v>9.2102777778520242</v>
      </c>
    </row>
    <row r="19" spans="2:15" x14ac:dyDescent="0.2">
      <c r="L19" s="114">
        <f>RANK(O19,$O$4:$O$43,0)+COUNTIF($O$4:O19,O19)-1</f>
        <v>21</v>
      </c>
      <c r="M19" s="111" t="str">
        <f>'58 count'!Q69</f>
        <v>Deck Winch (Fairleads)</v>
      </c>
      <c r="N19" s="111">
        <f>'58 count'!R69</f>
        <v>6</v>
      </c>
      <c r="O19" s="168">
        <f>'58 count'!S69</f>
        <v>2.6399999999999997</v>
      </c>
    </row>
    <row r="20" spans="2:15" x14ac:dyDescent="0.2">
      <c r="L20" s="198">
        <f>RANK(O20,$O$4:$O$43,0)+COUNTIF($O$4:O20,O20)-1</f>
        <v>23</v>
      </c>
      <c r="M20" s="189" t="str">
        <f>'58 count'!Q70</f>
        <v>Deck Winch (Winch)</v>
      </c>
      <c r="N20" s="189">
        <f>'58 count'!R70</f>
        <v>6</v>
      </c>
      <c r="O20" s="199">
        <f>'58 count'!S70</f>
        <v>2.4799999999580904</v>
      </c>
    </row>
    <row r="21" spans="2:15" x14ac:dyDescent="0.2">
      <c r="L21" s="114">
        <f>RANK(O21,$O$4:$O$43,0)+COUNTIF($O$4:O21,O21)-1</f>
        <v>4</v>
      </c>
      <c r="M21" s="111" t="str">
        <f>'58 count'!Q71</f>
        <v>Electrical/Electronics (MCC / Switch Gear)</v>
      </c>
      <c r="N21" s="111">
        <f>'58 count'!R71</f>
        <v>1</v>
      </c>
      <c r="O21" s="168">
        <f>'58 count'!S71</f>
        <v>70.25</v>
      </c>
    </row>
    <row r="22" spans="2:15" x14ac:dyDescent="0.2">
      <c r="L22" s="114">
        <f>RANK(O22,$O$4:$O$43,0)+COUNTIF($O$4:O22,O22)-1</f>
        <v>38</v>
      </c>
      <c r="M22" s="111" t="str">
        <f>'58 count'!Q72</f>
        <v>Electrical/Electronics (Navigation Lights)</v>
      </c>
      <c r="N22" s="111">
        <f>'58 count'!R72</f>
        <v>0</v>
      </c>
      <c r="O22" s="168">
        <f>'58 count'!S72</f>
        <v>0</v>
      </c>
    </row>
    <row r="23" spans="2:15" x14ac:dyDescent="0.2">
      <c r="B23" s="11" t="s">
        <v>11</v>
      </c>
      <c r="L23" s="114">
        <f>RANK(O23,$O$4:$O$43,0)+COUNTIF($O$4:O23,O23)-1</f>
        <v>11</v>
      </c>
      <c r="M23" s="111" t="str">
        <f>'58 count'!Q73</f>
        <v>Electrical/Electronics (PLC)</v>
      </c>
      <c r="N23" s="111">
        <f>'58 count'!R73</f>
        <v>8</v>
      </c>
      <c r="O23" s="168">
        <f>'58 count'!S73</f>
        <v>29.599999999999998</v>
      </c>
    </row>
    <row r="24" spans="2:15" x14ac:dyDescent="0.2">
      <c r="L24" s="198">
        <f>RANK(O24,$O$4:$O$43,0)+COUNTIF($O$4:O24,O24)-1</f>
        <v>20</v>
      </c>
      <c r="M24" s="189" t="str">
        <f>'58 count'!Q74</f>
        <v>Electrical/Electronics (Transformers)</v>
      </c>
      <c r="N24" s="189">
        <f>'58 count'!R74</f>
        <v>3</v>
      </c>
      <c r="O24" s="199">
        <f>'58 count'!S74</f>
        <v>3.87</v>
      </c>
    </row>
    <row r="25" spans="2:15" x14ac:dyDescent="0.2">
      <c r="L25" s="114">
        <f>RANK(O25,$O$4:$O$43,0)+COUNTIF($O$4:O25,O25)-1</f>
        <v>24</v>
      </c>
      <c r="M25" s="111" t="str">
        <f>'58 count'!Q75</f>
        <v>Hull (Deck Fittings (cleats, timbers, etc.))</v>
      </c>
      <c r="N25" s="111">
        <f>'58 count'!R75</f>
        <v>6</v>
      </c>
      <c r="O25" s="168">
        <f>'58 count'!S75</f>
        <v>1.267500000083819</v>
      </c>
    </row>
    <row r="26" spans="2:15" x14ac:dyDescent="0.2">
      <c r="L26" s="198">
        <f>RANK(O26,$O$4:$O$43,0)+COUNTIF($O$4:O26,O26)-1</f>
        <v>25</v>
      </c>
      <c r="M26" s="189" t="str">
        <f>'58 count'!Q76</f>
        <v>Hull (Hull / House Repair)</v>
      </c>
      <c r="N26" s="189">
        <f>'58 count'!R76</f>
        <v>1</v>
      </c>
      <c r="O26" s="199">
        <f>'58 count'!S76</f>
        <v>0.61</v>
      </c>
    </row>
    <row r="27" spans="2:15" x14ac:dyDescent="0.2">
      <c r="L27" s="114">
        <f>RANK(O27,$O$4:$O$43,0)+COUNTIF($O$4:O27,O27)-1</f>
        <v>39</v>
      </c>
      <c r="M27" s="111" t="str">
        <f>'58 count'!Q77</f>
        <v>Main / Aux. Generators (Auxiliary Generator)</v>
      </c>
      <c r="N27" s="111">
        <f>'58 count'!R77</f>
        <v>0</v>
      </c>
      <c r="O27" s="168">
        <f>'58 count'!S77</f>
        <v>0</v>
      </c>
    </row>
    <row r="28" spans="2:15" ht="15.75" x14ac:dyDescent="0.25">
      <c r="B28" s="28" t="str">
        <f ca="1">"The first "&amp;COUNT(H33:H62)&amp;" "&amp;C32&amp;" cover "&amp;TEXT(OFFSET(E32,COUNT(H33:H62),0,1,1),"0.??%")&amp;" of the Total "&amp;D32</f>
        <v>The first 6 Causes cover 82.55% of the Total Hours</v>
      </c>
      <c r="C28" s="7"/>
      <c r="L28" s="114">
        <f>RANK(O28,$O$4:$O$43,0)+COUNTIF($O$4:O28,O28)-1</f>
        <v>16</v>
      </c>
      <c r="M28" s="111" t="str">
        <f>'58 count'!Q78</f>
        <v>Main / Aux. Generators (Main Generator)</v>
      </c>
      <c r="N28" s="111">
        <f>'58 count'!R78</f>
        <v>8</v>
      </c>
      <c r="O28" s="168">
        <f>'58 count'!S78</f>
        <v>9.4222222223156127</v>
      </c>
    </row>
    <row r="29" spans="2:15" x14ac:dyDescent="0.2">
      <c r="L29" s="198">
        <f>RANK(O29,$O$4:$O$43,0)+COUNTIF($O$4:O29,O29)-1</f>
        <v>5</v>
      </c>
      <c r="M29" s="189" t="str">
        <f>'58 count'!Q79</f>
        <v>Main / Aux. Generators (Main Generator Engine)</v>
      </c>
      <c r="N29" s="189">
        <f>'58 count'!R79</f>
        <v>9</v>
      </c>
      <c r="O29" s="199">
        <f>'58 count'!S79</f>
        <v>70.080277777747256</v>
      </c>
    </row>
    <row r="30" spans="2:15" x14ac:dyDescent="0.2">
      <c r="L30" s="114">
        <f>RANK(O30,$O$4:$O$43,0)+COUNTIF($O$4:O30,O30)-1</f>
        <v>1</v>
      </c>
      <c r="M30" s="111" t="str">
        <f>'58 count'!Q80</f>
        <v>Main Hoist (Closer)</v>
      </c>
      <c r="N30" s="111">
        <f>'58 count'!R80</f>
        <v>13</v>
      </c>
      <c r="O30" s="168">
        <f>'58 count'!S80</f>
        <v>323.18388888886199</v>
      </c>
    </row>
    <row r="31" spans="2:15" x14ac:dyDescent="0.2">
      <c r="D31" s="12" t="s">
        <v>9</v>
      </c>
      <c r="E31" s="29">
        <v>0.8</v>
      </c>
      <c r="L31" s="114">
        <f>RANK(O31,$O$4:$O$43,0)+COUNTIF($O$4:O31,O31)-1</f>
        <v>3</v>
      </c>
      <c r="M31" s="111" t="str">
        <f>'58 count'!Q81</f>
        <v>Main Hoist (Closer Wire)</v>
      </c>
      <c r="N31" s="111">
        <f>'58 count'!R81</f>
        <v>40</v>
      </c>
      <c r="O31" s="168">
        <f>'58 count'!S81</f>
        <v>97.017500000118744</v>
      </c>
    </row>
    <row r="32" spans="2:15" ht="15.75" x14ac:dyDescent="0.25">
      <c r="B32" s="24" t="s">
        <v>3</v>
      </c>
      <c r="C32" s="25" t="s">
        <v>5</v>
      </c>
      <c r="D32" s="26" t="s">
        <v>13</v>
      </c>
      <c r="E32" s="24" t="s">
        <v>4</v>
      </c>
      <c r="F32" s="38" t="s">
        <v>31</v>
      </c>
      <c r="G32" s="38" t="s">
        <v>14</v>
      </c>
      <c r="H32" s="13" t="s">
        <v>6</v>
      </c>
      <c r="I32" s="13" t="s">
        <v>7</v>
      </c>
      <c r="J32" s="13" t="s">
        <v>10</v>
      </c>
      <c r="L32" s="200">
        <f>RANK(O32,$O$4:$O$43,0)+COUNTIF($O$4:O32,O32)-1</f>
        <v>6</v>
      </c>
      <c r="M32" s="111" t="str">
        <f>'58 count'!Q82</f>
        <v>Main Hoist (Holder)</v>
      </c>
      <c r="N32" s="111">
        <f>'58 count'!R82</f>
        <v>44</v>
      </c>
      <c r="O32" s="168">
        <f>'58 count'!S82</f>
        <v>58.528611110751513</v>
      </c>
    </row>
    <row r="33" spans="2:15" x14ac:dyDescent="0.2">
      <c r="B33" s="14">
        <f t="shared" ref="B33:B62" si="0">ROW(B33)-ROW($B$32)</f>
        <v>1</v>
      </c>
      <c r="C33" s="97" t="s">
        <v>88</v>
      </c>
      <c r="D33" s="136">
        <v>586.33388888886202</v>
      </c>
      <c r="E33" s="15">
        <f>SUM(D33:D$33)/SUM($D$33:$D$62)</f>
        <v>0.3238815792601849</v>
      </c>
      <c r="F33" s="39">
        <f>E33</f>
        <v>0.3238815792601849</v>
      </c>
      <c r="G33" s="202">
        <v>13</v>
      </c>
      <c r="H33" s="16">
        <f t="shared" ref="H33:H62" ca="1" si="1">IF(OR(B33=1,OFFSET($E$32,B33-1,0,1,1)&lt;=$E$31),OFFSET($D$32,B33,0,1,1),"")</f>
        <v>586.33388888886202</v>
      </c>
      <c r="I33" s="17" t="str">
        <f t="shared" ref="I33:I62" ca="1" si="2">IF(H33="",OFFSET($D$32,B33,0,1,1),"")</f>
        <v/>
      </c>
      <c r="J33" s="18">
        <f t="shared" ref="J33:J62" si="3">$E$31</f>
        <v>0.8</v>
      </c>
      <c r="L33" s="198">
        <f>RANK(O33,$O$4:$O$43,0)+COUNTIF($O$4:O33,O33)-1</f>
        <v>12</v>
      </c>
      <c r="M33" s="189" t="str">
        <f>'58 count'!Q83</f>
        <v>Main Hoist (Holder Wire)</v>
      </c>
      <c r="N33" s="189">
        <f>'58 count'!R83</f>
        <v>19</v>
      </c>
      <c r="O33" s="199">
        <f>'58 count'!S83</f>
        <v>26.99444444476627</v>
      </c>
    </row>
    <row r="34" spans="2:15" x14ac:dyDescent="0.2">
      <c r="B34" s="14">
        <f t="shared" si="0"/>
        <v>2</v>
      </c>
      <c r="C34" s="97" t="s">
        <v>89</v>
      </c>
      <c r="D34" s="136">
        <v>527.52750000011872</v>
      </c>
      <c r="E34" s="15">
        <f>SUM(D$33:D34)/SUM($D$33:$D$62)</f>
        <v>0.61527943812691177</v>
      </c>
      <c r="F34" s="39">
        <f>E34-E33</f>
        <v>0.29139785886672687</v>
      </c>
      <c r="G34" s="202">
        <v>40</v>
      </c>
      <c r="H34" s="16">
        <f t="shared" ca="1" si="1"/>
        <v>527.52750000011872</v>
      </c>
      <c r="I34" s="17" t="str">
        <f t="shared" ca="1" si="2"/>
        <v/>
      </c>
      <c r="J34" s="18">
        <f t="shared" si="3"/>
        <v>0.8</v>
      </c>
      <c r="L34" s="114">
        <f>RANK(O34,$O$4:$O$43,0)+COUNTIF($O$4:O34,O34)-1</f>
        <v>40</v>
      </c>
      <c r="M34" s="111" t="str">
        <f>'58 count'!Q84</f>
        <v>Spud System (Spud Sheaves)</v>
      </c>
      <c r="N34" s="111">
        <f>'58 count'!R84</f>
        <v>0</v>
      </c>
      <c r="O34" s="168">
        <f>'58 count'!S84</f>
        <v>0</v>
      </c>
    </row>
    <row r="35" spans="2:15" x14ac:dyDescent="0.2">
      <c r="B35" s="14">
        <f t="shared" si="0"/>
        <v>3</v>
      </c>
      <c r="C35" s="97" t="s">
        <v>173</v>
      </c>
      <c r="D35" s="136">
        <v>181.73111111119854</v>
      </c>
      <c r="E35" s="15">
        <f>SUM(D$33:D35)/SUM($D$33:$D$62)</f>
        <v>0.71566483351817101</v>
      </c>
      <c r="F35" s="39">
        <f t="shared" ref="F35:F62" si="4">E35-E34</f>
        <v>0.10038539539125924</v>
      </c>
      <c r="G35" s="202">
        <v>86</v>
      </c>
      <c r="H35" s="16">
        <f t="shared" ca="1" si="1"/>
        <v>181.73111111119854</v>
      </c>
      <c r="I35" s="17" t="str">
        <f t="shared" ca="1" si="2"/>
        <v/>
      </c>
      <c r="J35" s="18">
        <f t="shared" si="3"/>
        <v>0.8</v>
      </c>
      <c r="L35" s="114">
        <f>RANK(O35,$O$4:$O$43,0)+COUNTIF($O$4:O35,O35)-1</f>
        <v>14</v>
      </c>
      <c r="M35" s="111" t="str">
        <f>'58 count'!Q85</f>
        <v>Spud System (Spud Structure)</v>
      </c>
      <c r="N35" s="111">
        <f>'58 count'!R85</f>
        <v>3</v>
      </c>
      <c r="O35" s="168">
        <f>'58 count'!S85</f>
        <v>15.89</v>
      </c>
    </row>
    <row r="36" spans="2:15" x14ac:dyDescent="0.2">
      <c r="B36" s="14">
        <f t="shared" si="0"/>
        <v>4</v>
      </c>
      <c r="C36" s="97" t="s">
        <v>181</v>
      </c>
      <c r="D36" s="136">
        <v>70.25</v>
      </c>
      <c r="E36" s="15">
        <f>SUM(D$33:D36)/SUM($D$33:$D$62)</f>
        <v>0.75446982394119722</v>
      </c>
      <c r="F36" s="39">
        <f t="shared" si="4"/>
        <v>3.8804990423026209E-2</v>
      </c>
      <c r="G36" s="219">
        <v>1</v>
      </c>
      <c r="H36" s="16">
        <f t="shared" ca="1" si="1"/>
        <v>70.25</v>
      </c>
      <c r="I36" s="17" t="str">
        <f t="shared" ca="1" si="2"/>
        <v/>
      </c>
      <c r="J36" s="18">
        <f t="shared" si="3"/>
        <v>0.8</v>
      </c>
      <c r="L36" s="114">
        <f>RANK(O36,$O$4:$O$43,0)+COUNTIF($O$4:O36,O36)-1</f>
        <v>18</v>
      </c>
      <c r="M36" s="111" t="str">
        <f>'58 count'!Q86</f>
        <v>Spud System (Spud Winch)</v>
      </c>
      <c r="N36" s="111">
        <f>'58 count'!R86</f>
        <v>12</v>
      </c>
      <c r="O36" s="168">
        <f>'58 count'!S86</f>
        <v>8.5527777778450407</v>
      </c>
    </row>
    <row r="37" spans="2:15" x14ac:dyDescent="0.2">
      <c r="B37" s="14">
        <f t="shared" si="0"/>
        <v>5</v>
      </c>
      <c r="C37" s="97" t="s">
        <v>176</v>
      </c>
      <c r="D37" s="136">
        <v>70.080277777747256</v>
      </c>
      <c r="E37" s="15">
        <f>SUM(D$33:D37)/SUM($D$33:$D$62)</f>
        <v>0.79318106248936082</v>
      </c>
      <c r="F37" s="39">
        <f t="shared" si="4"/>
        <v>3.8711238548163607E-2</v>
      </c>
      <c r="G37" s="219">
        <v>9</v>
      </c>
      <c r="H37" s="16">
        <f t="shared" ca="1" si="1"/>
        <v>70.080277777747256</v>
      </c>
      <c r="I37" s="17" t="str">
        <f t="shared" ca="1" si="2"/>
        <v/>
      </c>
      <c r="J37" s="18">
        <f t="shared" si="3"/>
        <v>0.8</v>
      </c>
      <c r="L37" s="114">
        <f>RANK(O37,$O$4:$O$43,0)+COUNTIF($O$4:O37,O37)-1</f>
        <v>19</v>
      </c>
      <c r="M37" s="111" t="str">
        <f>'58 count'!Q87</f>
        <v>Spud System (Spud Wires)</v>
      </c>
      <c r="N37" s="111">
        <f>'58 count'!R87</f>
        <v>4</v>
      </c>
      <c r="O37" s="168">
        <f>'58 count'!S87</f>
        <v>7.6802777778147719</v>
      </c>
    </row>
    <row r="38" spans="2:15" x14ac:dyDescent="0.2">
      <c r="B38" s="14">
        <f t="shared" si="0"/>
        <v>6</v>
      </c>
      <c r="C38" s="205" t="s">
        <v>90</v>
      </c>
      <c r="D38" s="206">
        <v>58.528611110751513</v>
      </c>
      <c r="E38" s="15">
        <f>SUM(D$33:D38)/SUM($D$33:$D$62)</f>
        <v>0.82551134282567029</v>
      </c>
      <c r="F38" s="39">
        <f t="shared" si="4"/>
        <v>3.2330280336309469E-2</v>
      </c>
      <c r="G38" s="202">
        <v>44</v>
      </c>
      <c r="H38" s="16">
        <f t="shared" ca="1" si="1"/>
        <v>58.528611110751513</v>
      </c>
      <c r="I38" s="17" t="str">
        <f t="shared" ca="1" si="2"/>
        <v/>
      </c>
      <c r="J38" s="18">
        <f t="shared" si="3"/>
        <v>0.8</v>
      </c>
      <c r="L38" s="198">
        <f>RANK(O38,$O$4:$O$43,0)+COUNTIF($O$4:O38,O38)-1</f>
        <v>8</v>
      </c>
      <c r="M38" s="189" t="str">
        <f>'58 count'!Q88</f>
        <v>Spud System (Walking Mechanisms (Carriage / Travel))</v>
      </c>
      <c r="N38" s="189">
        <f>'58 count'!R88</f>
        <v>42</v>
      </c>
      <c r="O38" s="199">
        <f>'58 count'!S88</f>
        <v>43.398611111186909</v>
      </c>
    </row>
    <row r="39" spans="2:15" x14ac:dyDescent="0.2">
      <c r="B39" s="14">
        <f t="shared" si="0"/>
        <v>7</v>
      </c>
      <c r="C39" s="205" t="s">
        <v>97</v>
      </c>
      <c r="D39" s="206">
        <v>47.489999999976718</v>
      </c>
      <c r="E39" s="15">
        <f>SUM(D$33:D39)/SUM($D$33:$D$62)</f>
        <v>0.85174406873582853</v>
      </c>
      <c r="F39" s="39">
        <f t="shared" si="4"/>
        <v>2.6232725910158239E-2</v>
      </c>
      <c r="G39" s="202">
        <v>49</v>
      </c>
      <c r="H39" s="16" t="str">
        <f t="shared" ca="1" si="1"/>
        <v/>
      </c>
      <c r="I39" s="17">
        <f t="shared" ca="1" si="2"/>
        <v>47.489999999976718</v>
      </c>
      <c r="J39" s="18">
        <f t="shared" si="3"/>
        <v>0.8</v>
      </c>
      <c r="L39" s="114">
        <f>RANK(O39,$O$4:$O$43,0)+COUNTIF($O$4:O39,O39)-1</f>
        <v>26</v>
      </c>
      <c r="M39" s="111" t="str">
        <f>'58 count'!Q89</f>
        <v>Tagline (Tagline Sheaves)</v>
      </c>
      <c r="N39" s="111">
        <f>'58 count'!R89</f>
        <v>1</v>
      </c>
      <c r="O39" s="168">
        <f>'58 count'!S89</f>
        <v>0.53333333332557231</v>
      </c>
    </row>
    <row r="40" spans="2:15" x14ac:dyDescent="0.2">
      <c r="B40" s="14">
        <f t="shared" si="0"/>
        <v>8</v>
      </c>
      <c r="C40" s="205" t="s">
        <v>174</v>
      </c>
      <c r="D40" s="206">
        <v>43.398611111186909</v>
      </c>
      <c r="E40" s="15">
        <f>SUM(D$33:D40)/SUM($D$33:$D$62)</f>
        <v>0.87571677604603837</v>
      </c>
      <c r="F40" s="39">
        <f t="shared" si="4"/>
        <v>2.397270731020984E-2</v>
      </c>
      <c r="G40" s="202">
        <v>42</v>
      </c>
      <c r="H40" s="16" t="str">
        <f t="shared" ref="H40:H52" ca="1" si="5">IF(OR(B40=1,OFFSET($E$32,B40-1,0,1,1)&lt;=$E$31),OFFSET($D$32,B40,0,1,1),"")</f>
        <v/>
      </c>
      <c r="I40" s="17">
        <f t="shared" ref="I40:I52" ca="1" si="6">IF(H40="",OFFSET($D$32,B40,0,1,1),"")</f>
        <v>43.398611111186909</v>
      </c>
      <c r="J40" s="18">
        <f t="shared" si="3"/>
        <v>0.8</v>
      </c>
      <c r="L40" s="114">
        <f>RANK(O40,$O$4:$O$43,0)+COUNTIF($O$4:O40,O40)-1</f>
        <v>30</v>
      </c>
      <c r="M40" s="111" t="str">
        <f>'58 count'!Q90</f>
        <v>Tagline (Tagline Winch (motor, gearbox, etc.))</v>
      </c>
      <c r="N40" s="111">
        <f>'58 count'!R90</f>
        <v>1</v>
      </c>
      <c r="O40" s="168">
        <f>'58 count'!S90</f>
        <v>7.7222222287673503E-2</v>
      </c>
    </row>
    <row r="41" spans="2:15" x14ac:dyDescent="0.2">
      <c r="B41" s="14">
        <f t="shared" si="0"/>
        <v>9</v>
      </c>
      <c r="C41" s="205" t="s">
        <v>175</v>
      </c>
      <c r="D41" s="206">
        <v>37.383333333181213</v>
      </c>
      <c r="E41" s="15">
        <f>SUM(D$33:D41)/SUM($D$33:$D$62)</f>
        <v>0.89636673892112595</v>
      </c>
      <c r="F41" s="39">
        <f t="shared" ref="F41:F54" si="7">E41-E40</f>
        <v>2.064996287508758E-2</v>
      </c>
      <c r="G41" s="202">
        <v>44</v>
      </c>
      <c r="H41" s="16" t="str">
        <f t="shared" ca="1" si="5"/>
        <v/>
      </c>
      <c r="I41" s="17">
        <f t="shared" ca="1" si="6"/>
        <v>37.383333333181213</v>
      </c>
      <c r="J41" s="18">
        <f t="shared" si="3"/>
        <v>0.8</v>
      </c>
      <c r="L41" s="198">
        <f>RANK(O41,$O$4:$O$43,0)+COUNTIF($O$4:O41,O41)-1</f>
        <v>15</v>
      </c>
      <c r="M41" s="189" t="str">
        <f>'58 count'!Q91</f>
        <v>Tagline (Tagline Wire)</v>
      </c>
      <c r="N41" s="189">
        <f>'58 count'!R91</f>
        <v>25</v>
      </c>
      <c r="O41" s="199">
        <f>'58 count'!S91</f>
        <v>13.072222222057171</v>
      </c>
    </row>
    <row r="42" spans="2:15" x14ac:dyDescent="0.2">
      <c r="B42" s="14">
        <f t="shared" si="0"/>
        <v>10</v>
      </c>
      <c r="C42" s="205" t="s">
        <v>183</v>
      </c>
      <c r="D42" s="206">
        <v>35.008333333688789</v>
      </c>
      <c r="E42" s="15">
        <f>SUM(D$33:D42)/SUM($D$33:$D$62)</f>
        <v>0.91570478930888255</v>
      </c>
      <c r="F42" s="39">
        <f t="shared" si="7"/>
        <v>1.93380503877566E-2</v>
      </c>
      <c r="G42" s="202">
        <v>31</v>
      </c>
      <c r="H42" s="16" t="str">
        <f t="shared" ca="1" si="5"/>
        <v/>
      </c>
      <c r="I42" s="17">
        <f t="shared" ca="1" si="6"/>
        <v>35.008333333688789</v>
      </c>
      <c r="J42" s="18">
        <f t="shared" si="3"/>
        <v>0.8</v>
      </c>
      <c r="L42" s="114">
        <f>RANK(O42,$O$4:$O$43,0)+COUNTIF($O$4:O42,O42)-1</f>
        <v>7</v>
      </c>
      <c r="M42" s="111" t="str">
        <f>'58 count'!Q92</f>
        <v>Tugs and Scows (Scow Repair)</v>
      </c>
      <c r="N42" s="111">
        <f>'58 count'!R92</f>
        <v>49</v>
      </c>
      <c r="O42" s="168">
        <f>'58 count'!S92</f>
        <v>47.489999999976718</v>
      </c>
    </row>
    <row r="43" spans="2:15" x14ac:dyDescent="0.2">
      <c r="B43" s="14">
        <f t="shared" si="0"/>
        <v>11</v>
      </c>
      <c r="C43" s="205" t="s">
        <v>178</v>
      </c>
      <c r="D43" s="206">
        <v>29.599999999999998</v>
      </c>
      <c r="E43" s="15">
        <f>SUM(D$33:D43)/SUM($D$33:$D$62)</f>
        <v>0.93205536178605797</v>
      </c>
      <c r="F43" s="39">
        <f t="shared" si="7"/>
        <v>1.6350572477175418E-2</v>
      </c>
      <c r="G43" s="219">
        <v>8</v>
      </c>
      <c r="H43" s="16" t="str">
        <f t="shared" ca="1" si="5"/>
        <v/>
      </c>
      <c r="I43" s="17">
        <f t="shared" ca="1" si="6"/>
        <v>29.599999999999998</v>
      </c>
      <c r="J43" s="18">
        <f t="shared" si="3"/>
        <v>0.8</v>
      </c>
      <c r="L43" s="114">
        <f>RANK(O43,$O$4:$O$43,0)+COUNTIF($O$4:O43,O43)-1</f>
        <v>22</v>
      </c>
      <c r="M43" s="111" t="str">
        <f>'58 count'!Q93</f>
        <v>Tugs and Scows (Tug Repair)</v>
      </c>
      <c r="N43" s="111">
        <f>'58 count'!R93</f>
        <v>9</v>
      </c>
      <c r="O43" s="168">
        <f>'58 count'!S93</f>
        <v>2.5722222222387789</v>
      </c>
    </row>
    <row r="44" spans="2:15" x14ac:dyDescent="0.2">
      <c r="B44" s="14">
        <f t="shared" si="0"/>
        <v>12</v>
      </c>
      <c r="C44" s="205" t="s">
        <v>91</v>
      </c>
      <c r="D44" s="206">
        <v>26.99444444476627</v>
      </c>
      <c r="E44" s="15">
        <f>SUM(D$33:D44)/SUM($D$33:$D$62)</f>
        <v>0.94696666652846462</v>
      </c>
      <c r="F44" s="39">
        <f t="shared" si="7"/>
        <v>1.491130474240665E-2</v>
      </c>
      <c r="G44" s="202">
        <v>19</v>
      </c>
      <c r="H44" s="16" t="str">
        <f t="shared" ca="1" si="5"/>
        <v/>
      </c>
      <c r="I44" s="17">
        <f t="shared" ca="1" si="6"/>
        <v>26.99444444476627</v>
      </c>
      <c r="J44" s="18">
        <f t="shared" si="3"/>
        <v>0.8</v>
      </c>
      <c r="L44" s="144"/>
      <c r="M44" s="113"/>
      <c r="N44" s="113"/>
      <c r="O44" s="169"/>
    </row>
    <row r="45" spans="2:15" x14ac:dyDescent="0.2">
      <c r="B45" s="14">
        <f t="shared" si="0"/>
        <v>13</v>
      </c>
      <c r="C45" s="205" t="s">
        <v>76</v>
      </c>
      <c r="D45" s="206">
        <v>16.920000000000002</v>
      </c>
      <c r="E45" s="15">
        <f>SUM(D$33:D45)/SUM($D$33:$D$62)</f>
        <v>0.9563130072823095</v>
      </c>
      <c r="F45" s="39">
        <f t="shared" si="7"/>
        <v>9.3463407538448839E-3</v>
      </c>
      <c r="G45" s="219">
        <v>5</v>
      </c>
      <c r="H45" s="16" t="str">
        <f t="shared" ca="1" si="5"/>
        <v/>
      </c>
      <c r="I45" s="17">
        <f t="shared" ca="1" si="6"/>
        <v>16.920000000000002</v>
      </c>
      <c r="J45" s="18">
        <f t="shared" si="3"/>
        <v>0.8</v>
      </c>
      <c r="L45" s="144"/>
      <c r="M45" s="113"/>
      <c r="N45" s="113"/>
      <c r="O45" s="169"/>
    </row>
    <row r="46" spans="2:15" x14ac:dyDescent="0.2">
      <c r="B46" s="14">
        <f t="shared" si="0"/>
        <v>14</v>
      </c>
      <c r="C46" s="205" t="s">
        <v>93</v>
      </c>
      <c r="D46" s="206">
        <v>15.89</v>
      </c>
      <c r="E46" s="15">
        <f>SUM(D$33:D46)/SUM($D$33:$D$62)</f>
        <v>0.96509039230468519</v>
      </c>
      <c r="F46" s="39">
        <f t="shared" si="7"/>
        <v>8.7773850223756833E-3</v>
      </c>
      <c r="G46" s="219">
        <v>3</v>
      </c>
      <c r="H46" s="16" t="str">
        <f t="shared" ca="1" si="5"/>
        <v/>
      </c>
      <c r="I46" s="17">
        <f t="shared" ca="1" si="6"/>
        <v>15.89</v>
      </c>
      <c r="J46" s="18">
        <f t="shared" si="3"/>
        <v>0.8</v>
      </c>
      <c r="L46" s="144"/>
      <c r="M46" s="113"/>
      <c r="N46" s="113"/>
      <c r="O46" s="169"/>
    </row>
    <row r="47" spans="2:15" x14ac:dyDescent="0.2">
      <c r="B47" s="14">
        <f t="shared" si="0"/>
        <v>15</v>
      </c>
      <c r="C47" s="205" t="s">
        <v>163</v>
      </c>
      <c r="D47" s="206">
        <v>13.072222222057171</v>
      </c>
      <c r="E47" s="15">
        <f>SUM(D$33:D47)/SUM($D$33:$D$62)</f>
        <v>0.97231128138845169</v>
      </c>
      <c r="F47" s="39">
        <f t="shared" si="7"/>
        <v>7.2208890837665018E-3</v>
      </c>
      <c r="G47" s="202">
        <v>25</v>
      </c>
      <c r="H47" s="16" t="str">
        <f t="shared" ca="1" si="5"/>
        <v/>
      </c>
      <c r="I47" s="17">
        <f t="shared" ca="1" si="6"/>
        <v>13.072222222057171</v>
      </c>
      <c r="J47" s="18">
        <f t="shared" si="3"/>
        <v>0.8</v>
      </c>
      <c r="L47" s="144"/>
      <c r="M47" s="113"/>
      <c r="N47" s="113"/>
      <c r="O47" s="169"/>
    </row>
    <row r="48" spans="2:15" x14ac:dyDescent="0.2">
      <c r="B48" s="14">
        <f t="shared" si="0"/>
        <v>16</v>
      </c>
      <c r="C48" s="205" t="s">
        <v>177</v>
      </c>
      <c r="D48" s="206">
        <v>9.4222222223156127</v>
      </c>
      <c r="E48" s="15">
        <f>SUM(D$33:D48)/SUM($D$33:$D$62)</f>
        <v>0.97751596812297958</v>
      </c>
      <c r="F48" s="39">
        <f t="shared" si="7"/>
        <v>5.2046867345278969E-3</v>
      </c>
      <c r="G48" s="219">
        <v>8</v>
      </c>
      <c r="H48" s="16" t="str">
        <f t="shared" ca="1" si="5"/>
        <v/>
      </c>
      <c r="I48" s="17">
        <f t="shared" ca="1" si="6"/>
        <v>9.4222222223156127</v>
      </c>
      <c r="J48" s="18">
        <f t="shared" si="3"/>
        <v>0.8</v>
      </c>
      <c r="L48" s="144"/>
      <c r="M48" s="113"/>
      <c r="N48" s="113"/>
      <c r="O48" s="169"/>
    </row>
    <row r="49" spans="2:15" x14ac:dyDescent="0.2">
      <c r="B49" s="14">
        <f t="shared" si="0"/>
        <v>17</v>
      </c>
      <c r="C49" s="205" t="s">
        <v>182</v>
      </c>
      <c r="D49" s="206">
        <v>9.2102777778520242</v>
      </c>
      <c r="E49" s="15">
        <f>SUM(D$33:D49)/SUM($D$33:$D$62)</f>
        <v>0.98260358009398263</v>
      </c>
      <c r="F49" s="39">
        <f t="shared" si="7"/>
        <v>5.0876119710030476E-3</v>
      </c>
      <c r="G49" s="219">
        <v>2</v>
      </c>
      <c r="H49" s="16" t="str">
        <f t="shared" ca="1" si="5"/>
        <v/>
      </c>
      <c r="I49" s="17">
        <f t="shared" ca="1" si="6"/>
        <v>9.2102777778520242</v>
      </c>
      <c r="J49" s="18">
        <f t="shared" si="3"/>
        <v>0.8</v>
      </c>
      <c r="L49" s="144"/>
      <c r="M49" s="113"/>
      <c r="N49" s="113"/>
      <c r="O49" s="169"/>
    </row>
    <row r="50" spans="2:15" x14ac:dyDescent="0.2">
      <c r="B50" s="14">
        <f t="shared" si="0"/>
        <v>18</v>
      </c>
      <c r="C50" s="205" t="s">
        <v>94</v>
      </c>
      <c r="D50" s="206">
        <v>8.5527777778450407</v>
      </c>
      <c r="E50" s="15">
        <f>SUM(D$33:D50)/SUM($D$33:$D$62)</f>
        <v>0.98732799944999039</v>
      </c>
      <c r="F50" s="39">
        <f t="shared" si="7"/>
        <v>4.7244193560077585E-3</v>
      </c>
      <c r="G50" s="219">
        <v>12</v>
      </c>
      <c r="H50" s="16" t="str">
        <f t="shared" ca="1" si="5"/>
        <v/>
      </c>
      <c r="I50" s="17">
        <f t="shared" ca="1" si="6"/>
        <v>8.5527777778450407</v>
      </c>
      <c r="J50" s="18">
        <f t="shared" si="3"/>
        <v>0.8</v>
      </c>
      <c r="L50" s="144"/>
      <c r="M50" s="113"/>
      <c r="N50" s="113"/>
      <c r="O50" s="169"/>
    </row>
    <row r="51" spans="2:15" x14ac:dyDescent="0.2">
      <c r="B51" s="14">
        <f t="shared" si="0"/>
        <v>19</v>
      </c>
      <c r="C51" s="205" t="s">
        <v>95</v>
      </c>
      <c r="D51" s="206">
        <v>7.6802777778147719</v>
      </c>
      <c r="E51" s="15">
        <f>SUM(D$33:D51)/SUM($D$33:$D$62)</f>
        <v>0.99157046358684853</v>
      </c>
      <c r="F51" s="39">
        <f t="shared" si="7"/>
        <v>4.2424641368581373E-3</v>
      </c>
      <c r="G51" s="219">
        <v>4</v>
      </c>
      <c r="H51" s="16" t="str">
        <f t="shared" ca="1" si="5"/>
        <v/>
      </c>
      <c r="I51" s="17">
        <f t="shared" ca="1" si="6"/>
        <v>7.6802777778147719</v>
      </c>
      <c r="J51" s="18">
        <f t="shared" si="3"/>
        <v>0.8</v>
      </c>
      <c r="L51" s="144"/>
      <c r="M51" s="113"/>
      <c r="N51" s="113"/>
      <c r="O51" s="169"/>
    </row>
    <row r="52" spans="2:15" x14ac:dyDescent="0.2">
      <c r="B52" s="14">
        <f t="shared" si="0"/>
        <v>20</v>
      </c>
      <c r="C52" s="205" t="s">
        <v>185</v>
      </c>
      <c r="D52" s="206">
        <v>3.87</v>
      </c>
      <c r="E52" s="15">
        <f>SUM(D$33:D52)/SUM($D$33:$D$62)</f>
        <v>0.99370819046139813</v>
      </c>
      <c r="F52" s="39">
        <f t="shared" si="7"/>
        <v>2.1377268745496059E-3</v>
      </c>
      <c r="G52" s="219">
        <v>3</v>
      </c>
      <c r="H52" s="16" t="str">
        <f t="shared" ca="1" si="5"/>
        <v/>
      </c>
      <c r="I52" s="17">
        <f t="shared" ca="1" si="6"/>
        <v>3.87</v>
      </c>
      <c r="J52" s="18">
        <f t="shared" si="3"/>
        <v>0.8</v>
      </c>
      <c r="L52" s="144"/>
      <c r="M52" s="113"/>
      <c r="N52" s="113"/>
      <c r="O52" s="169"/>
    </row>
    <row r="53" spans="2:15" x14ac:dyDescent="0.2">
      <c r="B53" s="14">
        <f t="shared" si="0"/>
        <v>21</v>
      </c>
      <c r="C53" s="205" t="s">
        <v>79</v>
      </c>
      <c r="D53" s="206">
        <v>2.6399999999999997</v>
      </c>
      <c r="E53" s="15">
        <f>SUM(D$33:D53)/SUM($D$33:$D$62)</f>
        <v>0.99516648476341651</v>
      </c>
      <c r="F53" s="39">
        <f t="shared" si="7"/>
        <v>1.4582943020183814E-3</v>
      </c>
      <c r="G53" s="219">
        <v>6</v>
      </c>
      <c r="H53" s="16" t="str">
        <f t="shared" ca="1" si="1"/>
        <v/>
      </c>
      <c r="I53" s="17">
        <f t="shared" ca="1" si="2"/>
        <v>2.6399999999999997</v>
      </c>
      <c r="J53" s="18">
        <f t="shared" si="3"/>
        <v>0.8</v>
      </c>
      <c r="L53" s="144"/>
      <c r="M53" s="113"/>
      <c r="N53" s="113"/>
      <c r="O53" s="169"/>
    </row>
    <row r="54" spans="2:15" x14ac:dyDescent="0.2">
      <c r="B54" s="14">
        <f t="shared" si="0"/>
        <v>22</v>
      </c>
      <c r="C54" s="205" t="s">
        <v>98</v>
      </c>
      <c r="D54" s="206">
        <v>2.5722222222387789</v>
      </c>
      <c r="E54" s="15">
        <f>SUM(D$33:D54)/SUM($D$33:$D$62)</f>
        <v>0.99658733969152846</v>
      </c>
      <c r="F54" s="39">
        <f t="shared" si="7"/>
        <v>1.4208549281119476E-3</v>
      </c>
      <c r="G54" s="219">
        <v>9</v>
      </c>
      <c r="H54" s="16" t="str">
        <f t="shared" ca="1" si="1"/>
        <v/>
      </c>
      <c r="I54" s="17">
        <f t="shared" ca="1" si="2"/>
        <v>2.5722222222387789</v>
      </c>
      <c r="J54" s="18">
        <f t="shared" si="3"/>
        <v>0.8</v>
      </c>
      <c r="L54" s="144"/>
      <c r="M54" s="113"/>
      <c r="N54" s="113"/>
      <c r="O54" s="169"/>
    </row>
    <row r="55" spans="2:15" x14ac:dyDescent="0.2">
      <c r="B55" s="14">
        <f t="shared" si="0"/>
        <v>23</v>
      </c>
      <c r="C55" s="31" t="s">
        <v>80</v>
      </c>
      <c r="D55" s="137">
        <v>2.4799999999580904</v>
      </c>
      <c r="E55" s="15">
        <f>SUM(D$33:D55)/SUM($D$33:$D$62)</f>
        <v>0.99795725252067413</v>
      </c>
      <c r="F55" s="39">
        <f t="shared" si="4"/>
        <v>1.3699128291456697E-3</v>
      </c>
      <c r="G55" s="219">
        <v>6</v>
      </c>
      <c r="H55" s="16" t="str">
        <f t="shared" ca="1" si="1"/>
        <v/>
      </c>
      <c r="I55" s="17">
        <f t="shared" ca="1" si="2"/>
        <v>2.4799999999580904</v>
      </c>
      <c r="J55" s="18">
        <f t="shared" si="3"/>
        <v>0.8</v>
      </c>
      <c r="L55" s="144"/>
      <c r="M55" s="113"/>
      <c r="N55" s="113"/>
      <c r="O55" s="169"/>
    </row>
    <row r="56" spans="2:15" x14ac:dyDescent="0.2">
      <c r="B56" s="14">
        <f t="shared" si="0"/>
        <v>24</v>
      </c>
      <c r="C56" s="31" t="s">
        <v>179</v>
      </c>
      <c r="D56" s="137">
        <v>1.267500000083819</v>
      </c>
      <c r="E56" s="15">
        <f>SUM(D$33:D56)/SUM($D$33:$D$62)</f>
        <v>0.99865739950095089</v>
      </c>
      <c r="F56" s="39">
        <f t="shared" si="4"/>
        <v>7.0014698027676125E-4</v>
      </c>
      <c r="G56" s="219">
        <v>6</v>
      </c>
      <c r="H56" s="16" t="str">
        <f t="shared" ca="1" si="1"/>
        <v/>
      </c>
      <c r="I56" s="17">
        <f t="shared" ca="1" si="2"/>
        <v>1.267500000083819</v>
      </c>
      <c r="J56" s="18">
        <f t="shared" si="3"/>
        <v>0.8</v>
      </c>
    </row>
    <row r="57" spans="2:15" x14ac:dyDescent="0.2">
      <c r="B57" s="14">
        <f t="shared" si="0"/>
        <v>25</v>
      </c>
      <c r="C57" s="31" t="s">
        <v>84</v>
      </c>
      <c r="D57" s="137">
        <v>0.61</v>
      </c>
      <c r="E57" s="15">
        <f>SUM(D$33:D57)/SUM($D$33:$D$62)</f>
        <v>0.99899435386618984</v>
      </c>
      <c r="F57" s="39">
        <f t="shared" si="4"/>
        <v>3.3695436523895061E-4</v>
      </c>
      <c r="G57" s="219">
        <v>1</v>
      </c>
      <c r="H57" s="16" t="str">
        <f t="shared" ca="1" si="1"/>
        <v/>
      </c>
      <c r="I57" s="17">
        <f t="shared" ca="1" si="2"/>
        <v>0.61</v>
      </c>
      <c r="J57" s="18">
        <f t="shared" si="3"/>
        <v>0.8</v>
      </c>
    </row>
    <row r="58" spans="2:15" x14ac:dyDescent="0.2">
      <c r="B58" s="14">
        <f t="shared" si="0"/>
        <v>26</v>
      </c>
      <c r="C58" s="31" t="s">
        <v>130</v>
      </c>
      <c r="D58" s="137">
        <v>0.53333333332557231</v>
      </c>
      <c r="E58" s="15">
        <f>SUM(D$33:D58)/SUM($D$33:$D$62)</f>
        <v>0.99928895877568424</v>
      </c>
      <c r="F58" s="39">
        <f t="shared" si="4"/>
        <v>2.9460490949440032E-4</v>
      </c>
      <c r="G58" s="219">
        <v>1</v>
      </c>
      <c r="H58" s="16" t="str">
        <f t="shared" ca="1" si="1"/>
        <v/>
      </c>
      <c r="I58" s="17">
        <f t="shared" ca="1" si="2"/>
        <v>0.53333333332557231</v>
      </c>
      <c r="J58" s="18">
        <f t="shared" si="3"/>
        <v>0.8</v>
      </c>
    </row>
    <row r="59" spans="2:15" x14ac:dyDescent="0.2">
      <c r="B59" s="14">
        <f t="shared" si="0"/>
        <v>27</v>
      </c>
      <c r="C59" s="31" t="s">
        <v>74</v>
      </c>
      <c r="D59" s="137">
        <v>0.49</v>
      </c>
      <c r="E59" s="15">
        <f>SUM(D$33:D59)/SUM($D$33:$D$62)</f>
        <v>0.9995596270362862</v>
      </c>
      <c r="F59" s="39">
        <f t="shared" si="4"/>
        <v>2.7066826060195837E-4</v>
      </c>
      <c r="G59" s="219">
        <v>1</v>
      </c>
      <c r="H59" s="16" t="str">
        <f t="shared" ca="1" si="1"/>
        <v/>
      </c>
      <c r="I59" s="17">
        <f t="shared" ca="1" si="2"/>
        <v>0.49</v>
      </c>
      <c r="J59" s="18">
        <f t="shared" si="3"/>
        <v>0.8</v>
      </c>
    </row>
    <row r="60" spans="2:15" x14ac:dyDescent="0.2">
      <c r="B60" s="14">
        <f t="shared" si="0"/>
        <v>28</v>
      </c>
      <c r="C60" s="31" t="s">
        <v>28</v>
      </c>
      <c r="D60" s="137">
        <v>0.4</v>
      </c>
      <c r="E60" s="15">
        <f>SUM(D$33:D60)/SUM($D$33:$D$62)</f>
        <v>0.99978058071841014</v>
      </c>
      <c r="F60" s="39">
        <f t="shared" si="4"/>
        <v>2.2095368212393662E-4</v>
      </c>
      <c r="G60" s="219">
        <v>1</v>
      </c>
      <c r="H60" s="16" t="str">
        <f t="shared" ca="1" si="1"/>
        <v/>
      </c>
      <c r="I60" s="17">
        <f t="shared" ca="1" si="2"/>
        <v>0.4</v>
      </c>
      <c r="J60" s="18">
        <f t="shared" si="3"/>
        <v>0.8</v>
      </c>
    </row>
    <row r="61" spans="2:15" x14ac:dyDescent="0.2">
      <c r="B61" s="14">
        <f t="shared" si="0"/>
        <v>29</v>
      </c>
      <c r="C61" s="31" t="s">
        <v>27</v>
      </c>
      <c r="D61" s="137">
        <v>0.32</v>
      </c>
      <c r="E61" s="15">
        <f>SUM(D$33:D61)/SUM($D$33:$D$62)</f>
        <v>0.99995734366410938</v>
      </c>
      <c r="F61" s="39">
        <f t="shared" si="4"/>
        <v>1.7676294569923812E-4</v>
      </c>
      <c r="G61" s="219">
        <v>1</v>
      </c>
      <c r="H61" s="16" t="str">
        <f t="shared" ca="1" si="1"/>
        <v/>
      </c>
      <c r="I61" s="17">
        <f t="shared" ca="1" si="2"/>
        <v>0.32</v>
      </c>
      <c r="J61" s="18">
        <f t="shared" si="3"/>
        <v>0.8</v>
      </c>
    </row>
    <row r="62" spans="2:15" x14ac:dyDescent="0.2">
      <c r="B62" s="14">
        <f t="shared" si="0"/>
        <v>30</v>
      </c>
      <c r="C62" s="31" t="s">
        <v>180</v>
      </c>
      <c r="D62" s="137">
        <v>7.7222222287673503E-2</v>
      </c>
      <c r="E62" s="15">
        <f>SUM(D$33:D62)/SUM($D$33:$D$62)</f>
        <v>1</v>
      </c>
      <c r="F62" s="39">
        <f t="shared" si="4"/>
        <v>4.2656335890622898E-5</v>
      </c>
      <c r="G62" s="219">
        <v>1</v>
      </c>
      <c r="H62" s="16" t="str">
        <f t="shared" ca="1" si="1"/>
        <v/>
      </c>
      <c r="I62" s="17">
        <f t="shared" ca="1" si="2"/>
        <v>7.7222222287673503E-2</v>
      </c>
      <c r="J62" s="18">
        <f t="shared" si="3"/>
        <v>0.8</v>
      </c>
    </row>
    <row r="63" spans="2:15" x14ac:dyDescent="0.2">
      <c r="B63" s="19" t="s">
        <v>12</v>
      </c>
      <c r="C63" s="1"/>
      <c r="D63" s="1"/>
      <c r="E63" s="1"/>
      <c r="F63" s="1"/>
      <c r="G63" s="1"/>
      <c r="H63" s="1"/>
      <c r="I63" s="1"/>
      <c r="J63" s="1"/>
    </row>
    <row r="68" spans="2:5" x14ac:dyDescent="0.2">
      <c r="B68" s="114" t="s">
        <v>3</v>
      </c>
      <c r="C68" s="115" t="s">
        <v>136</v>
      </c>
      <c r="D68" s="115"/>
      <c r="E68" s="116" t="s">
        <v>137</v>
      </c>
    </row>
    <row r="69" spans="2:5" x14ac:dyDescent="0.2">
      <c r="B69" s="32"/>
      <c r="C69" s="32"/>
      <c r="D69" s="32"/>
      <c r="E69" s="32"/>
    </row>
    <row r="70" spans="2:5" x14ac:dyDescent="0.2">
      <c r="B70" s="114">
        <v>1</v>
      </c>
      <c r="C70" s="32" t="str">
        <f>VLOOKUP(B70,$L$4:$O$43,2,0)</f>
        <v>Main Hoist (Closer)</v>
      </c>
      <c r="D70" s="166">
        <f>VLOOKUP(B70,$L$4:$O$43,4,0)</f>
        <v>323.18388888886199</v>
      </c>
      <c r="E70" s="114">
        <f>VLOOKUP(B70,$L$4:$O$43,3,0)</f>
        <v>13</v>
      </c>
    </row>
    <row r="71" spans="2:5" x14ac:dyDescent="0.2">
      <c r="B71" s="114">
        <v>2</v>
      </c>
      <c r="C71" s="32" t="str">
        <f t="shared" ref="C71:C109" si="8">VLOOKUP(B71,$L$4:$O$43,2,0)</f>
        <v>Crane Swing (Drive (motor, gear box, etc.))</v>
      </c>
      <c r="D71" s="166">
        <f t="shared" ref="D71:D109" si="9">VLOOKUP(B71,$L$4:$O$43,4,0)</f>
        <v>181.73111111119854</v>
      </c>
      <c r="E71" s="114">
        <f t="shared" ref="E71:E109" si="10">VLOOKUP(B71,$L$4:$O$43,3,0)</f>
        <v>86</v>
      </c>
    </row>
    <row r="72" spans="2:5" x14ac:dyDescent="0.2">
      <c r="B72" s="114">
        <v>3</v>
      </c>
      <c r="C72" s="32" t="str">
        <f t="shared" si="8"/>
        <v>Main Hoist (Closer Wire)</v>
      </c>
      <c r="D72" s="166">
        <f t="shared" si="9"/>
        <v>97.017500000118744</v>
      </c>
      <c r="E72" s="114">
        <f t="shared" si="10"/>
        <v>40</v>
      </c>
    </row>
    <row r="73" spans="2:5" x14ac:dyDescent="0.2">
      <c r="B73" s="114">
        <v>4</v>
      </c>
      <c r="C73" s="32" t="str">
        <f t="shared" si="8"/>
        <v>Electrical/Electronics (MCC / Switch Gear)</v>
      </c>
      <c r="D73" s="166">
        <f t="shared" si="9"/>
        <v>70.25</v>
      </c>
      <c r="E73" s="114">
        <f t="shared" si="10"/>
        <v>1</v>
      </c>
    </row>
    <row r="74" spans="2:5" x14ac:dyDescent="0.2">
      <c r="B74" s="114">
        <v>5</v>
      </c>
      <c r="C74" s="32" t="str">
        <f t="shared" si="8"/>
        <v>Main / Aux. Generators (Main Generator Engine)</v>
      </c>
      <c r="D74" s="166">
        <f t="shared" si="9"/>
        <v>70.080277777747256</v>
      </c>
      <c r="E74" s="114">
        <f t="shared" si="10"/>
        <v>9</v>
      </c>
    </row>
    <row r="75" spans="2:5" x14ac:dyDescent="0.2">
      <c r="B75" s="114">
        <v>6</v>
      </c>
      <c r="C75" s="32" t="str">
        <f t="shared" si="8"/>
        <v>Main Hoist (Holder)</v>
      </c>
      <c r="D75" s="166">
        <f t="shared" si="9"/>
        <v>58.528611110751513</v>
      </c>
      <c r="E75" s="114">
        <f t="shared" si="10"/>
        <v>44</v>
      </c>
    </row>
    <row r="76" spans="2:5" x14ac:dyDescent="0.2">
      <c r="B76" s="114">
        <v>7</v>
      </c>
      <c r="C76" s="32" t="str">
        <f t="shared" si="8"/>
        <v>Tugs and Scows (Scow Repair)</v>
      </c>
      <c r="D76" s="166">
        <f t="shared" si="9"/>
        <v>47.489999999976718</v>
      </c>
      <c r="E76" s="114">
        <f t="shared" si="10"/>
        <v>49</v>
      </c>
    </row>
    <row r="77" spans="2:5" x14ac:dyDescent="0.2">
      <c r="B77" s="114">
        <v>8</v>
      </c>
      <c r="C77" s="32" t="str">
        <f t="shared" si="8"/>
        <v>Spud System (Walking Mechanisms (Carriage / Travel))</v>
      </c>
      <c r="D77" s="166">
        <f t="shared" si="9"/>
        <v>43.398611111186909</v>
      </c>
      <c r="E77" s="114">
        <f t="shared" si="10"/>
        <v>42</v>
      </c>
    </row>
    <row r="78" spans="2:5" x14ac:dyDescent="0.2">
      <c r="B78" s="114">
        <v>9</v>
      </c>
      <c r="C78" s="32" t="str">
        <f t="shared" si="8"/>
        <v>Buckets (Weld / Repair Bucket)</v>
      </c>
      <c r="D78" s="166">
        <f t="shared" si="9"/>
        <v>37.383333333181213</v>
      </c>
      <c r="E78" s="114">
        <f t="shared" si="10"/>
        <v>44</v>
      </c>
    </row>
    <row r="79" spans="2:5" x14ac:dyDescent="0.2">
      <c r="B79" s="114">
        <v>10</v>
      </c>
      <c r="C79" s="32" t="str">
        <f t="shared" si="8"/>
        <v>Auxiliary Systems (Heating, Ventilation, A/C)</v>
      </c>
      <c r="D79" s="166">
        <f t="shared" si="9"/>
        <v>35.008333333688789</v>
      </c>
      <c r="E79" s="114">
        <f t="shared" si="10"/>
        <v>31</v>
      </c>
    </row>
    <row r="80" spans="2:5" x14ac:dyDescent="0.2">
      <c r="B80" s="114">
        <v>11</v>
      </c>
      <c r="C80" s="32" t="str">
        <f t="shared" si="8"/>
        <v>Electrical/Electronics (PLC)</v>
      </c>
      <c r="D80" s="166">
        <f t="shared" si="9"/>
        <v>29.599999999999998</v>
      </c>
      <c r="E80" s="114">
        <f t="shared" si="10"/>
        <v>8</v>
      </c>
    </row>
    <row r="81" spans="2:5" x14ac:dyDescent="0.2">
      <c r="B81" s="114">
        <v>12</v>
      </c>
      <c r="C81" s="32" t="str">
        <f t="shared" si="8"/>
        <v>Main Hoist (Holder Wire)</v>
      </c>
      <c r="D81" s="166">
        <f t="shared" si="9"/>
        <v>26.99444444476627</v>
      </c>
      <c r="E81" s="114">
        <f t="shared" si="10"/>
        <v>19</v>
      </c>
    </row>
    <row r="82" spans="2:5" x14ac:dyDescent="0.2">
      <c r="B82" s="114">
        <v>13</v>
      </c>
      <c r="C82" s="32" t="str">
        <f t="shared" si="8"/>
        <v>Crane Boom (Boom Winch)</v>
      </c>
      <c r="D82" s="166">
        <f t="shared" si="9"/>
        <v>16.920000000000002</v>
      </c>
      <c r="E82" s="114">
        <f t="shared" si="10"/>
        <v>5</v>
      </c>
    </row>
    <row r="83" spans="2:5" x14ac:dyDescent="0.2">
      <c r="B83" s="114">
        <v>14</v>
      </c>
      <c r="C83" s="32" t="str">
        <f t="shared" si="8"/>
        <v>Spud System (Spud Structure)</v>
      </c>
      <c r="D83" s="166">
        <f t="shared" si="9"/>
        <v>15.89</v>
      </c>
      <c r="E83" s="114">
        <f t="shared" si="10"/>
        <v>3</v>
      </c>
    </row>
    <row r="84" spans="2:5" x14ac:dyDescent="0.2">
      <c r="B84" s="114">
        <v>15</v>
      </c>
      <c r="C84" s="32" t="str">
        <f t="shared" si="8"/>
        <v>Tagline (Tagline Wire)</v>
      </c>
      <c r="D84" s="166">
        <f t="shared" si="9"/>
        <v>13.072222222057171</v>
      </c>
      <c r="E84" s="114">
        <f t="shared" si="10"/>
        <v>25</v>
      </c>
    </row>
    <row r="85" spans="2:5" x14ac:dyDescent="0.2">
      <c r="B85" s="114">
        <v>16</v>
      </c>
      <c r="C85" s="32" t="str">
        <f t="shared" si="8"/>
        <v>Main / Aux. Generators (Main Generator)</v>
      </c>
      <c r="D85" s="166">
        <f t="shared" si="9"/>
        <v>9.4222222223156127</v>
      </c>
      <c r="E85" s="114">
        <f t="shared" si="10"/>
        <v>8</v>
      </c>
    </row>
    <row r="86" spans="2:5" x14ac:dyDescent="0.2">
      <c r="B86" s="114">
        <v>17</v>
      </c>
      <c r="C86" s="32" t="str">
        <f t="shared" si="8"/>
        <v>Crane Swing (Swing Circle (rollers, etc.))</v>
      </c>
      <c r="D86" s="166">
        <f t="shared" si="9"/>
        <v>9.2102777778520242</v>
      </c>
      <c r="E86" s="114">
        <f t="shared" si="10"/>
        <v>2</v>
      </c>
    </row>
    <row r="87" spans="2:5" x14ac:dyDescent="0.2">
      <c r="B87" s="114">
        <v>18</v>
      </c>
      <c r="C87" s="32" t="str">
        <f t="shared" si="8"/>
        <v>Spud System (Spud Winch)</v>
      </c>
      <c r="D87" s="166">
        <f t="shared" si="9"/>
        <v>8.5527777778450407</v>
      </c>
      <c r="E87" s="114">
        <f t="shared" si="10"/>
        <v>12</v>
      </c>
    </row>
    <row r="88" spans="2:5" x14ac:dyDescent="0.2">
      <c r="B88" s="114">
        <v>19</v>
      </c>
      <c r="C88" s="32" t="str">
        <f t="shared" si="8"/>
        <v>Spud System (Spud Wires)</v>
      </c>
      <c r="D88" s="166">
        <f t="shared" si="9"/>
        <v>7.6802777778147719</v>
      </c>
      <c r="E88" s="114">
        <f t="shared" si="10"/>
        <v>4</v>
      </c>
    </row>
    <row r="89" spans="2:5" x14ac:dyDescent="0.2">
      <c r="B89" s="114">
        <v>20</v>
      </c>
      <c r="C89" s="32" t="str">
        <f t="shared" si="8"/>
        <v>Electrical/Electronics (Transformers)</v>
      </c>
      <c r="D89" s="166">
        <f t="shared" si="9"/>
        <v>3.87</v>
      </c>
      <c r="E89" s="114">
        <f t="shared" si="10"/>
        <v>3</v>
      </c>
    </row>
    <row r="90" spans="2:5" x14ac:dyDescent="0.2">
      <c r="B90" s="114">
        <v>21</v>
      </c>
      <c r="C90" s="32" t="str">
        <f t="shared" si="8"/>
        <v>Deck Winch (Fairleads)</v>
      </c>
      <c r="D90" s="166">
        <f t="shared" si="9"/>
        <v>2.6399999999999997</v>
      </c>
      <c r="E90" s="114">
        <f t="shared" si="10"/>
        <v>6</v>
      </c>
    </row>
    <row r="91" spans="2:5" x14ac:dyDescent="0.2">
      <c r="B91" s="114">
        <v>22</v>
      </c>
      <c r="C91" s="32" t="str">
        <f t="shared" si="8"/>
        <v>Tugs and Scows (Tug Repair)</v>
      </c>
      <c r="D91" s="166">
        <f t="shared" si="9"/>
        <v>2.5722222222387789</v>
      </c>
      <c r="E91" s="114">
        <f t="shared" si="10"/>
        <v>9</v>
      </c>
    </row>
    <row r="92" spans="2:5" x14ac:dyDescent="0.2">
      <c r="B92" s="114">
        <v>23</v>
      </c>
      <c r="C92" s="32" t="str">
        <f t="shared" si="8"/>
        <v>Deck Winch (Winch)</v>
      </c>
      <c r="D92" s="166">
        <f t="shared" si="9"/>
        <v>2.4799999999580904</v>
      </c>
      <c r="E92" s="114">
        <f t="shared" si="10"/>
        <v>6</v>
      </c>
    </row>
    <row r="93" spans="2:5" x14ac:dyDescent="0.2">
      <c r="B93" s="114">
        <v>24</v>
      </c>
      <c r="C93" s="32" t="str">
        <f t="shared" si="8"/>
        <v>Hull (Deck Fittings (cleats, timbers, etc.))</v>
      </c>
      <c r="D93" s="166">
        <f t="shared" si="9"/>
        <v>1.267500000083819</v>
      </c>
      <c r="E93" s="114">
        <f t="shared" si="10"/>
        <v>6</v>
      </c>
    </row>
    <row r="94" spans="2:5" x14ac:dyDescent="0.2">
      <c r="B94" s="114">
        <v>25</v>
      </c>
      <c r="C94" s="32" t="str">
        <f t="shared" si="8"/>
        <v>Hull (Hull / House Repair)</v>
      </c>
      <c r="D94" s="166">
        <f t="shared" si="9"/>
        <v>0.61</v>
      </c>
      <c r="E94" s="114">
        <f t="shared" si="10"/>
        <v>1</v>
      </c>
    </row>
    <row r="95" spans="2:5" x14ac:dyDescent="0.2">
      <c r="B95" s="114">
        <v>26</v>
      </c>
      <c r="C95" s="32" t="str">
        <f t="shared" si="8"/>
        <v>Tagline (Tagline Sheaves)</v>
      </c>
      <c r="D95" s="166">
        <f t="shared" si="9"/>
        <v>0.53333333332557231</v>
      </c>
      <c r="E95" s="114">
        <f t="shared" si="10"/>
        <v>1</v>
      </c>
    </row>
    <row r="96" spans="2:5" x14ac:dyDescent="0.2">
      <c r="B96" s="114">
        <v>27</v>
      </c>
      <c r="C96" s="32" t="str">
        <f t="shared" si="8"/>
        <v>Crane Boom (Boom / Gantry Sheaves)</v>
      </c>
      <c r="D96" s="166">
        <f t="shared" si="9"/>
        <v>0.49</v>
      </c>
      <c r="E96" s="114">
        <f t="shared" si="10"/>
        <v>1</v>
      </c>
    </row>
    <row r="97" spans="2:5" x14ac:dyDescent="0.2">
      <c r="B97" s="114">
        <v>28</v>
      </c>
      <c r="C97" s="32" t="str">
        <f t="shared" si="8"/>
        <v>Auxiliary Systems (Fuel)</v>
      </c>
      <c r="D97" s="166">
        <f t="shared" si="9"/>
        <v>0.4</v>
      </c>
      <c r="E97" s="114">
        <f t="shared" si="10"/>
        <v>1</v>
      </c>
    </row>
    <row r="98" spans="2:5" x14ac:dyDescent="0.2">
      <c r="B98" s="114">
        <v>29</v>
      </c>
      <c r="C98" s="32" t="str">
        <f t="shared" si="8"/>
        <v>Auxiliary Systems (Compressed Air)</v>
      </c>
      <c r="D98" s="166">
        <f t="shared" si="9"/>
        <v>0.32</v>
      </c>
      <c r="E98" s="114">
        <f t="shared" si="10"/>
        <v>1</v>
      </c>
    </row>
    <row r="99" spans="2:5" x14ac:dyDescent="0.2">
      <c r="B99" s="114">
        <v>30</v>
      </c>
      <c r="C99" s="32" t="str">
        <f t="shared" si="8"/>
        <v>Tagline (Tagline Winch (motor, gearbox, etc.))</v>
      </c>
      <c r="D99" s="166">
        <f t="shared" si="9"/>
        <v>7.7222222287673503E-2</v>
      </c>
      <c r="E99" s="114">
        <f t="shared" si="10"/>
        <v>1</v>
      </c>
    </row>
    <row r="100" spans="2:5" x14ac:dyDescent="0.2">
      <c r="B100" s="114">
        <v>31</v>
      </c>
      <c r="C100" s="32" t="str">
        <f t="shared" si="8"/>
        <v>Auxiliary Systems (Deck Crane)</v>
      </c>
      <c r="D100" s="166">
        <f t="shared" si="9"/>
        <v>0</v>
      </c>
      <c r="E100" s="114">
        <f t="shared" si="10"/>
        <v>0</v>
      </c>
    </row>
    <row r="101" spans="2:5" x14ac:dyDescent="0.2">
      <c r="B101" s="114">
        <v>32</v>
      </c>
      <c r="C101" s="32" t="str">
        <f t="shared" si="8"/>
        <v>Auxiliary Systems (Fire Main)</v>
      </c>
      <c r="D101" s="166">
        <f t="shared" si="9"/>
        <v>0</v>
      </c>
      <c r="E101" s="114">
        <f t="shared" si="10"/>
        <v>0</v>
      </c>
    </row>
    <row r="102" spans="2:5" x14ac:dyDescent="0.2">
      <c r="B102" s="114">
        <v>33</v>
      </c>
      <c r="C102" s="32" t="str">
        <f t="shared" si="8"/>
        <v>Auxiliary Systems (Potable Water)</v>
      </c>
      <c r="D102" s="166">
        <f t="shared" si="9"/>
        <v>0</v>
      </c>
      <c r="E102" s="114">
        <f t="shared" si="10"/>
        <v>0</v>
      </c>
    </row>
    <row r="103" spans="2:5" x14ac:dyDescent="0.2">
      <c r="B103" s="114">
        <v>34</v>
      </c>
      <c r="C103" s="32" t="str">
        <f t="shared" si="8"/>
        <v>Auxiliary Systems (Sanitary System)</v>
      </c>
      <c r="D103" s="166">
        <f t="shared" si="9"/>
        <v>0</v>
      </c>
      <c r="E103" s="114">
        <f t="shared" si="10"/>
        <v>0</v>
      </c>
    </row>
    <row r="104" spans="2:5" x14ac:dyDescent="0.2">
      <c r="B104" s="114">
        <v>35</v>
      </c>
      <c r="C104" s="32" t="str">
        <f t="shared" si="8"/>
        <v>Crane Boom (Boom / Gantry Structure)</v>
      </c>
      <c r="D104" s="166">
        <f t="shared" si="9"/>
        <v>0</v>
      </c>
      <c r="E104" s="114">
        <f t="shared" si="10"/>
        <v>0</v>
      </c>
    </row>
    <row r="105" spans="2:5" x14ac:dyDescent="0.2">
      <c r="B105" s="114">
        <v>36</v>
      </c>
      <c r="C105" s="32" t="str">
        <f t="shared" si="8"/>
        <v>Crane Boom (Boom Wires)</v>
      </c>
      <c r="D105" s="166">
        <f t="shared" si="9"/>
        <v>0</v>
      </c>
      <c r="E105" s="114">
        <f t="shared" si="10"/>
        <v>0</v>
      </c>
    </row>
    <row r="106" spans="2:5" x14ac:dyDescent="0.2">
      <c r="B106" s="114">
        <v>37</v>
      </c>
      <c r="C106" s="32" t="str">
        <f t="shared" si="8"/>
        <v>Crane Boom (Penant Wire)</v>
      </c>
      <c r="D106" s="166">
        <f t="shared" si="9"/>
        <v>0</v>
      </c>
      <c r="E106" s="114">
        <f t="shared" si="10"/>
        <v>0</v>
      </c>
    </row>
    <row r="107" spans="2:5" x14ac:dyDescent="0.2">
      <c r="B107" s="114">
        <v>38</v>
      </c>
      <c r="C107" s="32" t="str">
        <f t="shared" si="8"/>
        <v>Electrical/Electronics (Navigation Lights)</v>
      </c>
      <c r="D107" s="166">
        <f t="shared" si="9"/>
        <v>0</v>
      </c>
      <c r="E107" s="114">
        <f t="shared" si="10"/>
        <v>0</v>
      </c>
    </row>
    <row r="108" spans="2:5" x14ac:dyDescent="0.2">
      <c r="B108" s="114">
        <v>39</v>
      </c>
      <c r="C108" s="32" t="str">
        <f t="shared" si="8"/>
        <v>Main / Aux. Generators (Auxiliary Generator)</v>
      </c>
      <c r="D108" s="166">
        <f t="shared" si="9"/>
        <v>0</v>
      </c>
      <c r="E108" s="114">
        <f t="shared" si="10"/>
        <v>0</v>
      </c>
    </row>
    <row r="109" spans="2:5" x14ac:dyDescent="0.2">
      <c r="B109" s="114">
        <v>40</v>
      </c>
      <c r="C109" s="32" t="str">
        <f t="shared" si="8"/>
        <v>Spud System (Spud Sheaves)</v>
      </c>
      <c r="D109" s="166">
        <f t="shared" si="9"/>
        <v>0</v>
      </c>
      <c r="E109" s="114">
        <f t="shared" si="10"/>
        <v>0</v>
      </c>
    </row>
  </sheetData>
  <mergeCells count="1">
    <mergeCell ref="M3:O3"/>
  </mergeCells>
  <pageMargins left="0.75" right="0.75" top="0.5" bottom="0.5" header="0.5" footer="0.25"/>
  <pageSetup scale="88"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3"/>
  <sheetViews>
    <sheetView showGridLines="0" topLeftCell="F1" zoomScale="75" zoomScaleNormal="75" workbookViewId="0">
      <selection activeCell="R3" sqref="R3:S45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2" bestFit="1" customWidth="1"/>
    <col min="7" max="7" width="7.7109375" style="2" bestFit="1" customWidth="1"/>
    <col min="8" max="10" width="13.42578125" style="2" customWidth="1"/>
    <col min="11" max="11" width="7.7109375" style="2" customWidth="1"/>
    <col min="12" max="12" width="13.42578125" style="2" customWidth="1"/>
    <col min="13" max="14" width="1.85546875" style="2" bestFit="1" customWidth="1"/>
    <col min="15" max="15" width="20.85546875" style="2" customWidth="1"/>
    <col min="16" max="16" width="22.5703125" style="2" bestFit="1" customWidth="1"/>
    <col min="17" max="17" width="43.140625" style="2" customWidth="1"/>
    <col min="18" max="18" width="8" style="2" bestFit="1" customWidth="1"/>
    <col min="19" max="19" width="7.7109375" style="2" bestFit="1" customWidth="1"/>
    <col min="20" max="20" width="4" style="2" customWidth="1"/>
    <col min="21" max="21" width="8" style="2" bestFit="1" customWidth="1"/>
    <col min="22" max="22" width="7.7109375" style="2" bestFit="1" customWidth="1"/>
    <col min="23" max="23" width="4.5703125" style="2" customWidth="1"/>
    <col min="24" max="24" width="8" style="2" bestFit="1" customWidth="1"/>
    <col min="25" max="25" width="7.7109375" style="2" bestFit="1" customWidth="1"/>
    <col min="26" max="26" width="4.42578125" style="2" customWidth="1"/>
    <col min="27" max="27" width="43.140625" style="2" customWidth="1"/>
    <col min="28" max="28" width="8" style="2" bestFit="1" customWidth="1"/>
    <col min="29" max="29" width="7.7109375" style="2" bestFit="1" customWidth="1"/>
    <col min="30" max="16384" width="9.140625" style="2"/>
  </cols>
  <sheetData>
    <row r="1" spans="1:29" s="22" customFormat="1" ht="30" customHeight="1" x14ac:dyDescent="0.2">
      <c r="A1" s="27" t="s">
        <v>2</v>
      </c>
      <c r="B1" s="20"/>
      <c r="C1" s="21"/>
      <c r="D1" s="21"/>
      <c r="E1" s="21"/>
      <c r="F1" s="21"/>
      <c r="M1" s="34"/>
      <c r="N1" s="34"/>
      <c r="O1" s="245" t="s">
        <v>184</v>
      </c>
      <c r="P1" s="245"/>
      <c r="Q1" s="245"/>
      <c r="R1" s="246" t="s">
        <v>122</v>
      </c>
      <c r="S1" s="246"/>
      <c r="T1" s="104"/>
      <c r="U1" s="242" t="s">
        <v>123</v>
      </c>
      <c r="V1" s="242"/>
      <c r="W1" s="105"/>
      <c r="X1" s="242" t="s">
        <v>124</v>
      </c>
      <c r="Y1" s="242"/>
      <c r="Z1" s="71"/>
      <c r="AA1" s="58"/>
      <c r="AB1" s="243"/>
      <c r="AC1" s="243"/>
    </row>
    <row r="2" spans="1:29" ht="15.75" x14ac:dyDescent="0.25">
      <c r="A2" s="3"/>
      <c r="C2" s="4"/>
      <c r="D2" s="4"/>
      <c r="E2" s="4"/>
      <c r="H2" s="30"/>
      <c r="M2" s="72"/>
      <c r="N2" s="72"/>
      <c r="O2" s="73" t="s">
        <v>15</v>
      </c>
      <c r="P2" s="73" t="s">
        <v>16</v>
      </c>
      <c r="Q2" s="73" t="s">
        <v>30</v>
      </c>
      <c r="R2" s="74" t="s">
        <v>14</v>
      </c>
      <c r="S2" s="75" t="s">
        <v>13</v>
      </c>
      <c r="T2" s="58"/>
      <c r="U2" s="74" t="s">
        <v>14</v>
      </c>
      <c r="V2" s="75" t="s">
        <v>13</v>
      </c>
      <c r="W2" s="76"/>
      <c r="X2" s="74" t="s">
        <v>14</v>
      </c>
      <c r="Y2" s="75" t="s">
        <v>13</v>
      </c>
      <c r="Z2" s="43"/>
      <c r="AA2" s="77" t="s">
        <v>125</v>
      </c>
      <c r="AB2" s="78" t="s">
        <v>14</v>
      </c>
      <c r="AC2" s="79" t="s">
        <v>13</v>
      </c>
    </row>
    <row r="3" spans="1:29" ht="15.75" x14ac:dyDescent="0.25">
      <c r="A3" s="5" t="s">
        <v>0</v>
      </c>
      <c r="C3" s="6"/>
      <c r="D3" s="7"/>
      <c r="E3" s="7"/>
      <c r="H3" s="8"/>
      <c r="M3" s="72" t="s">
        <v>25</v>
      </c>
      <c r="N3" s="72" t="s">
        <v>26</v>
      </c>
      <c r="O3" s="72" t="s">
        <v>17</v>
      </c>
      <c r="P3" s="72" t="s">
        <v>18</v>
      </c>
      <c r="Q3" s="80" t="str">
        <f t="shared" ref="Q3:Q45" si="0">O3&amp;" "&amp;M3&amp;P3&amp;N3</f>
        <v>Auxiliary Systems (Compressed Air)</v>
      </c>
      <c r="R3" s="81"/>
      <c r="S3" s="82"/>
      <c r="T3" s="58"/>
      <c r="U3" s="83"/>
      <c r="V3" s="84"/>
      <c r="W3" s="58"/>
      <c r="X3" s="85">
        <f>R3+U3</f>
        <v>0</v>
      </c>
      <c r="Y3" s="85">
        <f>S3+V3</f>
        <v>0</v>
      </c>
      <c r="Z3" s="43"/>
      <c r="AA3" s="86" t="s">
        <v>27</v>
      </c>
      <c r="AB3" s="87">
        <f>X3</f>
        <v>0</v>
      </c>
      <c r="AC3" s="87">
        <f>Y3</f>
        <v>0</v>
      </c>
    </row>
    <row r="4" spans="1:29" x14ac:dyDescent="0.2">
      <c r="A4" s="9" t="s">
        <v>8</v>
      </c>
      <c r="C4" s="6"/>
      <c r="D4" s="7"/>
      <c r="E4" s="7"/>
      <c r="M4" s="72" t="s">
        <v>25</v>
      </c>
      <c r="N4" s="72" t="s">
        <v>26</v>
      </c>
      <c r="O4" s="72" t="s">
        <v>17</v>
      </c>
      <c r="P4" s="72" t="s">
        <v>32</v>
      </c>
      <c r="Q4" s="80" t="str">
        <f t="shared" si="0"/>
        <v>Auxiliary Systems (Deck Crane)</v>
      </c>
      <c r="R4" s="81"/>
      <c r="S4" s="82"/>
      <c r="T4" s="58"/>
      <c r="U4" s="83"/>
      <c r="V4" s="84"/>
      <c r="W4" s="58"/>
      <c r="X4" s="85">
        <f t="shared" ref="X4:X5" si="1">R4+U4</f>
        <v>0</v>
      </c>
      <c r="Y4" s="85">
        <f t="shared" ref="Y4:Y5" si="2">S4+V4</f>
        <v>0</v>
      </c>
      <c r="Z4" s="43"/>
      <c r="AA4" s="86" t="s">
        <v>69</v>
      </c>
      <c r="AB4" s="87">
        <f t="shared" ref="AB4:AC9" si="3">X4</f>
        <v>0</v>
      </c>
      <c r="AC4" s="87">
        <f t="shared" si="3"/>
        <v>0</v>
      </c>
    </row>
    <row r="5" spans="1:29" x14ac:dyDescent="0.2">
      <c r="A5" s="10" t="s">
        <v>1</v>
      </c>
      <c r="C5" s="6"/>
      <c r="D5" s="7"/>
      <c r="E5" s="7"/>
      <c r="M5" s="72" t="s">
        <v>25</v>
      </c>
      <c r="N5" s="72" t="s">
        <v>26</v>
      </c>
      <c r="O5" s="72" t="s">
        <v>17</v>
      </c>
      <c r="P5" s="72" t="s">
        <v>33</v>
      </c>
      <c r="Q5" s="80" t="str">
        <f t="shared" si="0"/>
        <v>Auxiliary Systems (Fire Main)</v>
      </c>
      <c r="R5" s="81"/>
      <c r="S5" s="82"/>
      <c r="T5" s="58"/>
      <c r="U5" s="83"/>
      <c r="V5" s="84"/>
      <c r="W5" s="58"/>
      <c r="X5" s="85">
        <f t="shared" si="1"/>
        <v>0</v>
      </c>
      <c r="Y5" s="85">
        <f t="shared" si="2"/>
        <v>0</v>
      </c>
      <c r="Z5" s="43"/>
      <c r="AA5" s="86" t="s">
        <v>70</v>
      </c>
      <c r="AB5" s="87">
        <f t="shared" si="3"/>
        <v>0</v>
      </c>
      <c r="AC5" s="87">
        <f t="shared" si="3"/>
        <v>0</v>
      </c>
    </row>
    <row r="6" spans="1:29" x14ac:dyDescent="0.2">
      <c r="M6" s="72" t="s">
        <v>25</v>
      </c>
      <c r="N6" s="72" t="s">
        <v>26</v>
      </c>
      <c r="O6" s="72" t="s">
        <v>17</v>
      </c>
      <c r="P6" s="72" t="s">
        <v>19</v>
      </c>
      <c r="Q6" s="80" t="str">
        <f t="shared" si="0"/>
        <v>Auxiliary Systems (Fuel)</v>
      </c>
      <c r="R6" s="81"/>
      <c r="S6" s="82"/>
      <c r="T6" s="58"/>
      <c r="U6" s="83"/>
      <c r="V6" s="84"/>
      <c r="W6" s="58"/>
      <c r="X6" s="85">
        <f t="shared" ref="X6:X45" si="4">R6+U6</f>
        <v>0</v>
      </c>
      <c r="Y6" s="85">
        <f t="shared" ref="Y6:Y45" si="5">S6+V6</f>
        <v>0</v>
      </c>
      <c r="Z6" s="43"/>
      <c r="AA6" s="86" t="s">
        <v>28</v>
      </c>
      <c r="AB6" s="87">
        <f t="shared" si="3"/>
        <v>0</v>
      </c>
      <c r="AC6" s="87">
        <f t="shared" si="3"/>
        <v>0</v>
      </c>
    </row>
    <row r="7" spans="1:29" x14ac:dyDescent="0.2">
      <c r="M7" s="72" t="s">
        <v>25</v>
      </c>
      <c r="N7" s="72" t="s">
        <v>26</v>
      </c>
      <c r="O7" s="72" t="s">
        <v>17</v>
      </c>
      <c r="P7" s="72" t="s">
        <v>20</v>
      </c>
      <c r="Q7" s="80" t="str">
        <f t="shared" si="0"/>
        <v>Auxiliary Systems (HVAC)</v>
      </c>
      <c r="R7" s="81"/>
      <c r="S7" s="82"/>
      <c r="T7" s="58"/>
      <c r="U7" s="83"/>
      <c r="V7" s="84"/>
      <c r="W7" s="58"/>
      <c r="X7" s="85">
        <f t="shared" si="4"/>
        <v>0</v>
      </c>
      <c r="Y7" s="85">
        <f t="shared" si="5"/>
        <v>0</v>
      </c>
      <c r="Z7" s="43"/>
      <c r="AA7" s="86" t="s">
        <v>29</v>
      </c>
      <c r="AB7" s="87">
        <f t="shared" si="3"/>
        <v>0</v>
      </c>
      <c r="AC7" s="87">
        <f t="shared" si="3"/>
        <v>0</v>
      </c>
    </row>
    <row r="8" spans="1:29" x14ac:dyDescent="0.2">
      <c r="M8" s="72" t="s">
        <v>25</v>
      </c>
      <c r="N8" s="72" t="s">
        <v>26</v>
      </c>
      <c r="O8" s="72" t="s">
        <v>17</v>
      </c>
      <c r="P8" s="72" t="s">
        <v>34</v>
      </c>
      <c r="Q8" s="80" t="str">
        <f t="shared" si="0"/>
        <v>Auxiliary Systems (Potable Water)</v>
      </c>
      <c r="R8" s="81"/>
      <c r="S8" s="82"/>
      <c r="T8" s="58"/>
      <c r="U8" s="83"/>
      <c r="V8" s="84"/>
      <c r="W8" s="58"/>
      <c r="X8" s="85">
        <f t="shared" si="4"/>
        <v>0</v>
      </c>
      <c r="Y8" s="85">
        <f t="shared" si="5"/>
        <v>0</v>
      </c>
      <c r="Z8" s="43"/>
      <c r="AA8" s="86" t="s">
        <v>71</v>
      </c>
      <c r="AB8" s="87">
        <f t="shared" si="3"/>
        <v>0</v>
      </c>
      <c r="AC8" s="87">
        <f t="shared" si="3"/>
        <v>0</v>
      </c>
    </row>
    <row r="9" spans="1:29" x14ac:dyDescent="0.2">
      <c r="M9" s="88" t="s">
        <v>25</v>
      </c>
      <c r="N9" s="88" t="s">
        <v>26</v>
      </c>
      <c r="O9" s="88" t="s">
        <v>17</v>
      </c>
      <c r="P9" s="88" t="s">
        <v>35</v>
      </c>
      <c r="Q9" s="89" t="str">
        <f t="shared" si="0"/>
        <v>Auxiliary Systems (Sanitary System)</v>
      </c>
      <c r="R9" s="90"/>
      <c r="S9" s="91"/>
      <c r="T9" s="61"/>
      <c r="U9" s="92"/>
      <c r="V9" s="93"/>
      <c r="W9" s="61"/>
      <c r="X9" s="85">
        <f t="shared" si="4"/>
        <v>0</v>
      </c>
      <c r="Y9" s="85">
        <f t="shared" si="5"/>
        <v>0</v>
      </c>
      <c r="Z9" s="43"/>
      <c r="AA9" s="86" t="s">
        <v>72</v>
      </c>
      <c r="AB9" s="87">
        <f t="shared" si="3"/>
        <v>0</v>
      </c>
      <c r="AC9" s="87">
        <f t="shared" si="3"/>
        <v>0</v>
      </c>
    </row>
    <row r="10" spans="1:29" x14ac:dyDescent="0.2">
      <c r="M10" s="88" t="s">
        <v>25</v>
      </c>
      <c r="N10" s="88" t="s">
        <v>26</v>
      </c>
      <c r="O10" s="88" t="s">
        <v>36</v>
      </c>
      <c r="P10" s="88" t="s">
        <v>37</v>
      </c>
      <c r="Q10" s="89" t="str">
        <f t="shared" si="0"/>
        <v>Bucket (Weld / Repair Bucket)</v>
      </c>
      <c r="R10" s="90"/>
      <c r="S10" s="91"/>
      <c r="T10" s="61"/>
      <c r="U10" s="92"/>
      <c r="V10" s="93"/>
      <c r="W10" s="61"/>
      <c r="X10" s="85">
        <f t="shared" si="4"/>
        <v>0</v>
      </c>
      <c r="Y10" s="85">
        <f t="shared" si="5"/>
        <v>0</v>
      </c>
      <c r="Z10" s="43"/>
    </row>
    <row r="11" spans="1:29" x14ac:dyDescent="0.2">
      <c r="M11" s="72" t="s">
        <v>25</v>
      </c>
      <c r="N11" s="72" t="s">
        <v>26</v>
      </c>
      <c r="O11" s="72" t="s">
        <v>38</v>
      </c>
      <c r="P11" s="72" t="s">
        <v>138</v>
      </c>
      <c r="Q11" s="80" t="str">
        <f t="shared" si="0"/>
        <v>Crane Boom (Boom Structure)</v>
      </c>
      <c r="R11" s="81"/>
      <c r="S11" s="82"/>
      <c r="T11" s="58"/>
      <c r="U11" s="83"/>
      <c r="V11" s="84"/>
      <c r="W11" s="58"/>
      <c r="X11" s="85">
        <f t="shared" si="4"/>
        <v>0</v>
      </c>
      <c r="Y11" s="85">
        <f t="shared" si="5"/>
        <v>0</v>
      </c>
      <c r="Z11" s="43"/>
    </row>
    <row r="12" spans="1:29" x14ac:dyDescent="0.2">
      <c r="M12" s="72" t="s">
        <v>25</v>
      </c>
      <c r="N12" s="72" t="s">
        <v>26</v>
      </c>
      <c r="O12" s="72" t="s">
        <v>38</v>
      </c>
      <c r="P12" s="72" t="s">
        <v>141</v>
      </c>
      <c r="Q12" s="80" t="str">
        <f t="shared" si="0"/>
        <v>Crane Boom (Grease Structure)</v>
      </c>
      <c r="R12" s="81"/>
      <c r="S12" s="82"/>
      <c r="T12" s="58"/>
      <c r="U12" s="83"/>
      <c r="V12" s="84"/>
      <c r="W12" s="58"/>
      <c r="X12" s="85">
        <f t="shared" si="4"/>
        <v>0</v>
      </c>
      <c r="Y12" s="85">
        <f t="shared" si="5"/>
        <v>0</v>
      </c>
      <c r="Z12" s="43"/>
      <c r="AA12" s="86" t="s">
        <v>73</v>
      </c>
      <c r="AB12" s="87">
        <f>X10</f>
        <v>0</v>
      </c>
      <c r="AC12" s="87">
        <f>Y10</f>
        <v>0</v>
      </c>
    </row>
    <row r="13" spans="1:29" x14ac:dyDescent="0.2">
      <c r="M13" s="88" t="s">
        <v>25</v>
      </c>
      <c r="N13" s="88" t="s">
        <v>26</v>
      </c>
      <c r="O13" s="88" t="s">
        <v>38</v>
      </c>
      <c r="P13" s="88" t="s">
        <v>140</v>
      </c>
      <c r="Q13" s="89" t="str">
        <f t="shared" si="0"/>
        <v>Crane Boom (Stick Structure)</v>
      </c>
      <c r="R13" s="90"/>
      <c r="S13" s="91"/>
      <c r="T13" s="61"/>
      <c r="U13" s="92"/>
      <c r="V13" s="93"/>
      <c r="W13" s="61"/>
      <c r="X13" s="85">
        <f t="shared" si="4"/>
        <v>0</v>
      </c>
      <c r="Y13" s="85">
        <f t="shared" si="5"/>
        <v>0</v>
      </c>
      <c r="Z13" s="43"/>
    </row>
    <row r="14" spans="1:29" x14ac:dyDescent="0.2">
      <c r="M14" s="72" t="s">
        <v>25</v>
      </c>
      <c r="N14" s="72" t="s">
        <v>26</v>
      </c>
      <c r="O14" s="72" t="s">
        <v>39</v>
      </c>
      <c r="P14" s="72" t="s">
        <v>108</v>
      </c>
      <c r="Q14" s="80" t="str">
        <f t="shared" si="0"/>
        <v>Crane Swing (Drive (motor, gearbox))</v>
      </c>
      <c r="R14" s="81"/>
      <c r="S14" s="82"/>
      <c r="T14" s="58"/>
      <c r="U14" s="83"/>
      <c r="V14" s="84"/>
      <c r="W14" s="58"/>
      <c r="X14" s="85">
        <f t="shared" si="4"/>
        <v>0</v>
      </c>
      <c r="Y14" s="85">
        <f t="shared" si="5"/>
        <v>0</v>
      </c>
      <c r="Z14" s="43"/>
    </row>
    <row r="15" spans="1:29" x14ac:dyDescent="0.2">
      <c r="M15" s="88" t="s">
        <v>25</v>
      </c>
      <c r="N15" s="88" t="s">
        <v>26</v>
      </c>
      <c r="O15" s="88" t="s">
        <v>39</v>
      </c>
      <c r="P15" s="88" t="s">
        <v>109</v>
      </c>
      <c r="Q15" s="89" t="str">
        <f t="shared" si="0"/>
        <v>Crane Swing (Swing Circle (rollers))</v>
      </c>
      <c r="R15" s="90"/>
      <c r="S15" s="91"/>
      <c r="T15" s="61"/>
      <c r="U15" s="92"/>
      <c r="V15" s="93"/>
      <c r="W15" s="61"/>
      <c r="X15" s="85">
        <f t="shared" si="4"/>
        <v>0</v>
      </c>
      <c r="Y15" s="85">
        <f t="shared" si="5"/>
        <v>0</v>
      </c>
      <c r="Z15" s="43"/>
      <c r="AA15" s="86" t="s">
        <v>74</v>
      </c>
      <c r="AB15" s="87"/>
      <c r="AC15" s="87"/>
    </row>
    <row r="16" spans="1:29" x14ac:dyDescent="0.2">
      <c r="M16" s="72" t="s">
        <v>25</v>
      </c>
      <c r="N16" s="72" t="s">
        <v>26</v>
      </c>
      <c r="O16" s="72" t="s">
        <v>40</v>
      </c>
      <c r="P16" s="72" t="s">
        <v>24</v>
      </c>
      <c r="Q16" s="80" t="str">
        <f t="shared" si="0"/>
        <v>Deck Winch (Fairleads)</v>
      </c>
      <c r="R16" s="81"/>
      <c r="S16" s="82"/>
      <c r="T16" s="58"/>
      <c r="U16" s="83"/>
      <c r="V16" s="84"/>
      <c r="W16" s="58"/>
      <c r="X16" s="85">
        <f t="shared" si="4"/>
        <v>0</v>
      </c>
      <c r="Y16" s="85">
        <f t="shared" si="5"/>
        <v>0</v>
      </c>
      <c r="Z16" s="43"/>
      <c r="AA16" s="86" t="s">
        <v>75</v>
      </c>
      <c r="AB16" s="87">
        <f>X11</f>
        <v>0</v>
      </c>
      <c r="AC16" s="87">
        <f>Y11</f>
        <v>0</v>
      </c>
    </row>
    <row r="17" spans="2:29" x14ac:dyDescent="0.2">
      <c r="M17" s="88" t="s">
        <v>25</v>
      </c>
      <c r="N17" s="88" t="s">
        <v>26</v>
      </c>
      <c r="O17" s="88" t="s">
        <v>40</v>
      </c>
      <c r="P17" s="88" t="s">
        <v>50</v>
      </c>
      <c r="Q17" s="89" t="str">
        <f t="shared" si="0"/>
        <v>Deck Winch (Winch)</v>
      </c>
      <c r="R17" s="90"/>
      <c r="S17" s="91"/>
      <c r="T17" s="61"/>
      <c r="U17" s="92"/>
      <c r="V17" s="93"/>
      <c r="W17" s="61"/>
      <c r="X17" s="85">
        <f t="shared" si="4"/>
        <v>0</v>
      </c>
      <c r="Y17" s="85">
        <f t="shared" si="5"/>
        <v>0</v>
      </c>
      <c r="Z17" s="43"/>
      <c r="AA17" s="86" t="s">
        <v>76</v>
      </c>
      <c r="AB17" s="87"/>
      <c r="AC17" s="87"/>
    </row>
    <row r="18" spans="2:29" x14ac:dyDescent="0.2">
      <c r="M18" s="72" t="s">
        <v>25</v>
      </c>
      <c r="N18" s="72" t="s">
        <v>26</v>
      </c>
      <c r="O18" s="72" t="s">
        <v>41</v>
      </c>
      <c r="P18" s="72" t="s">
        <v>54</v>
      </c>
      <c r="Q18" s="80" t="str">
        <f t="shared" si="0"/>
        <v>Electrical / Electronics (MCC / Switch Gear)</v>
      </c>
      <c r="R18" s="81"/>
      <c r="S18" s="82"/>
      <c r="T18" s="58"/>
      <c r="U18" s="83"/>
      <c r="V18" s="84"/>
      <c r="W18" s="58"/>
      <c r="X18" s="85">
        <f t="shared" si="4"/>
        <v>0</v>
      </c>
      <c r="Y18" s="85">
        <f t="shared" si="5"/>
        <v>0</v>
      </c>
      <c r="Z18" s="43"/>
      <c r="AA18" s="86" t="s">
        <v>77</v>
      </c>
      <c r="AB18" s="87"/>
      <c r="AC18" s="87"/>
    </row>
    <row r="19" spans="2:29" x14ac:dyDescent="0.2">
      <c r="M19" s="72" t="s">
        <v>25</v>
      </c>
      <c r="N19" s="72" t="s">
        <v>26</v>
      </c>
      <c r="O19" s="72" t="s">
        <v>41</v>
      </c>
      <c r="P19" s="72" t="s">
        <v>112</v>
      </c>
      <c r="Q19" s="80" t="str">
        <f t="shared" si="0"/>
        <v>Electrical / Electronics (Navigation Lights)</v>
      </c>
      <c r="R19" s="81"/>
      <c r="S19" s="82"/>
      <c r="T19" s="58"/>
      <c r="U19" s="83"/>
      <c r="V19" s="84"/>
      <c r="W19" s="58"/>
      <c r="X19" s="85">
        <f t="shared" si="4"/>
        <v>0</v>
      </c>
      <c r="Y19" s="85">
        <f t="shared" si="5"/>
        <v>0</v>
      </c>
      <c r="Z19" s="43"/>
      <c r="AA19" s="86" t="s">
        <v>78</v>
      </c>
      <c r="AB19" s="124"/>
      <c r="AC19" s="87"/>
    </row>
    <row r="20" spans="2:29" x14ac:dyDescent="0.2">
      <c r="M20" s="72" t="s">
        <v>25</v>
      </c>
      <c r="N20" s="72" t="s">
        <v>26</v>
      </c>
      <c r="O20" s="72" t="s">
        <v>41</v>
      </c>
      <c r="P20" s="72" t="s">
        <v>55</v>
      </c>
      <c r="Q20" s="80" t="str">
        <f t="shared" si="0"/>
        <v>Electrical / Electronics (PLC)</v>
      </c>
      <c r="R20" s="81"/>
      <c r="S20" s="82"/>
      <c r="T20" s="58"/>
      <c r="U20" s="83"/>
      <c r="V20" s="84"/>
      <c r="W20" s="58"/>
      <c r="X20" s="85">
        <f t="shared" si="4"/>
        <v>0</v>
      </c>
      <c r="Y20" s="85">
        <f t="shared" si="5"/>
        <v>0</v>
      </c>
      <c r="Z20" s="43"/>
      <c r="AA20" s="86" t="str">
        <f>Q12</f>
        <v>Crane Boom (Grease Structure)</v>
      </c>
      <c r="AB20" s="124">
        <f>X12</f>
        <v>0</v>
      </c>
      <c r="AC20" s="87">
        <f>Y12</f>
        <v>0</v>
      </c>
    </row>
    <row r="21" spans="2:29" x14ac:dyDescent="0.2">
      <c r="M21" s="88" t="s">
        <v>25</v>
      </c>
      <c r="N21" s="88" t="s">
        <v>26</v>
      </c>
      <c r="O21" s="88" t="s">
        <v>41</v>
      </c>
      <c r="P21" s="88" t="s">
        <v>56</v>
      </c>
      <c r="Q21" s="89" t="str">
        <f t="shared" si="0"/>
        <v>Electrical / Electronics (Transformers)</v>
      </c>
      <c r="R21" s="90"/>
      <c r="S21" s="91"/>
      <c r="T21" s="61"/>
      <c r="U21" s="92"/>
      <c r="V21" s="93"/>
      <c r="W21" s="61"/>
      <c r="X21" s="85">
        <f t="shared" si="4"/>
        <v>0</v>
      </c>
      <c r="Y21" s="85">
        <f t="shared" si="5"/>
        <v>0</v>
      </c>
      <c r="Z21" s="43"/>
      <c r="AA21" s="86" t="str">
        <f>Q13</f>
        <v>Crane Boom (Stick Structure)</v>
      </c>
      <c r="AB21" s="124">
        <f>X13</f>
        <v>0</v>
      </c>
      <c r="AC21" s="87">
        <f>Y13</f>
        <v>0</v>
      </c>
    </row>
    <row r="22" spans="2:29" x14ac:dyDescent="0.2">
      <c r="M22" s="72" t="s">
        <v>25</v>
      </c>
      <c r="N22" s="72" t="s">
        <v>26</v>
      </c>
      <c r="O22" s="72" t="s">
        <v>42</v>
      </c>
      <c r="P22" s="72" t="s">
        <v>114</v>
      </c>
      <c r="Q22" s="80" t="str">
        <f t="shared" si="0"/>
        <v>Hull (Deck Fittings (cleats))</v>
      </c>
      <c r="R22" s="81"/>
      <c r="S22" s="82"/>
      <c r="T22" s="58"/>
      <c r="U22" s="83"/>
      <c r="V22" s="84"/>
      <c r="W22" s="58"/>
      <c r="X22" s="85">
        <f t="shared" si="4"/>
        <v>0</v>
      </c>
      <c r="Y22" s="85">
        <f t="shared" si="5"/>
        <v>0</v>
      </c>
      <c r="Z22" s="43"/>
    </row>
    <row r="23" spans="2:29" x14ac:dyDescent="0.2">
      <c r="B23" s="11" t="s">
        <v>11</v>
      </c>
      <c r="M23" s="88" t="s">
        <v>25</v>
      </c>
      <c r="N23" s="88" t="s">
        <v>26</v>
      </c>
      <c r="O23" s="88" t="s">
        <v>42</v>
      </c>
      <c r="P23" s="88" t="s">
        <v>57</v>
      </c>
      <c r="Q23" s="89" t="str">
        <f t="shared" si="0"/>
        <v>Hull (Hull / House Repair)</v>
      </c>
      <c r="R23" s="90"/>
      <c r="S23" s="91"/>
      <c r="T23" s="61"/>
      <c r="U23" s="92"/>
      <c r="V23" s="93"/>
      <c r="W23" s="61"/>
      <c r="X23" s="85">
        <f t="shared" si="4"/>
        <v>0</v>
      </c>
      <c r="Y23" s="85">
        <f t="shared" si="5"/>
        <v>0</v>
      </c>
      <c r="Z23" s="43"/>
    </row>
    <row r="24" spans="2:29" x14ac:dyDescent="0.2">
      <c r="M24" s="72" t="s">
        <v>25</v>
      </c>
      <c r="N24" s="72" t="s">
        <v>26</v>
      </c>
      <c r="O24" s="72" t="s">
        <v>146</v>
      </c>
      <c r="P24" s="72" t="s">
        <v>142</v>
      </c>
      <c r="Q24" s="80" t="str">
        <f>O24&amp;" "&amp;M24&amp;P24&amp;N24</f>
        <v>Main Hoist / Main Hyd (Cylinders)</v>
      </c>
      <c r="R24" s="81"/>
      <c r="S24" s="82"/>
      <c r="T24" s="58"/>
      <c r="U24" s="83"/>
      <c r="V24" s="84"/>
      <c r="W24" s="58"/>
      <c r="X24" s="85">
        <f t="shared" si="4"/>
        <v>0</v>
      </c>
      <c r="Y24" s="85">
        <f t="shared" si="5"/>
        <v>0</v>
      </c>
      <c r="Z24" s="43"/>
      <c r="AA24" s="86" t="s">
        <v>126</v>
      </c>
      <c r="AB24" s="87">
        <f>X14</f>
        <v>0</v>
      </c>
      <c r="AC24" s="87">
        <f>Y14</f>
        <v>0</v>
      </c>
    </row>
    <row r="25" spans="2:29" x14ac:dyDescent="0.2">
      <c r="M25" s="72" t="s">
        <v>25</v>
      </c>
      <c r="N25" s="72" t="s">
        <v>26</v>
      </c>
      <c r="O25" s="72" t="s">
        <v>146</v>
      </c>
      <c r="P25" s="72" t="s">
        <v>147</v>
      </c>
      <c r="Q25" s="80" t="str">
        <f>O25&amp;" "&amp;M25&amp;P25&amp;N25</f>
        <v>Main Hoist / Main Hyd (Excavtor Hydraulics)</v>
      </c>
      <c r="R25" s="81"/>
      <c r="S25" s="82"/>
      <c r="T25" s="58"/>
      <c r="U25" s="83"/>
      <c r="V25" s="84"/>
      <c r="W25" s="58"/>
      <c r="X25" s="85">
        <f t="shared" si="4"/>
        <v>0</v>
      </c>
      <c r="Y25" s="85">
        <f t="shared" si="5"/>
        <v>0</v>
      </c>
      <c r="Z25" s="43"/>
      <c r="AA25" s="86" t="s">
        <v>127</v>
      </c>
      <c r="AB25" s="87">
        <f>X15</f>
        <v>0</v>
      </c>
      <c r="AC25" s="87">
        <f>Y15</f>
        <v>0</v>
      </c>
    </row>
    <row r="26" spans="2:29" x14ac:dyDescent="0.2">
      <c r="M26" s="72" t="s">
        <v>25</v>
      </c>
      <c r="N26" s="72" t="s">
        <v>26</v>
      </c>
      <c r="O26" s="72" t="s">
        <v>146</v>
      </c>
      <c r="P26" s="72" t="s">
        <v>144</v>
      </c>
      <c r="Q26" s="80" t="str">
        <f>O26&amp;" "&amp;M26&amp;P26&amp;N26</f>
        <v>Main Hoist / Main Hyd (Hoses)</v>
      </c>
      <c r="R26" s="81"/>
      <c r="S26" s="82"/>
      <c r="T26" s="58"/>
      <c r="U26" s="83"/>
      <c r="V26" s="84"/>
      <c r="W26" s="58"/>
      <c r="X26" s="85">
        <f t="shared" si="4"/>
        <v>0</v>
      </c>
      <c r="Y26" s="85">
        <f t="shared" si="5"/>
        <v>0</v>
      </c>
      <c r="Z26" s="43"/>
    </row>
    <row r="27" spans="2:29" x14ac:dyDescent="0.2">
      <c r="M27" s="88" t="s">
        <v>25</v>
      </c>
      <c r="N27" s="88" t="s">
        <v>26</v>
      </c>
      <c r="O27" s="88" t="s">
        <v>146</v>
      </c>
      <c r="P27" s="88" t="s">
        <v>145</v>
      </c>
      <c r="Q27" s="89" t="str">
        <f>O27&amp;" "&amp;M27&amp;P27&amp;N27</f>
        <v>Main Hoist / Main Hyd (Hytop Hydraulics)</v>
      </c>
      <c r="R27" s="90"/>
      <c r="S27" s="91"/>
      <c r="T27" s="61"/>
      <c r="U27" s="92"/>
      <c r="V27" s="93"/>
      <c r="W27" s="61"/>
      <c r="X27" s="85">
        <f t="shared" si="4"/>
        <v>0</v>
      </c>
      <c r="Y27" s="85">
        <f t="shared" si="5"/>
        <v>0</v>
      </c>
      <c r="Z27" s="43"/>
    </row>
    <row r="28" spans="2:29" ht="15.75" x14ac:dyDescent="0.25">
      <c r="B28" s="28" t="e">
        <f ca="1">"The first "&amp;COUNT(H33:H53)&amp;" "&amp;C32&amp;" cover "&amp;TEXT(OFFSET(E32,COUNT(H33:H53),0,1,1),"0.??%")&amp;" of the Total "&amp;D32</f>
        <v>#DIV/0!</v>
      </c>
      <c r="C28" s="7"/>
      <c r="M28" s="72" t="s">
        <v>25</v>
      </c>
      <c r="N28" s="72" t="s">
        <v>26</v>
      </c>
      <c r="O28" s="72" t="s">
        <v>43</v>
      </c>
      <c r="P28" s="126" t="s">
        <v>148</v>
      </c>
      <c r="Q28" s="80" t="str">
        <f t="shared" si="0"/>
        <v>Main / Aux Generators (Boom Assist Generator)</v>
      </c>
      <c r="R28" s="81"/>
      <c r="S28" s="82"/>
      <c r="T28" s="58"/>
      <c r="U28" s="83"/>
      <c r="V28" s="84"/>
      <c r="W28" s="58"/>
      <c r="X28" s="85">
        <f t="shared" si="4"/>
        <v>0</v>
      </c>
      <c r="Y28" s="85">
        <f t="shared" si="5"/>
        <v>0</v>
      </c>
      <c r="Z28" s="43"/>
      <c r="AA28" s="86" t="s">
        <v>79</v>
      </c>
      <c r="AB28" s="87">
        <f>X16</f>
        <v>0</v>
      </c>
      <c r="AC28" s="87">
        <f>Y16</f>
        <v>0</v>
      </c>
    </row>
    <row r="29" spans="2:29" x14ac:dyDescent="0.2">
      <c r="M29" s="72" t="s">
        <v>25</v>
      </c>
      <c r="N29" s="72" t="s">
        <v>26</v>
      </c>
      <c r="O29" s="72" t="s">
        <v>43</v>
      </c>
      <c r="P29" s="126" t="s">
        <v>149</v>
      </c>
      <c r="Q29" s="80" t="str">
        <f t="shared" si="0"/>
        <v>Main / Aux Generators (Emergency Generator)</v>
      </c>
      <c r="R29" s="81"/>
      <c r="S29" s="82"/>
      <c r="T29" s="58"/>
      <c r="U29" s="83"/>
      <c r="V29" s="84"/>
      <c r="W29" s="58"/>
      <c r="X29" s="85">
        <f t="shared" si="4"/>
        <v>0</v>
      </c>
      <c r="Y29" s="85">
        <f t="shared" si="5"/>
        <v>0</v>
      </c>
      <c r="Z29" s="43"/>
      <c r="AA29" s="86" t="s">
        <v>80</v>
      </c>
      <c r="AB29" s="87">
        <f>X17</f>
        <v>0</v>
      </c>
      <c r="AC29" s="87">
        <f>Y17</f>
        <v>0</v>
      </c>
    </row>
    <row r="30" spans="2:29" x14ac:dyDescent="0.2">
      <c r="M30" s="72" t="s">
        <v>25</v>
      </c>
      <c r="N30" s="72" t="s">
        <v>26</v>
      </c>
      <c r="O30" s="72" t="s">
        <v>43</v>
      </c>
      <c r="P30" s="126" t="s">
        <v>150</v>
      </c>
      <c r="Q30" s="80" t="str">
        <f t="shared" si="0"/>
        <v>Main / Aux Generators (Generator #1)</v>
      </c>
      <c r="R30" s="81"/>
      <c r="S30" s="82"/>
      <c r="T30" s="58"/>
      <c r="U30" s="83"/>
      <c r="V30" s="84"/>
      <c r="W30" s="58"/>
      <c r="X30" s="85">
        <f t="shared" si="4"/>
        <v>0</v>
      </c>
      <c r="Y30" s="85">
        <f t="shared" si="5"/>
        <v>0</v>
      </c>
      <c r="Z30" s="43"/>
    </row>
    <row r="31" spans="2:29" x14ac:dyDescent="0.2">
      <c r="D31" s="12" t="s">
        <v>9</v>
      </c>
      <c r="E31" s="29">
        <v>0.8</v>
      </c>
      <c r="M31" s="72" t="s">
        <v>25</v>
      </c>
      <c r="N31" s="72" t="s">
        <v>26</v>
      </c>
      <c r="O31" s="72" t="s">
        <v>43</v>
      </c>
      <c r="P31" s="72" t="s">
        <v>151</v>
      </c>
      <c r="Q31" s="80" t="str">
        <f t="shared" si="0"/>
        <v>Main / Aux Generators (Generator #2)</v>
      </c>
      <c r="R31" s="81"/>
      <c r="S31" s="82"/>
      <c r="T31" s="58"/>
      <c r="U31" s="83"/>
      <c r="V31" s="84"/>
      <c r="W31" s="58"/>
      <c r="X31" s="85">
        <f t="shared" si="4"/>
        <v>0</v>
      </c>
      <c r="Y31" s="85">
        <f t="shared" si="5"/>
        <v>0</v>
      </c>
      <c r="Z31" s="43"/>
    </row>
    <row r="32" spans="2:29" ht="15.75" x14ac:dyDescent="0.25">
      <c r="B32" s="24" t="s">
        <v>3</v>
      </c>
      <c r="C32" s="25" t="s">
        <v>5</v>
      </c>
      <c r="D32" s="26" t="s">
        <v>14</v>
      </c>
      <c r="E32" s="24" t="s">
        <v>4</v>
      </c>
      <c r="F32" s="24" t="s">
        <v>31</v>
      </c>
      <c r="G32" s="24" t="s">
        <v>13</v>
      </c>
      <c r="H32" s="13" t="s">
        <v>6</v>
      </c>
      <c r="I32" s="13" t="s">
        <v>7</v>
      </c>
      <c r="J32" s="13" t="s">
        <v>10</v>
      </c>
      <c r="K32" s="13"/>
      <c r="L32" s="13"/>
      <c r="M32" s="72" t="s">
        <v>25</v>
      </c>
      <c r="N32" s="72" t="s">
        <v>26</v>
      </c>
      <c r="O32" s="72" t="s">
        <v>43</v>
      </c>
      <c r="P32" s="72" t="s">
        <v>152</v>
      </c>
      <c r="Q32" s="80" t="str">
        <f t="shared" si="0"/>
        <v>Main / Aux Generators (PP1)</v>
      </c>
      <c r="R32" s="81"/>
      <c r="S32" s="82"/>
      <c r="T32" s="58"/>
      <c r="U32" s="83"/>
      <c r="V32" s="84"/>
      <c r="W32" s="58"/>
      <c r="X32" s="85">
        <f t="shared" si="4"/>
        <v>0</v>
      </c>
      <c r="Y32" s="85">
        <f t="shared" si="5"/>
        <v>0</v>
      </c>
      <c r="Z32" s="43"/>
      <c r="AA32" s="86" t="s">
        <v>81</v>
      </c>
      <c r="AB32" s="87">
        <f t="shared" ref="AB32:AC35" si="6">X18</f>
        <v>0</v>
      </c>
      <c r="AC32" s="87">
        <f t="shared" si="6"/>
        <v>0</v>
      </c>
    </row>
    <row r="33" spans="2:29" x14ac:dyDescent="0.2">
      <c r="B33" s="14">
        <f t="shared" ref="B33:B53" si="7">ROW(B33)-ROW($B$32)</f>
        <v>1</v>
      </c>
      <c r="C33" s="31"/>
      <c r="D33" s="33"/>
      <c r="E33" s="15" t="e">
        <f>SUM(D33:D$33)/SUM($D$33:$D$53)</f>
        <v>#DIV/0!</v>
      </c>
      <c r="F33" s="39" t="e">
        <f>E33</f>
        <v>#DIV/0!</v>
      </c>
      <c r="G33" s="35">
        <v>17</v>
      </c>
      <c r="H33" s="16">
        <f t="shared" ref="H33:H53" ca="1" si="8">IF(OR(B33=1,OFFSET($E$32,B33-1,0,1,1)&lt;=$E$31),OFFSET($D$32,B33,0,1,1),"")</f>
        <v>0</v>
      </c>
      <c r="I33" s="17" t="str">
        <f t="shared" ref="I33:I53" ca="1" si="9">IF(H33="",OFFSET($D$32,B33,0,1,1),"")</f>
        <v/>
      </c>
      <c r="J33" s="18">
        <f t="shared" ref="J33:J53" si="10">$E$31</f>
        <v>0.8</v>
      </c>
      <c r="K33" s="95"/>
      <c r="L33" s="95"/>
      <c r="M33" s="88" t="s">
        <v>25</v>
      </c>
      <c r="N33" s="88" t="s">
        <v>26</v>
      </c>
      <c r="O33" s="88" t="s">
        <v>43</v>
      </c>
      <c r="P33" s="88" t="s">
        <v>153</v>
      </c>
      <c r="Q33" s="89" t="str">
        <f t="shared" si="0"/>
        <v>Main / Aux Generators (PP2)</v>
      </c>
      <c r="R33" s="90"/>
      <c r="S33" s="91"/>
      <c r="T33" s="61"/>
      <c r="U33" s="92"/>
      <c r="V33" s="93"/>
      <c r="W33" s="61"/>
      <c r="X33" s="85">
        <f t="shared" si="4"/>
        <v>0</v>
      </c>
      <c r="Y33" s="85">
        <f t="shared" si="5"/>
        <v>0</v>
      </c>
      <c r="Z33" s="43"/>
      <c r="AA33" s="86" t="s">
        <v>128</v>
      </c>
      <c r="AB33" s="87">
        <f t="shared" si="6"/>
        <v>0</v>
      </c>
      <c r="AC33" s="87">
        <f t="shared" si="6"/>
        <v>0</v>
      </c>
    </row>
    <row r="34" spans="2:29" x14ac:dyDescent="0.2">
      <c r="B34" s="14">
        <f t="shared" si="7"/>
        <v>2</v>
      </c>
      <c r="C34" s="31"/>
      <c r="D34" s="33"/>
      <c r="E34" s="15" t="e">
        <f>SUM(D$33:D34)/SUM($D$33:$D$53)</f>
        <v>#DIV/0!</v>
      </c>
      <c r="F34" s="40" t="e">
        <f>E34-E33</f>
        <v>#DIV/0!</v>
      </c>
      <c r="G34" s="35"/>
      <c r="H34" s="16" t="e">
        <f t="shared" ca="1" si="8"/>
        <v>#DIV/0!</v>
      </c>
      <c r="I34" s="17" t="e">
        <f t="shared" ca="1" si="9"/>
        <v>#DIV/0!</v>
      </c>
      <c r="J34" s="18">
        <f t="shared" si="10"/>
        <v>0.8</v>
      </c>
      <c r="K34" s="95"/>
      <c r="L34" s="95"/>
      <c r="M34" s="72" t="s">
        <v>25</v>
      </c>
      <c r="N34" s="72" t="s">
        <v>26</v>
      </c>
      <c r="O34" s="72" t="s">
        <v>45</v>
      </c>
      <c r="P34" s="72" t="s">
        <v>154</v>
      </c>
      <c r="Q34" s="80" t="str">
        <f t="shared" si="0"/>
        <v>Spud System (Spud Hydraulics)</v>
      </c>
      <c r="R34" s="81"/>
      <c r="S34" s="82"/>
      <c r="T34" s="58"/>
      <c r="U34" s="83"/>
      <c r="V34" s="84"/>
      <c r="W34" s="58"/>
      <c r="X34" s="85">
        <f t="shared" si="4"/>
        <v>0</v>
      </c>
      <c r="Y34" s="85">
        <f t="shared" si="5"/>
        <v>0</v>
      </c>
      <c r="Z34" s="43"/>
      <c r="AA34" s="86" t="s">
        <v>82</v>
      </c>
      <c r="AB34" s="87">
        <f t="shared" si="6"/>
        <v>0</v>
      </c>
      <c r="AC34" s="87">
        <f t="shared" si="6"/>
        <v>0</v>
      </c>
    </row>
    <row r="35" spans="2:29" x14ac:dyDescent="0.2">
      <c r="B35" s="14">
        <f t="shared" si="7"/>
        <v>3</v>
      </c>
      <c r="C35" s="31"/>
      <c r="D35" s="33"/>
      <c r="E35" s="15" t="e">
        <f>SUM(D$33:D35)/SUM($D$33:$D$53)</f>
        <v>#DIV/0!</v>
      </c>
      <c r="F35" s="40" t="e">
        <f t="shared" ref="F35:F53" si="11">E35-E34</f>
        <v>#DIV/0!</v>
      </c>
      <c r="G35" s="35"/>
      <c r="H35" s="16" t="e">
        <f t="shared" ca="1" si="8"/>
        <v>#DIV/0!</v>
      </c>
      <c r="I35" s="17" t="e">
        <f t="shared" ca="1" si="9"/>
        <v>#DIV/0!</v>
      </c>
      <c r="J35" s="18">
        <f t="shared" si="10"/>
        <v>0.8</v>
      </c>
      <c r="K35" s="95"/>
      <c r="L35" s="95"/>
      <c r="M35" s="72" t="s">
        <v>25</v>
      </c>
      <c r="N35" s="72" t="s">
        <v>26</v>
      </c>
      <c r="O35" s="72" t="s">
        <v>45</v>
      </c>
      <c r="P35" s="72" t="s">
        <v>62</v>
      </c>
      <c r="Q35" s="80" t="str">
        <f t="shared" si="0"/>
        <v>Spud System (Spud Sheaves)</v>
      </c>
      <c r="R35" s="81"/>
      <c r="S35" s="82"/>
      <c r="T35" s="58"/>
      <c r="U35" s="83"/>
      <c r="V35" s="84"/>
      <c r="W35" s="58"/>
      <c r="X35" s="85">
        <f t="shared" si="4"/>
        <v>0</v>
      </c>
      <c r="Y35" s="85">
        <f t="shared" si="5"/>
        <v>0</v>
      </c>
      <c r="Z35" s="43"/>
      <c r="AA35" s="86" t="s">
        <v>83</v>
      </c>
      <c r="AB35" s="87">
        <f t="shared" si="6"/>
        <v>0</v>
      </c>
      <c r="AC35" s="87">
        <f t="shared" si="6"/>
        <v>0</v>
      </c>
    </row>
    <row r="36" spans="2:29" x14ac:dyDescent="0.2">
      <c r="B36" s="14">
        <f t="shared" si="7"/>
        <v>4</v>
      </c>
      <c r="C36" s="31"/>
      <c r="D36" s="33"/>
      <c r="E36" s="15" t="e">
        <f>SUM(D$33:D36)/SUM($D$33:$D$53)</f>
        <v>#DIV/0!</v>
      </c>
      <c r="F36" s="40" t="e">
        <f t="shared" si="11"/>
        <v>#DIV/0!</v>
      </c>
      <c r="G36" s="35"/>
      <c r="H36" s="16" t="e">
        <f t="shared" ca="1" si="8"/>
        <v>#DIV/0!</v>
      </c>
      <c r="I36" s="17" t="e">
        <f t="shared" ca="1" si="9"/>
        <v>#DIV/0!</v>
      </c>
      <c r="J36" s="18">
        <f t="shared" si="10"/>
        <v>0.8</v>
      </c>
      <c r="K36" s="95"/>
      <c r="L36" s="95"/>
      <c r="M36" s="72" t="s">
        <v>25</v>
      </c>
      <c r="N36" s="72" t="s">
        <v>26</v>
      </c>
      <c r="O36" s="72" t="s">
        <v>45</v>
      </c>
      <c r="P36" s="72" t="s">
        <v>63</v>
      </c>
      <c r="Q36" s="80" t="str">
        <f t="shared" si="0"/>
        <v>Spud System (Spud Structure)</v>
      </c>
      <c r="R36" s="81"/>
      <c r="S36" s="82"/>
      <c r="T36" s="58"/>
      <c r="U36" s="83"/>
      <c r="V36" s="84"/>
      <c r="W36" s="58"/>
      <c r="X36" s="85">
        <f t="shared" si="4"/>
        <v>0</v>
      </c>
      <c r="Y36" s="85">
        <f t="shared" si="5"/>
        <v>0</v>
      </c>
      <c r="Z36" s="43"/>
    </row>
    <row r="37" spans="2:29" x14ac:dyDescent="0.2">
      <c r="B37" s="14">
        <f t="shared" si="7"/>
        <v>5</v>
      </c>
      <c r="C37" s="31"/>
      <c r="D37" s="33"/>
      <c r="E37" s="15" t="e">
        <f>SUM(D$33:D37)/SUM($D$33:$D$53)</f>
        <v>#DIV/0!</v>
      </c>
      <c r="F37" s="40" t="e">
        <f t="shared" si="11"/>
        <v>#DIV/0!</v>
      </c>
      <c r="G37" s="35"/>
      <c r="H37" s="16" t="e">
        <f t="shared" ca="1" si="8"/>
        <v>#DIV/0!</v>
      </c>
      <c r="I37" s="17" t="e">
        <f t="shared" ca="1" si="9"/>
        <v>#DIV/0!</v>
      </c>
      <c r="J37" s="18">
        <f t="shared" si="10"/>
        <v>0.8</v>
      </c>
      <c r="K37" s="95"/>
      <c r="L37" s="95"/>
      <c r="M37" s="72" t="s">
        <v>25</v>
      </c>
      <c r="N37" s="72" t="s">
        <v>26</v>
      </c>
      <c r="O37" s="72" t="s">
        <v>45</v>
      </c>
      <c r="P37" s="72" t="s">
        <v>64</v>
      </c>
      <c r="Q37" s="80" t="str">
        <f t="shared" si="0"/>
        <v>Spud System (Spud Winch)</v>
      </c>
      <c r="R37" s="81"/>
      <c r="S37" s="82"/>
      <c r="T37" s="58"/>
      <c r="U37" s="83"/>
      <c r="V37" s="84"/>
      <c r="W37" s="58"/>
      <c r="X37" s="85">
        <f t="shared" si="4"/>
        <v>0</v>
      </c>
      <c r="Y37" s="85">
        <f t="shared" si="5"/>
        <v>0</v>
      </c>
      <c r="Z37" s="43"/>
    </row>
    <row r="38" spans="2:29" x14ac:dyDescent="0.2">
      <c r="B38" s="14">
        <f t="shared" si="7"/>
        <v>6</v>
      </c>
      <c r="C38" s="31"/>
      <c r="D38" s="33"/>
      <c r="E38" s="15" t="e">
        <f>SUM(D$33:D38)/SUM($D$33:$D$53)</f>
        <v>#DIV/0!</v>
      </c>
      <c r="F38" s="40" t="e">
        <f t="shared" si="11"/>
        <v>#DIV/0!</v>
      </c>
      <c r="G38" s="35"/>
      <c r="H38" s="16" t="e">
        <f t="shared" ca="1" si="8"/>
        <v>#DIV/0!</v>
      </c>
      <c r="I38" s="17" t="e">
        <f t="shared" ca="1" si="9"/>
        <v>#DIV/0!</v>
      </c>
      <c r="J38" s="18">
        <f t="shared" si="10"/>
        <v>0.8</v>
      </c>
      <c r="K38" s="95"/>
      <c r="L38" s="95"/>
      <c r="M38" s="72" t="s">
        <v>25</v>
      </c>
      <c r="N38" s="72" t="s">
        <v>26</v>
      </c>
      <c r="O38" s="72" t="s">
        <v>45</v>
      </c>
      <c r="P38" s="72" t="s">
        <v>65</v>
      </c>
      <c r="Q38" s="80" t="str">
        <f t="shared" si="0"/>
        <v>Spud System (Spud Wires)</v>
      </c>
      <c r="R38" s="81"/>
      <c r="S38" s="82"/>
      <c r="T38" s="58"/>
      <c r="U38" s="83"/>
      <c r="V38" s="84"/>
      <c r="W38" s="58"/>
      <c r="X38" s="85">
        <f t="shared" si="4"/>
        <v>0</v>
      </c>
      <c r="Y38" s="85">
        <f t="shared" si="5"/>
        <v>0</v>
      </c>
      <c r="Z38" s="43"/>
      <c r="AA38" s="86" t="s">
        <v>129</v>
      </c>
      <c r="AB38" s="87">
        <f>X22</f>
        <v>0</v>
      </c>
      <c r="AC38" s="87">
        <f>Y22</f>
        <v>0</v>
      </c>
    </row>
    <row r="39" spans="2:29" x14ac:dyDescent="0.2">
      <c r="B39" s="14">
        <f t="shared" si="7"/>
        <v>7</v>
      </c>
      <c r="C39" s="31"/>
      <c r="D39" s="33"/>
      <c r="E39" s="15" t="e">
        <f>SUM(D$33:D39)/SUM($D$33:$D$53)</f>
        <v>#DIV/0!</v>
      </c>
      <c r="F39" s="40" t="e">
        <f t="shared" si="11"/>
        <v>#DIV/0!</v>
      </c>
      <c r="G39" s="35"/>
      <c r="H39" s="16" t="e">
        <f t="shared" ca="1" si="8"/>
        <v>#DIV/0!</v>
      </c>
      <c r="I39" s="17" t="e">
        <f t="shared" ca="1" si="9"/>
        <v>#DIV/0!</v>
      </c>
      <c r="J39" s="18">
        <f t="shared" si="10"/>
        <v>0.8</v>
      </c>
      <c r="K39" s="95"/>
      <c r="L39" s="95"/>
      <c r="M39" s="94" t="s">
        <v>25</v>
      </c>
      <c r="N39" s="88" t="s">
        <v>26</v>
      </c>
      <c r="O39" s="88" t="s">
        <v>45</v>
      </c>
      <c r="P39" s="88" t="s">
        <v>66</v>
      </c>
      <c r="Q39" s="89" t="str">
        <f t="shared" si="0"/>
        <v>Spud System (Walking Mechanism)</v>
      </c>
      <c r="R39" s="90"/>
      <c r="S39" s="91"/>
      <c r="T39" s="61"/>
      <c r="U39" s="92"/>
      <c r="V39" s="93"/>
      <c r="W39" s="61"/>
      <c r="X39" s="85">
        <f t="shared" si="4"/>
        <v>0</v>
      </c>
      <c r="Y39" s="85">
        <f t="shared" si="5"/>
        <v>0</v>
      </c>
      <c r="Z39" s="43"/>
      <c r="AA39" s="86" t="s">
        <v>84</v>
      </c>
      <c r="AB39" s="87">
        <f>X23</f>
        <v>0</v>
      </c>
      <c r="AC39" s="87">
        <f>Y23</f>
        <v>0</v>
      </c>
    </row>
    <row r="40" spans="2:29" x14ac:dyDescent="0.2">
      <c r="B40" s="14">
        <f t="shared" si="7"/>
        <v>8</v>
      </c>
      <c r="C40" s="31"/>
      <c r="D40" s="33"/>
      <c r="E40" s="15" t="e">
        <f>SUM(D$33:D40)/SUM($D$33:$D$53)</f>
        <v>#DIV/0!</v>
      </c>
      <c r="F40" s="40" t="e">
        <f t="shared" si="11"/>
        <v>#DIV/0!</v>
      </c>
      <c r="G40" s="35"/>
      <c r="H40" s="16" t="e">
        <f t="shared" ca="1" si="8"/>
        <v>#DIV/0!</v>
      </c>
      <c r="I40" s="17" t="e">
        <f t="shared" ca="1" si="9"/>
        <v>#DIV/0!</v>
      </c>
      <c r="J40" s="18">
        <f t="shared" si="10"/>
        <v>0.8</v>
      </c>
      <c r="K40" s="95"/>
      <c r="L40" s="95"/>
      <c r="M40" s="72" t="s">
        <v>25</v>
      </c>
      <c r="N40" s="72" t="s">
        <v>26</v>
      </c>
      <c r="O40" s="72" t="s">
        <v>155</v>
      </c>
      <c r="P40" s="72" t="s">
        <v>156</v>
      </c>
      <c r="Q40" s="80" t="str">
        <f t="shared" ref="Q40" si="12">O40&amp;" "&amp;M40&amp;P40&amp;N40</f>
        <v>Tagline / Boom Assist (A-Frame)</v>
      </c>
      <c r="R40" s="81"/>
      <c r="S40" s="82"/>
      <c r="T40" s="58"/>
      <c r="U40" s="83"/>
      <c r="V40" s="84"/>
      <c r="W40" s="58"/>
      <c r="X40" s="85">
        <f t="shared" si="4"/>
        <v>0</v>
      </c>
      <c r="Y40" s="85">
        <f t="shared" si="5"/>
        <v>0</v>
      </c>
      <c r="Z40" s="43"/>
    </row>
    <row r="41" spans="2:29" x14ac:dyDescent="0.2">
      <c r="B41" s="14">
        <f t="shared" si="7"/>
        <v>9</v>
      </c>
      <c r="C41" s="31"/>
      <c r="D41" s="33"/>
      <c r="E41" s="15" t="e">
        <f>SUM(D$33:D41)/SUM($D$33:$D$53)</f>
        <v>#DIV/0!</v>
      </c>
      <c r="F41" s="40" t="e">
        <f t="shared" si="11"/>
        <v>#DIV/0!</v>
      </c>
      <c r="G41" s="35"/>
      <c r="H41" s="16" t="e">
        <f t="shared" ca="1" si="8"/>
        <v>#DIV/0!</v>
      </c>
      <c r="I41" s="17" t="e">
        <f t="shared" ca="1" si="9"/>
        <v>#DIV/0!</v>
      </c>
      <c r="J41" s="18">
        <f t="shared" si="10"/>
        <v>0.8</v>
      </c>
      <c r="K41" s="95"/>
      <c r="L41" s="95"/>
      <c r="M41" s="72" t="s">
        <v>25</v>
      </c>
      <c r="N41" s="72" t="s">
        <v>26</v>
      </c>
      <c r="O41" s="72" t="s">
        <v>155</v>
      </c>
      <c r="P41" s="72" t="s">
        <v>157</v>
      </c>
      <c r="Q41" s="80" t="str">
        <f t="shared" si="0"/>
        <v>Tagline / Boom Assist (Sheaves)</v>
      </c>
      <c r="R41" s="81"/>
      <c r="S41" s="82"/>
      <c r="T41" s="58"/>
      <c r="U41" s="83"/>
      <c r="V41" s="84"/>
      <c r="W41" s="58"/>
      <c r="X41" s="85">
        <f t="shared" si="4"/>
        <v>0</v>
      </c>
      <c r="Y41" s="85">
        <f t="shared" si="5"/>
        <v>0</v>
      </c>
      <c r="Z41" s="43"/>
    </row>
    <row r="42" spans="2:29" x14ac:dyDescent="0.2">
      <c r="B42" s="14">
        <f t="shared" si="7"/>
        <v>10</v>
      </c>
      <c r="C42" s="31"/>
      <c r="D42" s="33"/>
      <c r="E42" s="15" t="e">
        <f>SUM(D$33:D42)/SUM($D$33:$D$53)</f>
        <v>#DIV/0!</v>
      </c>
      <c r="F42" s="40" t="e">
        <f t="shared" si="11"/>
        <v>#DIV/0!</v>
      </c>
      <c r="G42" s="35"/>
      <c r="H42" s="16" t="e">
        <f t="shared" ca="1" si="8"/>
        <v>#DIV/0!</v>
      </c>
      <c r="I42" s="17" t="e">
        <f t="shared" ca="1" si="9"/>
        <v>#DIV/0!</v>
      </c>
      <c r="J42" s="18">
        <f t="shared" si="10"/>
        <v>0.8</v>
      </c>
      <c r="K42" s="95"/>
      <c r="L42" s="95"/>
      <c r="M42" s="72" t="s">
        <v>25</v>
      </c>
      <c r="N42" s="72" t="s">
        <v>26</v>
      </c>
      <c r="O42" s="72" t="s">
        <v>155</v>
      </c>
      <c r="P42" s="72" t="s">
        <v>158</v>
      </c>
      <c r="Q42" s="80" t="str">
        <f t="shared" si="0"/>
        <v>Tagline / Boom Assist (Winch/Gear Box)</v>
      </c>
      <c r="R42" s="81"/>
      <c r="S42" s="82"/>
      <c r="T42" s="58"/>
      <c r="U42" s="83"/>
      <c r="V42" s="84"/>
      <c r="W42" s="58"/>
      <c r="X42" s="85">
        <f t="shared" si="4"/>
        <v>0</v>
      </c>
      <c r="Y42" s="85">
        <f t="shared" si="5"/>
        <v>0</v>
      </c>
      <c r="Z42" s="43"/>
      <c r="AA42" s="86" t="str">
        <f>Q24</f>
        <v>Main Hoist / Main Hyd (Cylinders)</v>
      </c>
      <c r="AB42" s="87">
        <f t="shared" ref="AB42:AC45" si="13">X24</f>
        <v>0</v>
      </c>
      <c r="AC42" s="87">
        <f t="shared" si="13"/>
        <v>0</v>
      </c>
    </row>
    <row r="43" spans="2:29" x14ac:dyDescent="0.2">
      <c r="B43" s="14">
        <f t="shared" si="7"/>
        <v>11</v>
      </c>
      <c r="C43" s="31"/>
      <c r="D43" s="33"/>
      <c r="E43" s="15" t="e">
        <f>SUM(D$33:D43)/SUM($D$33:$D$53)</f>
        <v>#DIV/0!</v>
      </c>
      <c r="F43" s="40" t="e">
        <f t="shared" si="11"/>
        <v>#DIV/0!</v>
      </c>
      <c r="G43" s="35"/>
      <c r="H43" s="16" t="e">
        <f t="shared" ca="1" si="8"/>
        <v>#DIV/0!</v>
      </c>
      <c r="I43" s="17" t="e">
        <f t="shared" ca="1" si="9"/>
        <v>#DIV/0!</v>
      </c>
      <c r="J43" s="18">
        <f t="shared" si="10"/>
        <v>0.8</v>
      </c>
      <c r="K43" s="95"/>
      <c r="L43" s="95"/>
      <c r="M43" s="94" t="s">
        <v>25</v>
      </c>
      <c r="N43" s="88" t="s">
        <v>26</v>
      </c>
      <c r="O43" s="88" t="s">
        <v>155</v>
      </c>
      <c r="P43" s="88" t="s">
        <v>159</v>
      </c>
      <c r="Q43" s="89" t="str">
        <f t="shared" si="0"/>
        <v>Tagline / Boom Assist (Wire)</v>
      </c>
      <c r="R43" s="90"/>
      <c r="S43" s="91"/>
      <c r="T43" s="61"/>
      <c r="U43" s="92"/>
      <c r="V43" s="93"/>
      <c r="W43" s="61"/>
      <c r="X43" s="85">
        <f t="shared" si="4"/>
        <v>0</v>
      </c>
      <c r="Y43" s="85">
        <f t="shared" si="5"/>
        <v>0</v>
      </c>
      <c r="Z43" s="32"/>
      <c r="AA43" s="86" t="str">
        <f>Q25</f>
        <v>Main Hoist / Main Hyd (Excavtor Hydraulics)</v>
      </c>
      <c r="AB43" s="87">
        <f t="shared" si="13"/>
        <v>0</v>
      </c>
      <c r="AC43" s="87">
        <f t="shared" si="13"/>
        <v>0</v>
      </c>
    </row>
    <row r="44" spans="2:29" x14ac:dyDescent="0.2">
      <c r="B44" s="14">
        <f t="shared" si="7"/>
        <v>12</v>
      </c>
      <c r="C44" s="31"/>
      <c r="D44" s="33"/>
      <c r="E44" s="15" t="e">
        <f>SUM(D$33:D44)/SUM($D$33:$D$53)</f>
        <v>#DIV/0!</v>
      </c>
      <c r="F44" s="40" t="e">
        <f t="shared" si="11"/>
        <v>#DIV/0!</v>
      </c>
      <c r="G44" s="35"/>
      <c r="H44" s="16" t="e">
        <f t="shared" ca="1" si="8"/>
        <v>#DIV/0!</v>
      </c>
      <c r="I44" s="17" t="e">
        <f t="shared" ca="1" si="9"/>
        <v>#DIV/0!</v>
      </c>
      <c r="J44" s="18">
        <f t="shared" si="10"/>
        <v>0.8</v>
      </c>
      <c r="K44" s="95"/>
      <c r="L44" s="95"/>
      <c r="M44" s="72" t="s">
        <v>25</v>
      </c>
      <c r="N44" s="72" t="s">
        <v>26</v>
      </c>
      <c r="O44" s="72" t="s">
        <v>47</v>
      </c>
      <c r="P44" s="72" t="s">
        <v>67</v>
      </c>
      <c r="Q44" s="80" t="str">
        <f t="shared" si="0"/>
        <v>Tugs and Scows (Scow Repair)</v>
      </c>
      <c r="R44" s="81"/>
      <c r="S44" s="82"/>
      <c r="T44" s="58"/>
      <c r="U44" s="83"/>
      <c r="V44" s="84"/>
      <c r="W44" s="58"/>
      <c r="X44" s="85">
        <f t="shared" si="4"/>
        <v>0</v>
      </c>
      <c r="Y44" s="85">
        <f t="shared" si="5"/>
        <v>0</v>
      </c>
      <c r="AA44" s="86" t="str">
        <f>Q26</f>
        <v>Main Hoist / Main Hyd (Hoses)</v>
      </c>
      <c r="AB44" s="87">
        <f t="shared" si="13"/>
        <v>0</v>
      </c>
      <c r="AC44" s="87">
        <f t="shared" si="13"/>
        <v>0</v>
      </c>
    </row>
    <row r="45" spans="2:29" x14ac:dyDescent="0.2">
      <c r="B45" s="14">
        <f t="shared" si="7"/>
        <v>13</v>
      </c>
      <c r="C45" s="31"/>
      <c r="D45" s="33"/>
      <c r="E45" s="15" t="e">
        <f>SUM(D$33:D45)/SUM($D$33:$D$53)</f>
        <v>#DIV/0!</v>
      </c>
      <c r="F45" s="40" t="e">
        <f t="shared" si="11"/>
        <v>#DIV/0!</v>
      </c>
      <c r="G45" s="35"/>
      <c r="H45" s="16" t="e">
        <f t="shared" ca="1" si="8"/>
        <v>#DIV/0!</v>
      </c>
      <c r="I45" s="17" t="e">
        <f t="shared" ca="1" si="9"/>
        <v>#DIV/0!</v>
      </c>
      <c r="J45" s="18">
        <f t="shared" si="10"/>
        <v>0.8</v>
      </c>
      <c r="K45" s="95"/>
      <c r="L45" s="95"/>
      <c r="M45" s="72" t="s">
        <v>25</v>
      </c>
      <c r="N45" s="72" t="s">
        <v>26</v>
      </c>
      <c r="O45" s="72" t="s">
        <v>47</v>
      </c>
      <c r="P45" s="72" t="s">
        <v>68</v>
      </c>
      <c r="Q45" s="80" t="str">
        <f t="shared" si="0"/>
        <v>Tugs and Scows (Tug Repair)</v>
      </c>
      <c r="R45" s="81"/>
      <c r="S45" s="82"/>
      <c r="T45" s="58"/>
      <c r="U45" s="83"/>
      <c r="V45" s="84"/>
      <c r="W45" s="58"/>
      <c r="X45" s="85">
        <f t="shared" si="4"/>
        <v>0</v>
      </c>
      <c r="Y45" s="85">
        <f t="shared" si="5"/>
        <v>0</v>
      </c>
      <c r="AA45" s="86" t="str">
        <f>Q27</f>
        <v>Main Hoist / Main Hyd (Hytop Hydraulics)</v>
      </c>
      <c r="AB45" s="87">
        <f t="shared" si="13"/>
        <v>0</v>
      </c>
      <c r="AC45" s="87">
        <f t="shared" si="13"/>
        <v>0</v>
      </c>
    </row>
    <row r="46" spans="2:29" x14ac:dyDescent="0.2">
      <c r="B46" s="14">
        <f t="shared" si="7"/>
        <v>14</v>
      </c>
      <c r="C46" s="31"/>
      <c r="D46" s="33"/>
      <c r="E46" s="15" t="e">
        <f>SUM(D$33:D46)/SUM($D$33:$D$53)</f>
        <v>#DIV/0!</v>
      </c>
      <c r="F46" s="40" t="e">
        <f t="shared" si="11"/>
        <v>#DIV/0!</v>
      </c>
      <c r="G46" s="35"/>
      <c r="H46" s="16" t="e">
        <f t="shared" ca="1" si="8"/>
        <v>#DIV/0!</v>
      </c>
      <c r="I46" s="17" t="e">
        <f t="shared" ca="1" si="9"/>
        <v>#DIV/0!</v>
      </c>
      <c r="J46" s="18">
        <f t="shared" si="10"/>
        <v>0.8</v>
      </c>
      <c r="K46" s="95"/>
      <c r="L46" s="95"/>
      <c r="M46" s="37"/>
      <c r="N46" s="37"/>
      <c r="O46" s="37"/>
      <c r="P46" s="37"/>
      <c r="Q46" s="32"/>
      <c r="R46" s="36"/>
      <c r="S46" s="36"/>
      <c r="T46" s="36"/>
      <c r="U46" s="36"/>
      <c r="V46" s="36"/>
      <c r="W46" s="36"/>
      <c r="X46" s="36"/>
      <c r="Y46" s="36"/>
    </row>
    <row r="47" spans="2:29" x14ac:dyDescent="0.2">
      <c r="B47" s="14">
        <f t="shared" si="7"/>
        <v>15</v>
      </c>
      <c r="C47" s="31"/>
      <c r="D47" s="33"/>
      <c r="E47" s="15" t="e">
        <f>SUM(D$33:D47)/SUM($D$33:$D$53)</f>
        <v>#DIV/0!</v>
      </c>
      <c r="F47" s="40" t="e">
        <f t="shared" si="11"/>
        <v>#DIV/0!</v>
      </c>
      <c r="G47" s="35"/>
      <c r="H47" s="16" t="e">
        <f t="shared" ca="1" si="8"/>
        <v>#DIV/0!</v>
      </c>
      <c r="I47" s="17" t="e">
        <f t="shared" ca="1" si="9"/>
        <v>#DIV/0!</v>
      </c>
      <c r="J47" s="18">
        <f t="shared" si="10"/>
        <v>0.8</v>
      </c>
      <c r="K47" s="95"/>
      <c r="L47" s="95"/>
      <c r="O47" s="244" t="s">
        <v>133</v>
      </c>
      <c r="P47" s="244"/>
      <c r="Q47" s="244"/>
    </row>
    <row r="48" spans="2:29" x14ac:dyDescent="0.2">
      <c r="B48" s="14">
        <f t="shared" si="7"/>
        <v>16</v>
      </c>
      <c r="C48" s="31"/>
      <c r="D48" s="33"/>
      <c r="E48" s="15" t="e">
        <f>SUM(D$33:D48)/SUM($D$33:$D$53)</f>
        <v>#DIV/0!</v>
      </c>
      <c r="F48" s="40" t="e">
        <f t="shared" si="11"/>
        <v>#DIV/0!</v>
      </c>
      <c r="G48" s="35"/>
      <c r="H48" s="16" t="e">
        <f t="shared" ca="1" si="8"/>
        <v>#DIV/0!</v>
      </c>
      <c r="I48" s="17" t="e">
        <f t="shared" ca="1" si="9"/>
        <v>#DIV/0!</v>
      </c>
      <c r="J48" s="18">
        <f t="shared" si="10"/>
        <v>0.8</v>
      </c>
      <c r="K48" s="95"/>
      <c r="L48" s="95"/>
      <c r="AA48" s="127" t="str">
        <f>Q28</f>
        <v>Main / Aux Generators (Boom Assist Generator)</v>
      </c>
      <c r="AB48" s="128">
        <f>X28</f>
        <v>0</v>
      </c>
      <c r="AC48" s="128">
        <f>Y28</f>
        <v>0</v>
      </c>
    </row>
    <row r="49" spans="2:29" x14ac:dyDescent="0.2">
      <c r="B49" s="14">
        <f t="shared" si="7"/>
        <v>17</v>
      </c>
      <c r="C49" s="31"/>
      <c r="D49" s="33"/>
      <c r="E49" s="15" t="e">
        <f>SUM(D$33:D49)/SUM($D$33:$D$53)</f>
        <v>#DIV/0!</v>
      </c>
      <c r="F49" s="40" t="e">
        <f t="shared" si="11"/>
        <v>#DIV/0!</v>
      </c>
      <c r="G49" s="35"/>
      <c r="H49" s="16" t="e">
        <f t="shared" ca="1" si="8"/>
        <v>#DIV/0!</v>
      </c>
      <c r="I49" s="17" t="e">
        <f t="shared" ca="1" si="9"/>
        <v>#DIV/0!</v>
      </c>
      <c r="J49" s="18">
        <f t="shared" si="10"/>
        <v>0.8</v>
      </c>
      <c r="K49" s="95"/>
      <c r="L49" s="95"/>
      <c r="AA49" s="127" t="str">
        <f t="shared" ref="AA49:AA53" si="14">Q29</f>
        <v>Main / Aux Generators (Emergency Generator)</v>
      </c>
      <c r="AB49" s="128">
        <f t="shared" ref="AB49:AC49" si="15">X29</f>
        <v>0</v>
      </c>
      <c r="AC49" s="128">
        <f t="shared" si="15"/>
        <v>0</v>
      </c>
    </row>
    <row r="50" spans="2:29" x14ac:dyDescent="0.2">
      <c r="B50" s="14">
        <f t="shared" si="7"/>
        <v>18</v>
      </c>
      <c r="C50" s="31"/>
      <c r="D50" s="33"/>
      <c r="E50" s="15" t="e">
        <f>SUM(D$33:D50)/SUM($D$33:$D$53)</f>
        <v>#DIV/0!</v>
      </c>
      <c r="F50" s="40" t="e">
        <f t="shared" si="11"/>
        <v>#DIV/0!</v>
      </c>
      <c r="G50" s="35"/>
      <c r="H50" s="16" t="e">
        <f t="shared" ca="1" si="8"/>
        <v>#DIV/0!</v>
      </c>
      <c r="I50" s="17" t="e">
        <f t="shared" ca="1" si="9"/>
        <v>#DIV/0!</v>
      </c>
      <c r="J50" s="18">
        <f t="shared" si="10"/>
        <v>0.8</v>
      </c>
      <c r="K50" s="95"/>
      <c r="L50" s="95"/>
      <c r="P50" s="110" t="s">
        <v>135</v>
      </c>
      <c r="Q50" s="241" t="s">
        <v>134</v>
      </c>
      <c r="R50" s="241"/>
      <c r="S50" s="241"/>
      <c r="AA50" s="127" t="str">
        <f t="shared" si="14"/>
        <v>Main / Aux Generators (Generator #1)</v>
      </c>
      <c r="AB50" s="128">
        <f t="shared" ref="AB50:AC50" si="16">X30</f>
        <v>0</v>
      </c>
      <c r="AC50" s="128">
        <f t="shared" si="16"/>
        <v>0</v>
      </c>
    </row>
    <row r="51" spans="2:29" x14ac:dyDescent="0.2">
      <c r="B51" s="14">
        <f t="shared" si="7"/>
        <v>19</v>
      </c>
      <c r="C51" s="31"/>
      <c r="D51" s="33"/>
      <c r="E51" s="15" t="e">
        <f>SUM(D$33:D51)/SUM($D$33:$D$53)</f>
        <v>#DIV/0!</v>
      </c>
      <c r="F51" s="40" t="e">
        <f t="shared" si="11"/>
        <v>#DIV/0!</v>
      </c>
      <c r="G51" s="35"/>
      <c r="H51" s="16" t="e">
        <f t="shared" ca="1" si="8"/>
        <v>#DIV/0!</v>
      </c>
      <c r="I51" s="17" t="e">
        <f t="shared" ca="1" si="9"/>
        <v>#DIV/0!</v>
      </c>
      <c r="J51" s="18">
        <f t="shared" si="10"/>
        <v>0.8</v>
      </c>
      <c r="K51" s="95"/>
      <c r="L51" s="95"/>
      <c r="P51" s="35">
        <f>RANK(R51,$Q$51:$R$93,0)+COUNTIF($Q51:R$93,R51)-1</f>
        <v>43</v>
      </c>
      <c r="Q51" s="98" t="str">
        <f>Q3</f>
        <v>Auxiliary Systems (Compressed Air)</v>
      </c>
      <c r="R51" s="135">
        <f>X3</f>
        <v>0</v>
      </c>
      <c r="S51" s="135">
        <f>Y3</f>
        <v>0</v>
      </c>
      <c r="AA51" s="127" t="str">
        <f t="shared" si="14"/>
        <v>Main / Aux Generators (Generator #2)</v>
      </c>
      <c r="AB51" s="128">
        <f t="shared" ref="AB51:AC51" si="17">X31</f>
        <v>0</v>
      </c>
      <c r="AC51" s="128">
        <f t="shared" si="17"/>
        <v>0</v>
      </c>
    </row>
    <row r="52" spans="2:29" x14ac:dyDescent="0.2">
      <c r="B52" s="14">
        <f t="shared" si="7"/>
        <v>20</v>
      </c>
      <c r="C52" s="31"/>
      <c r="D52" s="33"/>
      <c r="E52" s="15" t="e">
        <f>SUM(D$33:D52)/SUM($D$33:$D$53)</f>
        <v>#DIV/0!</v>
      </c>
      <c r="F52" s="40" t="e">
        <f t="shared" si="11"/>
        <v>#DIV/0!</v>
      </c>
      <c r="G52" s="35"/>
      <c r="H52" s="16" t="e">
        <f t="shared" ca="1" si="8"/>
        <v>#DIV/0!</v>
      </c>
      <c r="I52" s="17" t="e">
        <f t="shared" ca="1" si="9"/>
        <v>#DIV/0!</v>
      </c>
      <c r="J52" s="18">
        <f t="shared" si="10"/>
        <v>0.8</v>
      </c>
      <c r="K52" s="95"/>
      <c r="L52" s="95"/>
      <c r="P52" s="35">
        <f>RANK(R52,$Q$51:$R$93,0)+COUNTIF($Q52:R$93,R52)-1</f>
        <v>42</v>
      </c>
      <c r="Q52" s="98" t="str">
        <f t="shared" ref="Q52:Q93" si="18">Q4</f>
        <v>Auxiliary Systems (Deck Crane)</v>
      </c>
      <c r="R52" s="135">
        <f t="shared" ref="R52:S52" si="19">X4</f>
        <v>0</v>
      </c>
      <c r="S52" s="135">
        <f t="shared" si="19"/>
        <v>0</v>
      </c>
      <c r="AA52" s="127" t="str">
        <f t="shared" si="14"/>
        <v>Main / Aux Generators (PP1)</v>
      </c>
      <c r="AB52" s="128">
        <f t="shared" ref="AB52:AC52" si="20">X32</f>
        <v>0</v>
      </c>
      <c r="AC52" s="128">
        <f t="shared" si="20"/>
        <v>0</v>
      </c>
    </row>
    <row r="53" spans="2:29" x14ac:dyDescent="0.2">
      <c r="B53" s="14">
        <f t="shared" si="7"/>
        <v>21</v>
      </c>
      <c r="C53" s="31"/>
      <c r="D53" s="33"/>
      <c r="E53" s="15" t="e">
        <f>SUM(D$33:D53)/SUM($D$33:$D$53)</f>
        <v>#DIV/0!</v>
      </c>
      <c r="F53" s="40" t="e">
        <f t="shared" si="11"/>
        <v>#DIV/0!</v>
      </c>
      <c r="G53" s="35"/>
      <c r="H53" s="16" t="e">
        <f t="shared" ca="1" si="8"/>
        <v>#DIV/0!</v>
      </c>
      <c r="I53" s="17" t="e">
        <f t="shared" ca="1" si="9"/>
        <v>#DIV/0!</v>
      </c>
      <c r="J53" s="18">
        <f t="shared" si="10"/>
        <v>0.8</v>
      </c>
      <c r="K53" s="95"/>
      <c r="L53" s="95"/>
      <c r="P53" s="35">
        <f>RANK(R53,$Q$51:$R$93,0)+COUNTIF($Q53:R$93,R53)-1</f>
        <v>41</v>
      </c>
      <c r="Q53" s="98" t="str">
        <f t="shared" si="18"/>
        <v>Auxiliary Systems (Fire Main)</v>
      </c>
      <c r="R53" s="135">
        <f t="shared" ref="R53:S53" si="21">X5</f>
        <v>0</v>
      </c>
      <c r="S53" s="135">
        <f t="shared" si="21"/>
        <v>0</v>
      </c>
      <c r="AA53" s="127" t="str">
        <f t="shared" si="14"/>
        <v>Main / Aux Generators (PP2)</v>
      </c>
      <c r="AB53" s="128">
        <f t="shared" ref="AB53:AC53" si="22">X33</f>
        <v>0</v>
      </c>
      <c r="AC53" s="128">
        <f t="shared" si="22"/>
        <v>0</v>
      </c>
    </row>
    <row r="54" spans="2:29" x14ac:dyDescent="0.2">
      <c r="B54" s="19" t="s">
        <v>12</v>
      </c>
      <c r="C54" s="1"/>
      <c r="D54" s="1"/>
      <c r="E54" s="1"/>
      <c r="F54" s="1"/>
      <c r="G54" s="1"/>
      <c r="H54" s="1"/>
      <c r="I54" s="1"/>
      <c r="J54" s="1"/>
      <c r="K54" s="1"/>
      <c r="L54" s="1"/>
      <c r="P54" s="35">
        <f>RANK(R54,$Q$51:$R$93,0)+COUNTIF($Q54:R$93,R54)-1</f>
        <v>40</v>
      </c>
      <c r="Q54" s="98" t="str">
        <f t="shared" si="18"/>
        <v>Auxiliary Systems (Fuel)</v>
      </c>
      <c r="R54" s="135">
        <f t="shared" ref="R54:S54" si="23">X6</f>
        <v>0</v>
      </c>
      <c r="S54" s="135">
        <f t="shared" si="23"/>
        <v>0</v>
      </c>
    </row>
    <row r="55" spans="2:29" x14ac:dyDescent="0.2">
      <c r="P55" s="35">
        <f>RANK(R55,$Q$51:$R$93,0)+COUNTIF($Q55:R$93,R55)-1</f>
        <v>39</v>
      </c>
      <c r="Q55" s="98" t="str">
        <f t="shared" si="18"/>
        <v>Auxiliary Systems (HVAC)</v>
      </c>
      <c r="R55" s="135">
        <f t="shared" ref="R55:S55" si="24">X7</f>
        <v>0</v>
      </c>
      <c r="S55" s="135">
        <f t="shared" si="24"/>
        <v>0</v>
      </c>
    </row>
    <row r="56" spans="2:29" x14ac:dyDescent="0.2">
      <c r="P56" s="35">
        <f>RANK(R56,$Q$51:$R$93,0)+COUNTIF($Q56:R$93,R56)-1</f>
        <v>38</v>
      </c>
      <c r="Q56" s="98" t="str">
        <f t="shared" si="18"/>
        <v>Auxiliary Systems (Potable Water)</v>
      </c>
      <c r="R56" s="135">
        <f t="shared" ref="R56:S56" si="25">X8</f>
        <v>0</v>
      </c>
      <c r="S56" s="135">
        <f t="shared" si="25"/>
        <v>0</v>
      </c>
      <c r="AA56" s="129" t="str">
        <f>Q34</f>
        <v>Spud System (Spud Hydraulics)</v>
      </c>
      <c r="AB56" s="87">
        <f t="shared" ref="AB56:AB57" si="26">X34</f>
        <v>0</v>
      </c>
      <c r="AC56" s="87">
        <f t="shared" ref="AC56:AC57" si="27">Y34</f>
        <v>0</v>
      </c>
    </row>
    <row r="57" spans="2:29" x14ac:dyDescent="0.2">
      <c r="P57" s="195">
        <f>RANK(R57,$Q$51:$R$93,0)+COUNTIF($Q57:R$93,R57)-1</f>
        <v>37</v>
      </c>
      <c r="Q57" s="196" t="str">
        <f t="shared" si="18"/>
        <v>Auxiliary Systems (Sanitary System)</v>
      </c>
      <c r="R57" s="197">
        <f t="shared" ref="R57:S57" si="28">X9</f>
        <v>0</v>
      </c>
      <c r="S57" s="197">
        <f t="shared" si="28"/>
        <v>0</v>
      </c>
      <c r="AA57" s="86" t="s">
        <v>92</v>
      </c>
      <c r="AB57" s="87">
        <f t="shared" si="26"/>
        <v>0</v>
      </c>
      <c r="AC57" s="87">
        <f t="shared" si="27"/>
        <v>0</v>
      </c>
    </row>
    <row r="58" spans="2:29" x14ac:dyDescent="0.2">
      <c r="P58" s="195">
        <f>RANK(R58,$Q$51:$R$93,0)+COUNTIF($Q58:R$93,R58)-1</f>
        <v>36</v>
      </c>
      <c r="Q58" s="196" t="str">
        <f t="shared" si="18"/>
        <v>Bucket (Weld / Repair Bucket)</v>
      </c>
      <c r="R58" s="197">
        <f t="shared" ref="R58:S58" si="29">X10</f>
        <v>0</v>
      </c>
      <c r="S58" s="197">
        <f t="shared" si="29"/>
        <v>0</v>
      </c>
      <c r="AA58" s="86" t="s">
        <v>93</v>
      </c>
      <c r="AB58" s="87">
        <f t="shared" ref="AB58:AC61" si="30">X36</f>
        <v>0</v>
      </c>
      <c r="AC58" s="87">
        <f t="shared" si="30"/>
        <v>0</v>
      </c>
    </row>
    <row r="59" spans="2:29" x14ac:dyDescent="0.2">
      <c r="P59" s="35">
        <f>RANK(R59,$Q$51:$R$93,0)+COUNTIF($Q59:R$93,R59)-1</f>
        <v>35</v>
      </c>
      <c r="Q59" s="98" t="str">
        <f t="shared" si="18"/>
        <v>Crane Boom (Boom Structure)</v>
      </c>
      <c r="R59" s="135">
        <f t="shared" ref="R59:S59" si="31">X11</f>
        <v>0</v>
      </c>
      <c r="S59" s="135">
        <f t="shared" si="31"/>
        <v>0</v>
      </c>
      <c r="AA59" s="86" t="s">
        <v>94</v>
      </c>
      <c r="AB59" s="87">
        <f t="shared" si="30"/>
        <v>0</v>
      </c>
      <c r="AC59" s="87">
        <f t="shared" si="30"/>
        <v>0</v>
      </c>
    </row>
    <row r="60" spans="2:29" x14ac:dyDescent="0.2">
      <c r="P60" s="35">
        <f>RANK(R60,$Q$51:$R$93,0)+COUNTIF($Q60:R$93,R60)-1</f>
        <v>34</v>
      </c>
      <c r="Q60" s="98" t="str">
        <f t="shared" si="18"/>
        <v>Crane Boom (Grease Structure)</v>
      </c>
      <c r="R60" s="135">
        <f t="shared" ref="R60:S60" si="32">X12</f>
        <v>0</v>
      </c>
      <c r="S60" s="135">
        <f t="shared" si="32"/>
        <v>0</v>
      </c>
      <c r="AA60" s="86" t="s">
        <v>95</v>
      </c>
      <c r="AB60" s="87">
        <f t="shared" si="30"/>
        <v>0</v>
      </c>
      <c r="AC60" s="87">
        <f t="shared" si="30"/>
        <v>0</v>
      </c>
    </row>
    <row r="61" spans="2:29" x14ac:dyDescent="0.2">
      <c r="P61" s="195">
        <f>RANK(R61,$Q$51:$R$93,0)+COUNTIF($Q61:R$93,R61)-1</f>
        <v>33</v>
      </c>
      <c r="Q61" s="196" t="str">
        <f t="shared" si="18"/>
        <v>Crane Boom (Stick Structure)</v>
      </c>
      <c r="R61" s="197">
        <f t="shared" ref="R61:S61" si="33">X13</f>
        <v>0</v>
      </c>
      <c r="S61" s="197">
        <f t="shared" si="33"/>
        <v>0</v>
      </c>
      <c r="AA61" s="86" t="s">
        <v>96</v>
      </c>
      <c r="AB61" s="87">
        <f t="shared" si="30"/>
        <v>0</v>
      </c>
      <c r="AC61" s="87">
        <f t="shared" si="30"/>
        <v>0</v>
      </c>
    </row>
    <row r="62" spans="2:29" x14ac:dyDescent="0.2">
      <c r="B62" s="114" t="s">
        <v>3</v>
      </c>
      <c r="C62" s="115" t="s">
        <v>136</v>
      </c>
      <c r="D62" s="115"/>
      <c r="E62" s="116" t="s">
        <v>137</v>
      </c>
      <c r="P62" s="35">
        <f>RANK(R62,$Q$51:$R$93,0)+COUNTIF($Q62:R$93,R62)-1</f>
        <v>32</v>
      </c>
      <c r="Q62" s="98" t="str">
        <f t="shared" si="18"/>
        <v>Crane Swing (Drive (motor, gearbox))</v>
      </c>
      <c r="R62" s="135">
        <f t="shared" ref="R62:S62" si="34">X14</f>
        <v>0</v>
      </c>
      <c r="S62" s="135">
        <f t="shared" si="34"/>
        <v>0</v>
      </c>
    </row>
    <row r="63" spans="2:29" x14ac:dyDescent="0.2">
      <c r="P63" s="195">
        <f>RANK(R63,$Q$51:$R$93,0)+COUNTIF($Q63:R$93,R63)-1</f>
        <v>31</v>
      </c>
      <c r="Q63" s="196" t="str">
        <f t="shared" si="18"/>
        <v>Crane Swing (Swing Circle (rollers))</v>
      </c>
      <c r="R63" s="197">
        <f t="shared" ref="R63:S63" si="35">X15</f>
        <v>0</v>
      </c>
      <c r="S63" s="197">
        <f t="shared" si="35"/>
        <v>0</v>
      </c>
    </row>
    <row r="64" spans="2:29" x14ac:dyDescent="0.2">
      <c r="B64" s="2">
        <v>1</v>
      </c>
      <c r="C64" s="32" t="str">
        <f>VLOOKUP(B64,$P$51:$S$93,2,0)</f>
        <v>Tugs and Scows (Tug Repair)</v>
      </c>
      <c r="D64" s="114">
        <f>VLOOKUP(B64,$P$51:$S$93,3,0)</f>
        <v>0</v>
      </c>
      <c r="E64" s="114">
        <f>VLOOKUP(B64,$P$51:$S$93,4,0)</f>
        <v>0</v>
      </c>
      <c r="P64" s="35">
        <f>RANK(R64,$Q$51:$R$93,0)+COUNTIF($Q64:R$93,R64)-1</f>
        <v>30</v>
      </c>
      <c r="Q64" s="98" t="str">
        <f t="shared" si="18"/>
        <v>Deck Winch (Fairleads)</v>
      </c>
      <c r="R64" s="135">
        <f t="shared" ref="R64:S64" si="36">X16</f>
        <v>0</v>
      </c>
      <c r="S64" s="135">
        <f t="shared" si="36"/>
        <v>0</v>
      </c>
      <c r="AA64" s="129" t="str">
        <f>Q40</f>
        <v>Tagline / Boom Assist (A-Frame)</v>
      </c>
      <c r="AB64" s="128">
        <f>X40</f>
        <v>0</v>
      </c>
      <c r="AC64" s="128">
        <f>Y40</f>
        <v>0</v>
      </c>
    </row>
    <row r="65" spans="2:29" x14ac:dyDescent="0.2">
      <c r="B65" s="2">
        <v>2</v>
      </c>
      <c r="C65" s="32" t="str">
        <f t="shared" ref="C65:C106" si="37">VLOOKUP(B65,$P$51:$S$93,2,0)</f>
        <v>Tugs and Scows (Scow Repair)</v>
      </c>
      <c r="D65" s="114">
        <f t="shared" ref="D65:D106" si="38">VLOOKUP(B65,$P$51:$S$93,3,0)</f>
        <v>0</v>
      </c>
      <c r="E65" s="114">
        <f t="shared" ref="E65:E106" si="39">VLOOKUP(B65,$P$51:$S$93,4,0)</f>
        <v>0</v>
      </c>
      <c r="P65" s="195">
        <f>RANK(R65,$Q$51:$R$93,0)+COUNTIF($Q65:R$93,R65)-1</f>
        <v>29</v>
      </c>
      <c r="Q65" s="196" t="str">
        <f t="shared" si="18"/>
        <v>Deck Winch (Winch)</v>
      </c>
      <c r="R65" s="197">
        <f t="shared" ref="R65:S65" si="40">X17</f>
        <v>0</v>
      </c>
      <c r="S65" s="197">
        <f t="shared" si="40"/>
        <v>0</v>
      </c>
      <c r="AA65" s="129" t="str">
        <f t="shared" ref="AA65:AA67" si="41">Q41</f>
        <v>Tagline / Boom Assist (Sheaves)</v>
      </c>
      <c r="AB65" s="128">
        <f t="shared" ref="AB65:AC65" si="42">X41</f>
        <v>0</v>
      </c>
      <c r="AC65" s="128">
        <f t="shared" si="42"/>
        <v>0</v>
      </c>
    </row>
    <row r="66" spans="2:29" x14ac:dyDescent="0.2">
      <c r="B66" s="2">
        <v>3</v>
      </c>
      <c r="C66" s="32" t="str">
        <f t="shared" si="37"/>
        <v>Tagline / Boom Assist (Wire)</v>
      </c>
      <c r="D66" s="114">
        <f t="shared" si="38"/>
        <v>0</v>
      </c>
      <c r="E66" s="114">
        <f t="shared" si="39"/>
        <v>0</v>
      </c>
      <c r="P66" s="35">
        <f>RANK(R66,$Q$51:$R$93,0)+COUNTIF($Q66:R$93,R66)-1</f>
        <v>28</v>
      </c>
      <c r="Q66" s="98" t="str">
        <f t="shared" si="18"/>
        <v>Electrical / Electronics (MCC / Switch Gear)</v>
      </c>
      <c r="R66" s="135">
        <f t="shared" ref="R66:S66" si="43">X18</f>
        <v>0</v>
      </c>
      <c r="S66" s="135">
        <f t="shared" si="43"/>
        <v>0</v>
      </c>
      <c r="AA66" s="129" t="str">
        <f t="shared" si="41"/>
        <v>Tagline / Boom Assist (Winch/Gear Box)</v>
      </c>
      <c r="AB66" s="128">
        <f t="shared" ref="AB66:AC66" si="44">X42</f>
        <v>0</v>
      </c>
      <c r="AC66" s="128">
        <f t="shared" si="44"/>
        <v>0</v>
      </c>
    </row>
    <row r="67" spans="2:29" x14ac:dyDescent="0.2">
      <c r="B67" s="2">
        <v>4</v>
      </c>
      <c r="C67" s="32" t="str">
        <f t="shared" si="37"/>
        <v>Tagline / Boom Assist (Winch/Gear Box)</v>
      </c>
      <c r="D67" s="114">
        <f t="shared" si="38"/>
        <v>0</v>
      </c>
      <c r="E67" s="114">
        <f t="shared" si="39"/>
        <v>0</v>
      </c>
      <c r="P67" s="35">
        <f>RANK(R67,$Q$51:$R$93,0)+COUNTIF($Q67:R$93,R67)-1</f>
        <v>27</v>
      </c>
      <c r="Q67" s="98" t="str">
        <f t="shared" si="18"/>
        <v>Electrical / Electronics (Navigation Lights)</v>
      </c>
      <c r="R67" s="135">
        <f t="shared" ref="R67:S67" si="45">X19</f>
        <v>0</v>
      </c>
      <c r="S67" s="135">
        <f t="shared" si="45"/>
        <v>0</v>
      </c>
      <c r="AA67" s="129" t="str">
        <f t="shared" si="41"/>
        <v>Tagline / Boom Assist (Wire)</v>
      </c>
      <c r="AB67" s="128">
        <f t="shared" ref="AB67:AC67" si="46">X43</f>
        <v>0</v>
      </c>
      <c r="AC67" s="128">
        <f t="shared" si="46"/>
        <v>0</v>
      </c>
    </row>
    <row r="68" spans="2:29" x14ac:dyDescent="0.2">
      <c r="B68" s="2">
        <v>5</v>
      </c>
      <c r="C68" s="32" t="str">
        <f t="shared" si="37"/>
        <v>Tagline / Boom Assist (Sheaves)</v>
      </c>
      <c r="D68" s="114">
        <f t="shared" si="38"/>
        <v>0</v>
      </c>
      <c r="E68" s="114">
        <f t="shared" si="39"/>
        <v>0</v>
      </c>
      <c r="P68" s="35">
        <f>RANK(R68,$Q$51:$R$93,0)+COUNTIF($Q68:R$93,R68)-1</f>
        <v>26</v>
      </c>
      <c r="Q68" s="98" t="str">
        <f t="shared" si="18"/>
        <v>Electrical / Electronics (PLC)</v>
      </c>
      <c r="R68" s="135">
        <f t="shared" ref="R68:S68" si="47">X20</f>
        <v>0</v>
      </c>
      <c r="S68" s="135">
        <f t="shared" si="47"/>
        <v>0</v>
      </c>
    </row>
    <row r="69" spans="2:29" x14ac:dyDescent="0.2">
      <c r="B69" s="2">
        <v>6</v>
      </c>
      <c r="C69" s="32" t="str">
        <f t="shared" si="37"/>
        <v>Tagline / Boom Assist (A-Frame)</v>
      </c>
      <c r="D69" s="114">
        <f t="shared" si="38"/>
        <v>0</v>
      </c>
      <c r="E69" s="114">
        <f t="shared" si="39"/>
        <v>0</v>
      </c>
      <c r="P69" s="195">
        <f>RANK(R69,$Q$51:$R$93,0)+COUNTIF($Q69:R$93,R69)-1</f>
        <v>25</v>
      </c>
      <c r="Q69" s="196" t="str">
        <f t="shared" si="18"/>
        <v>Electrical / Electronics (Transformers)</v>
      </c>
      <c r="R69" s="197">
        <f t="shared" ref="R69:S69" si="48">X21</f>
        <v>0</v>
      </c>
      <c r="S69" s="197">
        <f t="shared" si="48"/>
        <v>0</v>
      </c>
    </row>
    <row r="70" spans="2:29" x14ac:dyDescent="0.2">
      <c r="B70" s="2">
        <v>7</v>
      </c>
      <c r="C70" s="32" t="str">
        <f t="shared" si="37"/>
        <v>Spud System (Walking Mechanism)</v>
      </c>
      <c r="D70" s="114">
        <f t="shared" si="38"/>
        <v>0</v>
      </c>
      <c r="E70" s="114">
        <f t="shared" si="39"/>
        <v>0</v>
      </c>
      <c r="P70" s="35">
        <f>RANK(R70,$Q$51:$R$93,0)+COUNTIF($Q70:R$93,R70)-1</f>
        <v>24</v>
      </c>
      <c r="Q70" s="98" t="str">
        <f t="shared" si="18"/>
        <v>Hull (Deck Fittings (cleats))</v>
      </c>
      <c r="R70" s="135">
        <f t="shared" ref="R70:S70" si="49">X22</f>
        <v>0</v>
      </c>
      <c r="S70" s="135">
        <f t="shared" si="49"/>
        <v>0</v>
      </c>
      <c r="AA70" s="86" t="s">
        <v>97</v>
      </c>
      <c r="AB70" s="87">
        <f>X44</f>
        <v>0</v>
      </c>
      <c r="AC70" s="87">
        <f>Y44</f>
        <v>0</v>
      </c>
    </row>
    <row r="71" spans="2:29" x14ac:dyDescent="0.2">
      <c r="B71" s="2">
        <v>8</v>
      </c>
      <c r="C71" s="32" t="str">
        <f t="shared" si="37"/>
        <v>Spud System (Spud Wires)</v>
      </c>
      <c r="D71" s="114">
        <f t="shared" si="38"/>
        <v>0</v>
      </c>
      <c r="E71" s="114">
        <f t="shared" si="39"/>
        <v>0</v>
      </c>
      <c r="P71" s="195">
        <f>RANK(R71,$Q$51:$R$93,0)+COUNTIF($Q71:R$93,R71)-1</f>
        <v>23</v>
      </c>
      <c r="Q71" s="196" t="str">
        <f t="shared" si="18"/>
        <v>Hull (Hull / House Repair)</v>
      </c>
      <c r="R71" s="197">
        <f t="shared" ref="R71:S71" si="50">X23</f>
        <v>0</v>
      </c>
      <c r="S71" s="197">
        <f t="shared" si="50"/>
        <v>0</v>
      </c>
      <c r="AA71" s="86" t="s">
        <v>98</v>
      </c>
      <c r="AB71" s="87">
        <f>X45</f>
        <v>0</v>
      </c>
      <c r="AC71" s="87">
        <f>Y45</f>
        <v>0</v>
      </c>
    </row>
    <row r="72" spans="2:29" x14ac:dyDescent="0.2">
      <c r="B72" s="2">
        <v>9</v>
      </c>
      <c r="C72" s="32" t="str">
        <f t="shared" si="37"/>
        <v>Spud System (Spud Winch)</v>
      </c>
      <c r="D72" s="114">
        <f t="shared" si="38"/>
        <v>0</v>
      </c>
      <c r="E72" s="114">
        <f t="shared" si="39"/>
        <v>0</v>
      </c>
      <c r="P72" s="35">
        <f>RANK(R72,$Q$51:$R$93,0)+COUNTIF($Q72:R$93,R72)-1</f>
        <v>22</v>
      </c>
      <c r="Q72" s="98" t="str">
        <f t="shared" si="18"/>
        <v>Main Hoist / Main Hyd (Cylinders)</v>
      </c>
      <c r="R72" s="135">
        <f t="shared" ref="R72:S72" si="51">X24</f>
        <v>0</v>
      </c>
      <c r="S72" s="135">
        <f t="shared" si="51"/>
        <v>0</v>
      </c>
    </row>
    <row r="73" spans="2:29" x14ac:dyDescent="0.2">
      <c r="B73" s="2">
        <v>10</v>
      </c>
      <c r="C73" s="32" t="str">
        <f t="shared" si="37"/>
        <v>Spud System (Spud Structure)</v>
      </c>
      <c r="D73" s="114">
        <f t="shared" si="38"/>
        <v>0</v>
      </c>
      <c r="E73" s="114">
        <f t="shared" si="39"/>
        <v>0</v>
      </c>
      <c r="P73" s="35">
        <f>RANK(R73,$Q$51:$R$93,0)+COUNTIF($Q73:R$93,R73)-1</f>
        <v>21</v>
      </c>
      <c r="Q73" s="98" t="str">
        <f t="shared" si="18"/>
        <v>Main Hoist / Main Hyd (Excavtor Hydraulics)</v>
      </c>
      <c r="R73" s="135">
        <f t="shared" ref="R73:S73" si="52">X25</f>
        <v>0</v>
      </c>
      <c r="S73" s="135">
        <f t="shared" si="52"/>
        <v>0</v>
      </c>
    </row>
    <row r="74" spans="2:29" x14ac:dyDescent="0.2">
      <c r="B74" s="2">
        <v>11</v>
      </c>
      <c r="C74" s="32" t="str">
        <f t="shared" si="37"/>
        <v>Spud System (Spud Sheaves)</v>
      </c>
      <c r="D74" s="114">
        <f t="shared" si="38"/>
        <v>0</v>
      </c>
      <c r="E74" s="114">
        <f t="shared" si="39"/>
        <v>0</v>
      </c>
      <c r="P74" s="35">
        <f>RANK(R74,$Q$51:$R$93,0)+COUNTIF($Q74:R$93,R74)-1</f>
        <v>20</v>
      </c>
      <c r="Q74" s="98" t="str">
        <f t="shared" si="18"/>
        <v>Main Hoist / Main Hyd (Hoses)</v>
      </c>
      <c r="R74" s="135">
        <f t="shared" ref="R74:S74" si="53">X26</f>
        <v>0</v>
      </c>
      <c r="S74" s="135">
        <f t="shared" si="53"/>
        <v>0</v>
      </c>
    </row>
    <row r="75" spans="2:29" x14ac:dyDescent="0.2">
      <c r="B75" s="2">
        <v>12</v>
      </c>
      <c r="C75" s="32" t="str">
        <f t="shared" si="37"/>
        <v>Spud System (Spud Hydraulics)</v>
      </c>
      <c r="D75" s="114">
        <f t="shared" si="38"/>
        <v>0</v>
      </c>
      <c r="E75" s="114">
        <f t="shared" si="39"/>
        <v>0</v>
      </c>
      <c r="P75" s="195">
        <f>RANK(R75,$Q$51:$R$93,0)+COUNTIF($Q75:R$93,R75)-1</f>
        <v>19</v>
      </c>
      <c r="Q75" s="196" t="str">
        <f t="shared" si="18"/>
        <v>Main Hoist / Main Hyd (Hytop Hydraulics)</v>
      </c>
      <c r="R75" s="197">
        <f t="shared" ref="R75:S75" si="54">X27</f>
        <v>0</v>
      </c>
      <c r="S75" s="197">
        <f t="shared" si="54"/>
        <v>0</v>
      </c>
    </row>
    <row r="76" spans="2:29" x14ac:dyDescent="0.2">
      <c r="B76" s="2">
        <v>13</v>
      </c>
      <c r="C76" s="32" t="str">
        <f t="shared" si="37"/>
        <v>Main / Aux Generators (PP2)</v>
      </c>
      <c r="D76" s="114">
        <f t="shared" si="38"/>
        <v>0</v>
      </c>
      <c r="E76" s="114">
        <f t="shared" si="39"/>
        <v>0</v>
      </c>
      <c r="P76" s="35">
        <f>RANK(R76,$Q$51:$R$93,0)+COUNTIF($Q76:R$93,R76)-1</f>
        <v>18</v>
      </c>
      <c r="Q76" s="98" t="str">
        <f t="shared" si="18"/>
        <v>Main / Aux Generators (Boom Assist Generator)</v>
      </c>
      <c r="R76" s="135">
        <f t="shared" ref="R76:S76" si="55">X28</f>
        <v>0</v>
      </c>
      <c r="S76" s="135">
        <f t="shared" si="55"/>
        <v>0</v>
      </c>
    </row>
    <row r="77" spans="2:29" x14ac:dyDescent="0.2">
      <c r="B77" s="2">
        <v>14</v>
      </c>
      <c r="C77" s="32" t="str">
        <f t="shared" si="37"/>
        <v>Main / Aux Generators (PP1)</v>
      </c>
      <c r="D77" s="114">
        <f t="shared" si="38"/>
        <v>0</v>
      </c>
      <c r="E77" s="114">
        <f t="shared" si="39"/>
        <v>0</v>
      </c>
      <c r="P77" s="35">
        <f>RANK(R77,$Q$51:$R$93,0)+COUNTIF($Q77:R$93,R77)-1</f>
        <v>17</v>
      </c>
      <c r="Q77" s="98" t="str">
        <f t="shared" si="18"/>
        <v>Main / Aux Generators (Emergency Generator)</v>
      </c>
      <c r="R77" s="135">
        <f t="shared" ref="R77:S77" si="56">X29</f>
        <v>0</v>
      </c>
      <c r="S77" s="135">
        <f t="shared" si="56"/>
        <v>0</v>
      </c>
    </row>
    <row r="78" spans="2:29" x14ac:dyDescent="0.2">
      <c r="B78" s="2">
        <v>15</v>
      </c>
      <c r="C78" s="32" t="str">
        <f t="shared" si="37"/>
        <v>Main / Aux Generators (Generator #2)</v>
      </c>
      <c r="D78" s="114">
        <f t="shared" si="38"/>
        <v>0</v>
      </c>
      <c r="E78" s="114">
        <f t="shared" si="39"/>
        <v>0</v>
      </c>
      <c r="P78" s="35">
        <f>RANK(R78,$Q$51:$R$93,0)+COUNTIF($Q78:R$93,R78)-1</f>
        <v>16</v>
      </c>
      <c r="Q78" s="98" t="str">
        <f t="shared" si="18"/>
        <v>Main / Aux Generators (Generator #1)</v>
      </c>
      <c r="R78" s="135">
        <f t="shared" ref="R78:S78" si="57">X30</f>
        <v>0</v>
      </c>
      <c r="S78" s="135">
        <f t="shared" si="57"/>
        <v>0</v>
      </c>
    </row>
    <row r="79" spans="2:29" x14ac:dyDescent="0.2">
      <c r="B79" s="2">
        <v>16</v>
      </c>
      <c r="C79" s="32" t="str">
        <f t="shared" si="37"/>
        <v>Main / Aux Generators (Generator #1)</v>
      </c>
      <c r="D79" s="114">
        <f t="shared" si="38"/>
        <v>0</v>
      </c>
      <c r="E79" s="114">
        <f t="shared" si="39"/>
        <v>0</v>
      </c>
      <c r="P79" s="35">
        <f>RANK(R79,$Q$51:$R$93,0)+COUNTIF($Q79:R$93,R79)-1</f>
        <v>15</v>
      </c>
      <c r="Q79" s="98" t="str">
        <f t="shared" si="18"/>
        <v>Main / Aux Generators (Generator #2)</v>
      </c>
      <c r="R79" s="135">
        <f t="shared" ref="R79:S79" si="58">X31</f>
        <v>0</v>
      </c>
      <c r="S79" s="135">
        <f t="shared" si="58"/>
        <v>0</v>
      </c>
    </row>
    <row r="80" spans="2:29" x14ac:dyDescent="0.2">
      <c r="B80" s="2">
        <v>17</v>
      </c>
      <c r="C80" s="32" t="str">
        <f t="shared" si="37"/>
        <v>Main / Aux Generators (Emergency Generator)</v>
      </c>
      <c r="D80" s="114">
        <f t="shared" si="38"/>
        <v>0</v>
      </c>
      <c r="E80" s="114">
        <f t="shared" si="39"/>
        <v>0</v>
      </c>
      <c r="P80" s="35">
        <f>RANK(R80,$Q$51:$R$93,0)+COUNTIF($Q80:R$93,R80)-1</f>
        <v>14</v>
      </c>
      <c r="Q80" s="98" t="str">
        <f t="shared" si="18"/>
        <v>Main / Aux Generators (PP1)</v>
      </c>
      <c r="R80" s="135">
        <f t="shared" ref="R80:S80" si="59">X32</f>
        <v>0</v>
      </c>
      <c r="S80" s="135">
        <f t="shared" si="59"/>
        <v>0</v>
      </c>
    </row>
    <row r="81" spans="2:19" x14ac:dyDescent="0.2">
      <c r="B81" s="2">
        <v>18</v>
      </c>
      <c r="C81" s="32" t="str">
        <f t="shared" si="37"/>
        <v>Main / Aux Generators (Boom Assist Generator)</v>
      </c>
      <c r="D81" s="114">
        <f t="shared" si="38"/>
        <v>0</v>
      </c>
      <c r="E81" s="114">
        <f t="shared" si="39"/>
        <v>0</v>
      </c>
      <c r="P81" s="195">
        <f>RANK(R81,$Q$51:$R$93,0)+COUNTIF($Q81:R$93,R81)-1</f>
        <v>13</v>
      </c>
      <c r="Q81" s="196" t="str">
        <f t="shared" si="18"/>
        <v>Main / Aux Generators (PP2)</v>
      </c>
      <c r="R81" s="197">
        <f t="shared" ref="R81:S81" si="60">X33</f>
        <v>0</v>
      </c>
      <c r="S81" s="197">
        <f t="shared" si="60"/>
        <v>0</v>
      </c>
    </row>
    <row r="82" spans="2:19" x14ac:dyDescent="0.2">
      <c r="B82" s="2">
        <v>19</v>
      </c>
      <c r="C82" s="32" t="str">
        <f t="shared" si="37"/>
        <v>Main Hoist / Main Hyd (Hytop Hydraulics)</v>
      </c>
      <c r="D82" s="114">
        <f t="shared" si="38"/>
        <v>0</v>
      </c>
      <c r="E82" s="114">
        <f t="shared" si="39"/>
        <v>0</v>
      </c>
      <c r="P82" s="35">
        <f>RANK(R82,$Q$51:$R$93,0)+COUNTIF($Q82:R$93,R82)-1</f>
        <v>12</v>
      </c>
      <c r="Q82" s="98" t="str">
        <f t="shared" si="18"/>
        <v>Spud System (Spud Hydraulics)</v>
      </c>
      <c r="R82" s="135">
        <f t="shared" ref="R82:S82" si="61">X34</f>
        <v>0</v>
      </c>
      <c r="S82" s="135">
        <f t="shared" si="61"/>
        <v>0</v>
      </c>
    </row>
    <row r="83" spans="2:19" x14ac:dyDescent="0.2">
      <c r="B83" s="2">
        <v>20</v>
      </c>
      <c r="C83" s="32" t="str">
        <f t="shared" si="37"/>
        <v>Main Hoist / Main Hyd (Hoses)</v>
      </c>
      <c r="D83" s="114">
        <f t="shared" si="38"/>
        <v>0</v>
      </c>
      <c r="E83" s="114">
        <f t="shared" si="39"/>
        <v>0</v>
      </c>
      <c r="P83" s="35">
        <f>RANK(R83,$Q$51:$R$93,0)+COUNTIF($Q83:R$93,R83)-1</f>
        <v>11</v>
      </c>
      <c r="Q83" s="98" t="str">
        <f t="shared" si="18"/>
        <v>Spud System (Spud Sheaves)</v>
      </c>
      <c r="R83" s="135">
        <f t="shared" ref="R83:S83" si="62">X35</f>
        <v>0</v>
      </c>
      <c r="S83" s="135">
        <f t="shared" si="62"/>
        <v>0</v>
      </c>
    </row>
    <row r="84" spans="2:19" x14ac:dyDescent="0.2">
      <c r="B84" s="2">
        <v>21</v>
      </c>
      <c r="C84" s="32" t="str">
        <f t="shared" si="37"/>
        <v>Main Hoist / Main Hyd (Excavtor Hydraulics)</v>
      </c>
      <c r="D84" s="114">
        <f t="shared" si="38"/>
        <v>0</v>
      </c>
      <c r="E84" s="114">
        <f t="shared" si="39"/>
        <v>0</v>
      </c>
      <c r="P84" s="35">
        <f>RANK(R84,$Q$51:$R$93,0)+COUNTIF($Q84:R$93,R84)-1</f>
        <v>10</v>
      </c>
      <c r="Q84" s="98" t="str">
        <f t="shared" si="18"/>
        <v>Spud System (Spud Structure)</v>
      </c>
      <c r="R84" s="135">
        <f t="shared" ref="R84:S84" si="63">X36</f>
        <v>0</v>
      </c>
      <c r="S84" s="135">
        <f t="shared" si="63"/>
        <v>0</v>
      </c>
    </row>
    <row r="85" spans="2:19" x14ac:dyDescent="0.2">
      <c r="B85" s="2">
        <v>22</v>
      </c>
      <c r="C85" s="32" t="str">
        <f t="shared" si="37"/>
        <v>Main Hoist / Main Hyd (Cylinders)</v>
      </c>
      <c r="D85" s="114">
        <f t="shared" si="38"/>
        <v>0</v>
      </c>
      <c r="E85" s="114">
        <f t="shared" si="39"/>
        <v>0</v>
      </c>
      <c r="P85" s="35">
        <f>RANK(R85,$Q$51:$R$93,0)+COUNTIF($Q85:R$93,R85)-1</f>
        <v>9</v>
      </c>
      <c r="Q85" s="98" t="str">
        <f t="shared" si="18"/>
        <v>Spud System (Spud Winch)</v>
      </c>
      <c r="R85" s="135">
        <f t="shared" ref="R85:S85" si="64">X37</f>
        <v>0</v>
      </c>
      <c r="S85" s="135">
        <f t="shared" si="64"/>
        <v>0</v>
      </c>
    </row>
    <row r="86" spans="2:19" x14ac:dyDescent="0.2">
      <c r="B86" s="2">
        <v>23</v>
      </c>
      <c r="C86" s="32" t="str">
        <f t="shared" si="37"/>
        <v>Hull (Hull / House Repair)</v>
      </c>
      <c r="D86" s="114">
        <f t="shared" si="38"/>
        <v>0</v>
      </c>
      <c r="E86" s="114">
        <f t="shared" si="39"/>
        <v>0</v>
      </c>
      <c r="P86" s="35">
        <f>RANK(R86,$Q$51:$R$93,0)+COUNTIF($Q86:R$93,R86)-1</f>
        <v>8</v>
      </c>
      <c r="Q86" s="98" t="str">
        <f t="shared" si="18"/>
        <v>Spud System (Spud Wires)</v>
      </c>
      <c r="R86" s="135">
        <f t="shared" ref="R86:S86" si="65">X38</f>
        <v>0</v>
      </c>
      <c r="S86" s="135">
        <f t="shared" si="65"/>
        <v>0</v>
      </c>
    </row>
    <row r="87" spans="2:19" x14ac:dyDescent="0.2">
      <c r="B87" s="2">
        <v>24</v>
      </c>
      <c r="C87" s="32" t="str">
        <f t="shared" si="37"/>
        <v>Hull (Deck Fittings (cleats))</v>
      </c>
      <c r="D87" s="114">
        <f t="shared" si="38"/>
        <v>0</v>
      </c>
      <c r="E87" s="114">
        <f t="shared" si="39"/>
        <v>0</v>
      </c>
      <c r="P87" s="195">
        <f>RANK(R87,$Q$51:$R$93,0)+COUNTIF($Q87:R$93,R87)-1</f>
        <v>7</v>
      </c>
      <c r="Q87" s="196" t="str">
        <f t="shared" si="18"/>
        <v>Spud System (Walking Mechanism)</v>
      </c>
      <c r="R87" s="197">
        <f t="shared" ref="R87:S87" si="66">X39</f>
        <v>0</v>
      </c>
      <c r="S87" s="197">
        <f t="shared" si="66"/>
        <v>0</v>
      </c>
    </row>
    <row r="88" spans="2:19" x14ac:dyDescent="0.2">
      <c r="B88" s="2">
        <v>25</v>
      </c>
      <c r="C88" s="32" t="str">
        <f t="shared" si="37"/>
        <v>Electrical / Electronics (Transformers)</v>
      </c>
      <c r="D88" s="114">
        <f t="shared" si="38"/>
        <v>0</v>
      </c>
      <c r="E88" s="114">
        <f t="shared" si="39"/>
        <v>0</v>
      </c>
      <c r="P88" s="35">
        <f>RANK(R88,$Q$51:$R$93,0)+COUNTIF($Q88:R$93,R88)-1</f>
        <v>6</v>
      </c>
      <c r="Q88" s="98" t="str">
        <f t="shared" si="18"/>
        <v>Tagline / Boom Assist (A-Frame)</v>
      </c>
      <c r="R88" s="135">
        <f t="shared" ref="R88:S88" si="67">X40</f>
        <v>0</v>
      </c>
      <c r="S88" s="135">
        <f t="shared" si="67"/>
        <v>0</v>
      </c>
    </row>
    <row r="89" spans="2:19" x14ac:dyDescent="0.2">
      <c r="B89" s="2">
        <v>26</v>
      </c>
      <c r="C89" s="32" t="str">
        <f t="shared" si="37"/>
        <v>Electrical / Electronics (PLC)</v>
      </c>
      <c r="D89" s="114">
        <f t="shared" si="38"/>
        <v>0</v>
      </c>
      <c r="E89" s="114">
        <f t="shared" si="39"/>
        <v>0</v>
      </c>
      <c r="P89" s="35">
        <f>RANK(R89,$Q$51:$R$93,0)+COUNTIF($Q89:R$93,R89)-1</f>
        <v>5</v>
      </c>
      <c r="Q89" s="98" t="str">
        <f t="shared" si="18"/>
        <v>Tagline / Boom Assist (Sheaves)</v>
      </c>
      <c r="R89" s="135">
        <f t="shared" ref="R89:S89" si="68">X41</f>
        <v>0</v>
      </c>
      <c r="S89" s="135">
        <f t="shared" si="68"/>
        <v>0</v>
      </c>
    </row>
    <row r="90" spans="2:19" x14ac:dyDescent="0.2">
      <c r="B90" s="2">
        <v>27</v>
      </c>
      <c r="C90" s="32" t="str">
        <f t="shared" si="37"/>
        <v>Electrical / Electronics (Navigation Lights)</v>
      </c>
      <c r="D90" s="114">
        <f t="shared" si="38"/>
        <v>0</v>
      </c>
      <c r="E90" s="114">
        <f t="shared" si="39"/>
        <v>0</v>
      </c>
      <c r="P90" s="35">
        <f>RANK(R90,$Q$51:$R$93,0)+COUNTIF($Q90:R$93,R90)-1</f>
        <v>4</v>
      </c>
      <c r="Q90" s="98" t="str">
        <f t="shared" si="18"/>
        <v>Tagline / Boom Assist (Winch/Gear Box)</v>
      </c>
      <c r="R90" s="135">
        <f t="shared" ref="R90:S90" si="69">X42</f>
        <v>0</v>
      </c>
      <c r="S90" s="135">
        <f t="shared" si="69"/>
        <v>0</v>
      </c>
    </row>
    <row r="91" spans="2:19" x14ac:dyDescent="0.2">
      <c r="B91" s="2">
        <v>28</v>
      </c>
      <c r="C91" s="32" t="str">
        <f t="shared" si="37"/>
        <v>Electrical / Electronics (MCC / Switch Gear)</v>
      </c>
      <c r="D91" s="114">
        <f t="shared" si="38"/>
        <v>0</v>
      </c>
      <c r="E91" s="114">
        <f t="shared" si="39"/>
        <v>0</v>
      </c>
      <c r="P91" s="195">
        <f>RANK(R91,$Q$51:$R$93,0)+COUNTIF($Q91:R$93,R91)-1</f>
        <v>3</v>
      </c>
      <c r="Q91" s="196" t="str">
        <f t="shared" si="18"/>
        <v>Tagline / Boom Assist (Wire)</v>
      </c>
      <c r="R91" s="197">
        <f t="shared" ref="R91:S91" si="70">X43</f>
        <v>0</v>
      </c>
      <c r="S91" s="197">
        <f t="shared" si="70"/>
        <v>0</v>
      </c>
    </row>
    <row r="92" spans="2:19" x14ac:dyDescent="0.2">
      <c r="B92" s="2">
        <v>29</v>
      </c>
      <c r="C92" s="32" t="str">
        <f t="shared" si="37"/>
        <v>Deck Winch (Winch)</v>
      </c>
      <c r="D92" s="114">
        <f t="shared" si="38"/>
        <v>0</v>
      </c>
      <c r="E92" s="114">
        <f t="shared" si="39"/>
        <v>0</v>
      </c>
      <c r="P92" s="35">
        <f>RANK(R92,$Q$51:$R$93,0)+COUNTIF($Q92:R$93,R92)-1</f>
        <v>2</v>
      </c>
      <c r="Q92" s="98" t="str">
        <f t="shared" si="18"/>
        <v>Tugs and Scows (Scow Repair)</v>
      </c>
      <c r="R92" s="135">
        <f t="shared" ref="R92:S92" si="71">X44</f>
        <v>0</v>
      </c>
      <c r="S92" s="135">
        <f t="shared" si="71"/>
        <v>0</v>
      </c>
    </row>
    <row r="93" spans="2:19" x14ac:dyDescent="0.2">
      <c r="B93" s="2">
        <v>30</v>
      </c>
      <c r="C93" s="32" t="str">
        <f t="shared" si="37"/>
        <v>Deck Winch (Fairleads)</v>
      </c>
      <c r="D93" s="114">
        <f t="shared" si="38"/>
        <v>0</v>
      </c>
      <c r="E93" s="114">
        <f t="shared" si="39"/>
        <v>0</v>
      </c>
      <c r="P93" s="35">
        <f>RANK(R93,$Q$51:$R$93,0)+COUNTIF($Q93:R$93,R93)-1</f>
        <v>1</v>
      </c>
      <c r="Q93" s="98" t="str">
        <f t="shared" si="18"/>
        <v>Tugs and Scows (Tug Repair)</v>
      </c>
      <c r="R93" s="135">
        <f t="shared" ref="R93:S93" si="72">X45</f>
        <v>0</v>
      </c>
      <c r="S93" s="135">
        <f t="shared" si="72"/>
        <v>0</v>
      </c>
    </row>
    <row r="94" spans="2:19" x14ac:dyDescent="0.2">
      <c r="B94" s="2">
        <v>31</v>
      </c>
      <c r="C94" s="32" t="str">
        <f t="shared" si="37"/>
        <v>Crane Swing (Swing Circle (rollers))</v>
      </c>
      <c r="D94" s="114">
        <f t="shared" si="38"/>
        <v>0</v>
      </c>
      <c r="E94" s="114">
        <f t="shared" si="39"/>
        <v>0</v>
      </c>
      <c r="Q94" s="130"/>
      <c r="R94" s="130"/>
      <c r="S94" s="130"/>
    </row>
    <row r="95" spans="2:19" x14ac:dyDescent="0.2">
      <c r="B95" s="2">
        <v>32</v>
      </c>
      <c r="C95" s="32" t="str">
        <f t="shared" si="37"/>
        <v>Crane Swing (Drive (motor, gearbox))</v>
      </c>
      <c r="D95" s="114">
        <f t="shared" si="38"/>
        <v>0</v>
      </c>
      <c r="E95" s="114">
        <f t="shared" si="39"/>
        <v>0</v>
      </c>
      <c r="Q95" s="130"/>
      <c r="R95" s="130"/>
      <c r="S95" s="130"/>
    </row>
    <row r="96" spans="2:19" x14ac:dyDescent="0.2">
      <c r="B96" s="2">
        <v>33</v>
      </c>
      <c r="C96" s="32" t="str">
        <f t="shared" si="37"/>
        <v>Crane Boom (Stick Structure)</v>
      </c>
      <c r="D96" s="114">
        <f t="shared" si="38"/>
        <v>0</v>
      </c>
      <c r="E96" s="114">
        <f t="shared" si="39"/>
        <v>0</v>
      </c>
      <c r="Q96" s="130"/>
      <c r="R96" s="130"/>
      <c r="S96" s="130"/>
    </row>
    <row r="97" spans="2:19" x14ac:dyDescent="0.2">
      <c r="B97" s="2">
        <v>34</v>
      </c>
      <c r="C97" s="32" t="str">
        <f t="shared" si="37"/>
        <v>Crane Boom (Grease Structure)</v>
      </c>
      <c r="D97" s="114">
        <f t="shared" si="38"/>
        <v>0</v>
      </c>
      <c r="E97" s="114">
        <f t="shared" si="39"/>
        <v>0</v>
      </c>
      <c r="Q97" s="130"/>
      <c r="R97" s="130"/>
      <c r="S97" s="130"/>
    </row>
    <row r="98" spans="2:19" x14ac:dyDescent="0.2">
      <c r="B98" s="2">
        <v>35</v>
      </c>
      <c r="C98" s="32" t="str">
        <f t="shared" si="37"/>
        <v>Crane Boom (Boom Structure)</v>
      </c>
      <c r="D98" s="114">
        <f t="shared" si="38"/>
        <v>0</v>
      </c>
      <c r="E98" s="114">
        <f t="shared" si="39"/>
        <v>0</v>
      </c>
      <c r="Q98" s="130"/>
      <c r="R98" s="130"/>
      <c r="S98" s="130"/>
    </row>
    <row r="99" spans="2:19" x14ac:dyDescent="0.2">
      <c r="B99" s="2">
        <v>36</v>
      </c>
      <c r="C99" s="32" t="str">
        <f t="shared" si="37"/>
        <v>Bucket (Weld / Repair Bucket)</v>
      </c>
      <c r="D99" s="114">
        <f t="shared" si="38"/>
        <v>0</v>
      </c>
      <c r="E99" s="114">
        <f t="shared" si="39"/>
        <v>0</v>
      </c>
      <c r="Q99" s="130"/>
      <c r="R99" s="130"/>
      <c r="S99" s="130"/>
    </row>
    <row r="100" spans="2:19" x14ac:dyDescent="0.2">
      <c r="B100" s="2">
        <v>37</v>
      </c>
      <c r="C100" s="32" t="str">
        <f t="shared" si="37"/>
        <v>Auxiliary Systems (Sanitary System)</v>
      </c>
      <c r="D100" s="114">
        <f t="shared" si="38"/>
        <v>0</v>
      </c>
      <c r="E100" s="114">
        <f t="shared" si="39"/>
        <v>0</v>
      </c>
      <c r="Q100" s="130"/>
      <c r="R100" s="130"/>
      <c r="S100" s="130"/>
    </row>
    <row r="101" spans="2:19" x14ac:dyDescent="0.2">
      <c r="B101" s="2">
        <v>38</v>
      </c>
      <c r="C101" s="32" t="str">
        <f t="shared" si="37"/>
        <v>Auxiliary Systems (Potable Water)</v>
      </c>
      <c r="D101" s="114">
        <f t="shared" si="38"/>
        <v>0</v>
      </c>
      <c r="E101" s="114">
        <f t="shared" si="39"/>
        <v>0</v>
      </c>
      <c r="Q101" s="130"/>
      <c r="R101" s="130"/>
      <c r="S101" s="130"/>
    </row>
    <row r="102" spans="2:19" x14ac:dyDescent="0.2">
      <c r="B102" s="2">
        <v>39</v>
      </c>
      <c r="C102" s="32" t="str">
        <f t="shared" si="37"/>
        <v>Auxiliary Systems (HVAC)</v>
      </c>
      <c r="D102" s="114">
        <f t="shared" si="38"/>
        <v>0</v>
      </c>
      <c r="E102" s="114">
        <f t="shared" si="39"/>
        <v>0</v>
      </c>
      <c r="Q102" s="130"/>
      <c r="R102" s="130"/>
      <c r="S102" s="130"/>
    </row>
    <row r="103" spans="2:19" x14ac:dyDescent="0.2">
      <c r="B103" s="2">
        <v>40</v>
      </c>
      <c r="C103" s="32" t="str">
        <f t="shared" si="37"/>
        <v>Auxiliary Systems (Fuel)</v>
      </c>
      <c r="D103" s="114">
        <f t="shared" si="38"/>
        <v>0</v>
      </c>
      <c r="E103" s="114">
        <f t="shared" si="39"/>
        <v>0</v>
      </c>
      <c r="Q103" s="130"/>
      <c r="R103" s="130"/>
      <c r="S103" s="130"/>
    </row>
    <row r="104" spans="2:19" x14ac:dyDescent="0.2">
      <c r="B104" s="2">
        <v>41</v>
      </c>
      <c r="C104" s="32" t="str">
        <f t="shared" si="37"/>
        <v>Auxiliary Systems (Fire Main)</v>
      </c>
      <c r="D104" s="114">
        <f t="shared" si="38"/>
        <v>0</v>
      </c>
      <c r="E104" s="114">
        <f t="shared" si="39"/>
        <v>0</v>
      </c>
      <c r="Q104" s="130"/>
      <c r="R104" s="130"/>
      <c r="S104" s="130"/>
    </row>
    <row r="105" spans="2:19" x14ac:dyDescent="0.2">
      <c r="B105" s="2">
        <v>42</v>
      </c>
      <c r="C105" s="32" t="str">
        <f t="shared" si="37"/>
        <v>Auxiliary Systems (Deck Crane)</v>
      </c>
      <c r="D105" s="114">
        <f t="shared" si="38"/>
        <v>0</v>
      </c>
      <c r="E105" s="114">
        <f t="shared" si="39"/>
        <v>0</v>
      </c>
      <c r="Q105" s="130"/>
      <c r="R105" s="130"/>
      <c r="S105" s="130"/>
    </row>
    <row r="106" spans="2:19" x14ac:dyDescent="0.2">
      <c r="B106" s="2">
        <v>43</v>
      </c>
      <c r="C106" s="32" t="str">
        <f t="shared" si="37"/>
        <v>Auxiliary Systems (Compressed Air)</v>
      </c>
      <c r="D106" s="114">
        <f t="shared" si="38"/>
        <v>0</v>
      </c>
      <c r="E106" s="114">
        <f t="shared" si="39"/>
        <v>0</v>
      </c>
    </row>
    <row r="107" spans="2:19" x14ac:dyDescent="0.2">
      <c r="C107" s="32"/>
      <c r="D107" s="114"/>
      <c r="E107" s="114"/>
    </row>
    <row r="108" spans="2:19" x14ac:dyDescent="0.2">
      <c r="C108" s="32"/>
      <c r="D108" s="114"/>
      <c r="E108" s="114"/>
    </row>
    <row r="109" spans="2:19" x14ac:dyDescent="0.2">
      <c r="C109" s="32"/>
      <c r="D109" s="114"/>
      <c r="E109" s="114"/>
    </row>
    <row r="110" spans="2:19" x14ac:dyDescent="0.2">
      <c r="C110" s="32"/>
      <c r="D110" s="114"/>
      <c r="E110" s="114"/>
    </row>
    <row r="111" spans="2:19" x14ac:dyDescent="0.2">
      <c r="C111" s="32"/>
      <c r="D111" s="114"/>
      <c r="E111" s="114"/>
    </row>
    <row r="112" spans="2:19" x14ac:dyDescent="0.2">
      <c r="C112" s="32"/>
      <c r="D112" s="114"/>
      <c r="E112" s="114"/>
    </row>
    <row r="113" spans="3:5" x14ac:dyDescent="0.2">
      <c r="C113" s="32"/>
      <c r="D113" s="114"/>
      <c r="E113" s="114"/>
    </row>
    <row r="114" spans="3:5" x14ac:dyDescent="0.2">
      <c r="C114" s="32"/>
      <c r="D114" s="114"/>
      <c r="E114" s="114"/>
    </row>
    <row r="115" spans="3:5" x14ac:dyDescent="0.2">
      <c r="C115" s="32"/>
      <c r="D115" s="114"/>
      <c r="E115" s="114"/>
    </row>
    <row r="116" spans="3:5" x14ac:dyDescent="0.2">
      <c r="C116" s="32"/>
      <c r="D116" s="114"/>
      <c r="E116" s="114"/>
    </row>
    <row r="117" spans="3:5" x14ac:dyDescent="0.2">
      <c r="C117" s="32"/>
      <c r="D117" s="114"/>
      <c r="E117" s="114"/>
    </row>
    <row r="118" spans="3:5" x14ac:dyDescent="0.2">
      <c r="C118" s="32"/>
      <c r="D118" s="114"/>
      <c r="E118" s="114"/>
    </row>
    <row r="119" spans="3:5" x14ac:dyDescent="0.2">
      <c r="C119" s="32"/>
      <c r="D119" s="114"/>
      <c r="E119" s="114"/>
    </row>
    <row r="120" spans="3:5" x14ac:dyDescent="0.2">
      <c r="C120" s="32"/>
      <c r="D120" s="114"/>
      <c r="E120" s="114"/>
    </row>
    <row r="121" spans="3:5" x14ac:dyDescent="0.2">
      <c r="C121" s="32"/>
      <c r="D121" s="114"/>
      <c r="E121" s="114"/>
    </row>
    <row r="122" spans="3:5" x14ac:dyDescent="0.2">
      <c r="C122" s="32"/>
      <c r="D122" s="114"/>
      <c r="E122" s="114"/>
    </row>
    <row r="123" spans="3:5" x14ac:dyDescent="0.2">
      <c r="C123" s="32"/>
      <c r="D123" s="114"/>
      <c r="E123" s="114"/>
    </row>
  </sheetData>
  <mergeCells count="7">
    <mergeCell ref="X1:Y1"/>
    <mergeCell ref="AB1:AC1"/>
    <mergeCell ref="O47:Q47"/>
    <mergeCell ref="Q50:S50"/>
    <mergeCell ref="O1:Q1"/>
    <mergeCell ref="R1:S1"/>
    <mergeCell ref="U1:V1"/>
  </mergeCells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8"/>
  <sheetViews>
    <sheetView showGridLines="0" zoomScale="75" zoomScaleNormal="75" workbookViewId="0">
      <selection activeCell="D66" sqref="D66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3.140625" style="2" bestFit="1" customWidth="1"/>
    <col min="4" max="4" width="28.7109375" style="2" bestFit="1" customWidth="1"/>
    <col min="5" max="5" width="15.42578125" style="2" bestFit="1" customWidth="1"/>
    <col min="6" max="6" width="12.5703125" style="35" bestFit="1" customWidth="1"/>
    <col min="7" max="7" width="7.5703125" style="2" bestFit="1" customWidth="1"/>
    <col min="8" max="10" width="13.42578125" style="2" customWidth="1"/>
    <col min="11" max="11" width="9.140625" style="2"/>
    <col min="12" max="12" width="8" style="2" customWidth="1"/>
    <col min="13" max="13" width="10.42578125" style="2" bestFit="1" customWidth="1"/>
    <col min="14" max="14" width="43.140625" style="2" bestFit="1" customWidth="1"/>
    <col min="15" max="15" width="5.42578125" style="2" customWidth="1"/>
    <col min="16" max="16" width="8.140625" style="2" customWidth="1"/>
    <col min="17" max="16384" width="9.140625" style="2"/>
  </cols>
  <sheetData>
    <row r="1" spans="1:16" s="22" customFormat="1" ht="30" customHeight="1" x14ac:dyDescent="0.2">
      <c r="A1" s="27" t="s">
        <v>2</v>
      </c>
      <c r="B1" s="20"/>
      <c r="C1" s="21"/>
      <c r="D1" s="21"/>
      <c r="E1" s="21"/>
      <c r="F1" s="41"/>
    </row>
    <row r="2" spans="1:16" ht="15.75" x14ac:dyDescent="0.25">
      <c r="A2" s="3"/>
      <c r="C2" s="4"/>
      <c r="D2" s="4"/>
      <c r="E2" s="4"/>
      <c r="H2" s="30"/>
    </row>
    <row r="3" spans="1:16" ht="15.75" x14ac:dyDescent="0.25">
      <c r="A3" s="5" t="s">
        <v>0</v>
      </c>
      <c r="C3" s="6"/>
      <c r="D3" s="7"/>
      <c r="E3" s="7"/>
      <c r="H3" s="8"/>
      <c r="M3" s="117" t="s">
        <v>135</v>
      </c>
      <c r="N3" s="241" t="s">
        <v>134</v>
      </c>
      <c r="O3" s="241"/>
      <c r="P3" s="241"/>
    </row>
    <row r="4" spans="1:16" x14ac:dyDescent="0.2">
      <c r="A4" s="9" t="s">
        <v>8</v>
      </c>
      <c r="C4" s="6"/>
      <c r="D4" s="7"/>
      <c r="E4" s="7"/>
      <c r="M4" s="35">
        <f>RANK(O4,$O$4:$O$46,0)+COUNTIF(O4:$O$46,O4)-1</f>
        <v>43</v>
      </c>
      <c r="N4" s="98" t="str">
        <f>'NY count'!Q51</f>
        <v>Auxiliary Systems (Compressed Air)</v>
      </c>
      <c r="O4" s="98">
        <f>'NY count'!S51</f>
        <v>0</v>
      </c>
      <c r="P4" s="98">
        <f>'NY count'!R51</f>
        <v>0</v>
      </c>
    </row>
    <row r="5" spans="1:16" x14ac:dyDescent="0.2">
      <c r="A5" s="10" t="s">
        <v>1</v>
      </c>
      <c r="C5" s="6"/>
      <c r="D5" s="7"/>
      <c r="E5" s="7"/>
      <c r="M5" s="35">
        <f>RANK(O5,$O$4:$O$46,0)+COUNTIF(O5:$O$46,O5)-1</f>
        <v>42</v>
      </c>
      <c r="N5" s="98" t="str">
        <f>'NY count'!Q52</f>
        <v>Auxiliary Systems (Deck Crane)</v>
      </c>
      <c r="O5" s="98">
        <f>'NY count'!S52</f>
        <v>0</v>
      </c>
      <c r="P5" s="98">
        <f>'NY count'!R52</f>
        <v>0</v>
      </c>
    </row>
    <row r="6" spans="1:16" x14ac:dyDescent="0.2">
      <c r="M6" s="35">
        <f>RANK(O6,$O$4:$O$46,0)+COUNTIF(O6:$O$46,O6)-1</f>
        <v>41</v>
      </c>
      <c r="N6" s="98" t="str">
        <f>'NY count'!Q53</f>
        <v>Auxiliary Systems (Fire Main)</v>
      </c>
      <c r="O6" s="98">
        <f>'NY count'!S53</f>
        <v>0</v>
      </c>
      <c r="P6" s="98">
        <f>'NY count'!R53</f>
        <v>0</v>
      </c>
    </row>
    <row r="7" spans="1:16" x14ac:dyDescent="0.2">
      <c r="M7" s="35">
        <f>RANK(O7,$O$4:$O$46,0)+COUNTIF(O7:$O$46,O7)-1</f>
        <v>40</v>
      </c>
      <c r="N7" s="98" t="str">
        <f>'NY count'!Q54</f>
        <v>Auxiliary Systems (Fuel)</v>
      </c>
      <c r="O7" s="98">
        <f>'NY count'!S54</f>
        <v>0</v>
      </c>
      <c r="P7" s="98">
        <f>'NY count'!R54</f>
        <v>0</v>
      </c>
    </row>
    <row r="8" spans="1:16" x14ac:dyDescent="0.2">
      <c r="M8" s="35">
        <f>RANK(O8,$O$4:$O$46,0)+COUNTIF(O8:$O$46,O8)-1</f>
        <v>39</v>
      </c>
      <c r="N8" s="98" t="str">
        <f>'NY count'!Q55</f>
        <v>Auxiliary Systems (HVAC)</v>
      </c>
      <c r="O8" s="98">
        <f>'NY count'!S55</f>
        <v>0</v>
      </c>
      <c r="P8" s="98">
        <f>'NY count'!R55</f>
        <v>0</v>
      </c>
    </row>
    <row r="9" spans="1:16" x14ac:dyDescent="0.2">
      <c r="M9" s="35">
        <f>RANK(O9,$O$4:$O$46,0)+COUNTIF(O9:$O$46,O9)-1</f>
        <v>38</v>
      </c>
      <c r="N9" s="98" t="str">
        <f>'NY count'!Q56</f>
        <v>Auxiliary Systems (Potable Water)</v>
      </c>
      <c r="O9" s="98">
        <f>'NY count'!S56</f>
        <v>0</v>
      </c>
      <c r="P9" s="98">
        <f>'NY count'!R56</f>
        <v>0</v>
      </c>
    </row>
    <row r="10" spans="1:16" x14ac:dyDescent="0.2">
      <c r="M10" s="195">
        <f>RANK(O10,$O$4:$O$46,0)+COUNTIF(O10:$O$46,O10)-1</f>
        <v>37</v>
      </c>
      <c r="N10" s="196" t="str">
        <f>'NY count'!Q57</f>
        <v>Auxiliary Systems (Sanitary System)</v>
      </c>
      <c r="O10" s="196">
        <f>'NY count'!S57</f>
        <v>0</v>
      </c>
      <c r="P10" s="196">
        <f>'NY count'!R57</f>
        <v>0</v>
      </c>
    </row>
    <row r="11" spans="1:16" x14ac:dyDescent="0.2">
      <c r="M11" s="195">
        <f>RANK(O11,$O$4:$O$46,0)+COUNTIF(O11:$O$46,O11)-1</f>
        <v>36</v>
      </c>
      <c r="N11" s="196" t="str">
        <f>'NY count'!Q58</f>
        <v>Bucket (Weld / Repair Bucket)</v>
      </c>
      <c r="O11" s="196">
        <f>'NY count'!S58</f>
        <v>0</v>
      </c>
      <c r="P11" s="196">
        <f>'NY count'!R58</f>
        <v>0</v>
      </c>
    </row>
    <row r="12" spans="1:16" x14ac:dyDescent="0.2">
      <c r="M12" s="35">
        <f>RANK(O12,$O$4:$O$46,0)+COUNTIF(O12:$O$46,O12)-1</f>
        <v>35</v>
      </c>
      <c r="N12" s="98" t="str">
        <f>'NY count'!Q59</f>
        <v>Crane Boom (Boom Structure)</v>
      </c>
      <c r="O12" s="98">
        <f>'NY count'!S59</f>
        <v>0</v>
      </c>
      <c r="P12" s="98">
        <f>'NY count'!R59</f>
        <v>0</v>
      </c>
    </row>
    <row r="13" spans="1:16" x14ac:dyDescent="0.2">
      <c r="M13" s="35">
        <f>RANK(O13,$O$4:$O$46,0)+COUNTIF(O13:$O$46,O13)-1</f>
        <v>34</v>
      </c>
      <c r="N13" s="98" t="str">
        <f>'NY count'!Q60</f>
        <v>Crane Boom (Grease Structure)</v>
      </c>
      <c r="O13" s="98">
        <f>'NY count'!S60</f>
        <v>0</v>
      </c>
      <c r="P13" s="98">
        <f>'NY count'!R60</f>
        <v>0</v>
      </c>
    </row>
    <row r="14" spans="1:16" x14ac:dyDescent="0.2">
      <c r="M14" s="195">
        <f>RANK(O14,$O$4:$O$46,0)+COUNTIF(O14:$O$46,O14)-1</f>
        <v>33</v>
      </c>
      <c r="N14" s="196" t="str">
        <f>'NY count'!Q61</f>
        <v>Crane Boom (Stick Structure)</v>
      </c>
      <c r="O14" s="196">
        <f>'NY count'!S61</f>
        <v>0</v>
      </c>
      <c r="P14" s="196">
        <f>'NY count'!R61</f>
        <v>0</v>
      </c>
    </row>
    <row r="15" spans="1:16" x14ac:dyDescent="0.2">
      <c r="M15" s="35">
        <f>RANK(O15,$O$4:$O$46,0)+COUNTIF(O15:$O$46,O15)-1</f>
        <v>32</v>
      </c>
      <c r="N15" s="98" t="str">
        <f>'NY count'!Q62</f>
        <v>Crane Swing (Drive (motor, gearbox))</v>
      </c>
      <c r="O15" s="98">
        <f>'NY count'!S62</f>
        <v>0</v>
      </c>
      <c r="P15" s="98">
        <f>'NY count'!R62</f>
        <v>0</v>
      </c>
    </row>
    <row r="16" spans="1:16" x14ac:dyDescent="0.2">
      <c r="M16" s="195">
        <f>RANK(O16,$O$4:$O$46,0)+COUNTIF(O16:$O$46,O16)-1</f>
        <v>31</v>
      </c>
      <c r="N16" s="196" t="str">
        <f>'NY count'!Q63</f>
        <v>Crane Swing (Swing Circle (rollers))</v>
      </c>
      <c r="O16" s="196">
        <f>'NY count'!S63</f>
        <v>0</v>
      </c>
      <c r="P16" s="196">
        <f>'NY count'!R63</f>
        <v>0</v>
      </c>
    </row>
    <row r="17" spans="2:16" x14ac:dyDescent="0.2">
      <c r="M17" s="35">
        <f>RANK(O17,$O$4:$O$46,0)+COUNTIF(O17:$O$46,O17)-1</f>
        <v>30</v>
      </c>
      <c r="N17" s="98" t="str">
        <f>'NY count'!Q64</f>
        <v>Deck Winch (Fairleads)</v>
      </c>
      <c r="O17" s="98">
        <f>'NY count'!S64</f>
        <v>0</v>
      </c>
      <c r="P17" s="98">
        <f>'NY count'!R64</f>
        <v>0</v>
      </c>
    </row>
    <row r="18" spans="2:16" x14ac:dyDescent="0.2">
      <c r="M18" s="195">
        <f>RANK(O18,$O$4:$O$46,0)+COUNTIF(O18:$O$46,O18)-1</f>
        <v>29</v>
      </c>
      <c r="N18" s="196" t="str">
        <f>'NY count'!Q65</f>
        <v>Deck Winch (Winch)</v>
      </c>
      <c r="O18" s="196">
        <f>'NY count'!S65</f>
        <v>0</v>
      </c>
      <c r="P18" s="196">
        <f>'NY count'!R65</f>
        <v>0</v>
      </c>
    </row>
    <row r="19" spans="2:16" x14ac:dyDescent="0.2">
      <c r="M19" s="35">
        <f>RANK(O19,$O$4:$O$46,0)+COUNTIF(O19:$O$46,O19)-1</f>
        <v>28</v>
      </c>
      <c r="N19" s="98" t="str">
        <f>'NY count'!Q66</f>
        <v>Electrical / Electronics (MCC / Switch Gear)</v>
      </c>
      <c r="O19" s="98">
        <f>'NY count'!S66</f>
        <v>0</v>
      </c>
      <c r="P19" s="98">
        <f>'NY count'!R66</f>
        <v>0</v>
      </c>
    </row>
    <row r="20" spans="2:16" x14ac:dyDescent="0.2">
      <c r="M20" s="35">
        <f>RANK(O20,$O$4:$O$46,0)+COUNTIF(O20:$O$46,O20)-1</f>
        <v>27</v>
      </c>
      <c r="N20" s="98" t="str">
        <f>'NY count'!Q67</f>
        <v>Electrical / Electronics (Navigation Lights)</v>
      </c>
      <c r="O20" s="98">
        <f>'NY count'!S67</f>
        <v>0</v>
      </c>
      <c r="P20" s="98">
        <f>'NY count'!R67</f>
        <v>0</v>
      </c>
    </row>
    <row r="21" spans="2:16" x14ac:dyDescent="0.2">
      <c r="M21" s="35">
        <f>RANK(O21,$O$4:$O$46,0)+COUNTIF(O21:$O$46,O21)-1</f>
        <v>26</v>
      </c>
      <c r="N21" s="98" t="str">
        <f>'NY count'!Q68</f>
        <v>Electrical / Electronics (PLC)</v>
      </c>
      <c r="O21" s="98">
        <f>'NY count'!S68</f>
        <v>0</v>
      </c>
      <c r="P21" s="98">
        <f>'NY count'!R68</f>
        <v>0</v>
      </c>
    </row>
    <row r="22" spans="2:16" x14ac:dyDescent="0.2">
      <c r="M22" s="195">
        <f>RANK(O22,$O$4:$O$46,0)+COUNTIF(O22:$O$46,O22)-1</f>
        <v>25</v>
      </c>
      <c r="N22" s="196" t="str">
        <f>'NY count'!Q69</f>
        <v>Electrical / Electronics (Transformers)</v>
      </c>
      <c r="O22" s="196">
        <f>'NY count'!S69</f>
        <v>0</v>
      </c>
      <c r="P22" s="196">
        <f>'NY count'!R69</f>
        <v>0</v>
      </c>
    </row>
    <row r="23" spans="2:16" x14ac:dyDescent="0.2">
      <c r="B23" s="11" t="s">
        <v>11</v>
      </c>
      <c r="M23" s="35">
        <f>RANK(O23,$O$4:$O$46,0)+COUNTIF(O23:$O$46,O23)-1</f>
        <v>24</v>
      </c>
      <c r="N23" s="98" t="str">
        <f>'NY count'!Q70</f>
        <v>Hull (Deck Fittings (cleats))</v>
      </c>
      <c r="O23" s="98">
        <f>'NY count'!S70</f>
        <v>0</v>
      </c>
      <c r="P23" s="98">
        <f>'NY count'!R70</f>
        <v>0</v>
      </c>
    </row>
    <row r="24" spans="2:16" x14ac:dyDescent="0.2">
      <c r="M24" s="195">
        <f>RANK(O24,$O$4:$O$46,0)+COUNTIF(O24:$O$46,O24)-1</f>
        <v>23</v>
      </c>
      <c r="N24" s="196" t="str">
        <f>'NY count'!Q71</f>
        <v>Hull (Hull / House Repair)</v>
      </c>
      <c r="O24" s="196">
        <f>'NY count'!S71</f>
        <v>0</v>
      </c>
      <c r="P24" s="196">
        <f>'NY count'!R71</f>
        <v>0</v>
      </c>
    </row>
    <row r="25" spans="2:16" x14ac:dyDescent="0.2">
      <c r="M25" s="35">
        <f>RANK(O25,$O$4:$O$46,0)+COUNTIF(O25:$O$46,O25)-1</f>
        <v>22</v>
      </c>
      <c r="N25" s="98" t="str">
        <f>'NY count'!Q72</f>
        <v>Main Hoist / Main Hyd (Cylinders)</v>
      </c>
      <c r="O25" s="98">
        <f>'NY count'!S72</f>
        <v>0</v>
      </c>
      <c r="P25" s="98">
        <f>'NY count'!R72</f>
        <v>0</v>
      </c>
    </row>
    <row r="26" spans="2:16" x14ac:dyDescent="0.2">
      <c r="M26" s="35">
        <f>RANK(O26,$O$4:$O$46,0)+COUNTIF(O26:$O$46,O26)-1</f>
        <v>21</v>
      </c>
      <c r="N26" s="98" t="str">
        <f>'NY count'!Q73</f>
        <v>Main Hoist / Main Hyd (Excavtor Hydraulics)</v>
      </c>
      <c r="O26" s="98">
        <f>'NY count'!S73</f>
        <v>0</v>
      </c>
      <c r="P26" s="98">
        <f>'NY count'!R73</f>
        <v>0</v>
      </c>
    </row>
    <row r="27" spans="2:16" x14ac:dyDescent="0.2">
      <c r="M27" s="35">
        <f>RANK(O27,$O$4:$O$46,0)+COUNTIF(O27:$O$46,O27)-1</f>
        <v>20</v>
      </c>
      <c r="N27" s="98" t="str">
        <f>'NY count'!Q74</f>
        <v>Main Hoist / Main Hyd (Hoses)</v>
      </c>
      <c r="O27" s="98">
        <f>'NY count'!S74</f>
        <v>0</v>
      </c>
      <c r="P27" s="98">
        <f>'NY count'!R74</f>
        <v>0</v>
      </c>
    </row>
    <row r="28" spans="2:16" ht="15.75" x14ac:dyDescent="0.25">
      <c r="B28" s="28" t="e">
        <f ca="1">"The first "&amp;COUNT(H33:H53)&amp;" "&amp;C32&amp;" cover "&amp;TEXT(OFFSET(E32,COUNT(H33:H53),0,1,1),"0.??%")&amp;" of the Total "&amp;D32</f>
        <v>#DIV/0!</v>
      </c>
      <c r="C28" s="7"/>
      <c r="M28" s="195">
        <f>RANK(O28,$O$4:$O$46,0)+COUNTIF(O28:$O$46,O28)-1</f>
        <v>19</v>
      </c>
      <c r="N28" s="196" t="str">
        <f>'NY count'!Q75</f>
        <v>Main Hoist / Main Hyd (Hytop Hydraulics)</v>
      </c>
      <c r="O28" s="196">
        <f>'NY count'!S75</f>
        <v>0</v>
      </c>
      <c r="P28" s="196">
        <f>'NY count'!R75</f>
        <v>0</v>
      </c>
    </row>
    <row r="29" spans="2:16" x14ac:dyDescent="0.2">
      <c r="M29" s="35">
        <f>RANK(O29,$O$4:$O$46,0)+COUNTIF(O29:$O$46,O29)-1</f>
        <v>18</v>
      </c>
      <c r="N29" s="98" t="str">
        <f>'NY count'!Q76</f>
        <v>Main / Aux Generators (Boom Assist Generator)</v>
      </c>
      <c r="O29" s="98">
        <f>'NY count'!S76</f>
        <v>0</v>
      </c>
      <c r="P29" s="98">
        <f>'NY count'!R76</f>
        <v>0</v>
      </c>
    </row>
    <row r="30" spans="2:16" x14ac:dyDescent="0.2">
      <c r="M30" s="35">
        <f>RANK(O30,$O$4:$O$46,0)+COUNTIF(O30:$O$46,O30)-1</f>
        <v>17</v>
      </c>
      <c r="N30" s="98" t="str">
        <f>'NY count'!Q77</f>
        <v>Main / Aux Generators (Emergency Generator)</v>
      </c>
      <c r="O30" s="98">
        <f>'NY count'!S77</f>
        <v>0</v>
      </c>
      <c r="P30" s="98">
        <f>'NY count'!R77</f>
        <v>0</v>
      </c>
    </row>
    <row r="31" spans="2:16" x14ac:dyDescent="0.2">
      <c r="D31" s="12" t="s">
        <v>9</v>
      </c>
      <c r="E31" s="29">
        <v>0.8</v>
      </c>
      <c r="M31" s="35">
        <f>RANK(O31,$O$4:$O$46,0)+COUNTIF(O31:$O$46,O31)-1</f>
        <v>16</v>
      </c>
      <c r="N31" s="98" t="str">
        <f>'NY count'!Q78</f>
        <v>Main / Aux Generators (Generator #1)</v>
      </c>
      <c r="O31" s="98">
        <f>'NY count'!S78</f>
        <v>0</v>
      </c>
      <c r="P31" s="98">
        <f>'NY count'!R78</f>
        <v>0</v>
      </c>
    </row>
    <row r="32" spans="2:16" ht="15.75" x14ac:dyDescent="0.25">
      <c r="B32" s="24" t="s">
        <v>3</v>
      </c>
      <c r="C32" s="25" t="s">
        <v>5</v>
      </c>
      <c r="D32" s="26" t="s">
        <v>13</v>
      </c>
      <c r="E32" s="24" t="s">
        <v>4</v>
      </c>
      <c r="F32" s="38" t="s">
        <v>31</v>
      </c>
      <c r="G32" s="38" t="s">
        <v>14</v>
      </c>
      <c r="H32" s="13" t="s">
        <v>6</v>
      </c>
      <c r="I32" s="13" t="s">
        <v>7</v>
      </c>
      <c r="J32" s="13" t="s">
        <v>10</v>
      </c>
      <c r="M32" s="35">
        <f>RANK(O32,$O$4:$O$46,0)+COUNTIF(O32:$O$46,O32)-1</f>
        <v>15</v>
      </c>
      <c r="N32" s="98" t="str">
        <f>'NY count'!Q79</f>
        <v>Main / Aux Generators (Generator #2)</v>
      </c>
      <c r="O32" s="98">
        <f>'NY count'!S79</f>
        <v>0</v>
      </c>
      <c r="P32" s="98">
        <f>'NY count'!R79</f>
        <v>0</v>
      </c>
    </row>
    <row r="33" spans="2:16" x14ac:dyDescent="0.2">
      <c r="B33" s="14">
        <f t="shared" ref="B33:B53" si="0">ROW(B33)-ROW($B$32)</f>
        <v>1</v>
      </c>
      <c r="C33" s="31"/>
      <c r="D33" s="33"/>
      <c r="E33" s="15" t="e">
        <f>SUM(D33:D$33)/SUM($D$33:$D$53)</f>
        <v>#DIV/0!</v>
      </c>
      <c r="F33" s="39" t="e">
        <f>E33</f>
        <v>#DIV/0!</v>
      </c>
      <c r="H33" s="16">
        <f t="shared" ref="H33:H53" ca="1" si="1">IF(OR(B33=1,OFFSET($E$32,B33-1,0,1,1)&lt;=$E$31),OFFSET($D$32,B33,0,1,1),"")</f>
        <v>0</v>
      </c>
      <c r="I33" s="17" t="str">
        <f t="shared" ref="I33:I53" ca="1" si="2">IF(H33="",OFFSET($D$32,B33,0,1,1),"")</f>
        <v/>
      </c>
      <c r="J33" s="18">
        <f t="shared" ref="J33:J53" si="3">$E$31</f>
        <v>0.8</v>
      </c>
      <c r="M33" s="35">
        <f>RANK(O33,$O$4:$O$46,0)+COUNTIF(O33:$O$46,O33)-1</f>
        <v>14</v>
      </c>
      <c r="N33" s="98" t="str">
        <f>'NY count'!Q80</f>
        <v>Main / Aux Generators (PP1)</v>
      </c>
      <c r="O33" s="98">
        <f>'NY count'!S80</f>
        <v>0</v>
      </c>
      <c r="P33" s="98">
        <f>'NY count'!R80</f>
        <v>0</v>
      </c>
    </row>
    <row r="34" spans="2:16" x14ac:dyDescent="0.2">
      <c r="B34" s="14">
        <f t="shared" si="0"/>
        <v>2</v>
      </c>
      <c r="C34" s="31"/>
      <c r="D34" s="33"/>
      <c r="E34" s="15" t="e">
        <f>SUM(D$33:D34)/SUM($D$33:$D$53)</f>
        <v>#DIV/0!</v>
      </c>
      <c r="F34" s="39" t="e">
        <f>E34-E33</f>
        <v>#DIV/0!</v>
      </c>
      <c r="H34" s="16" t="e">
        <f t="shared" ca="1" si="1"/>
        <v>#DIV/0!</v>
      </c>
      <c r="I34" s="17" t="e">
        <f t="shared" ca="1" si="2"/>
        <v>#DIV/0!</v>
      </c>
      <c r="J34" s="18">
        <f t="shared" si="3"/>
        <v>0.8</v>
      </c>
      <c r="M34" s="195">
        <f>RANK(O34,$O$4:$O$46,0)+COUNTIF(O34:$O$46,O34)-1</f>
        <v>13</v>
      </c>
      <c r="N34" s="196" t="str">
        <f>'NY count'!Q81</f>
        <v>Main / Aux Generators (PP2)</v>
      </c>
      <c r="O34" s="196">
        <f>'NY count'!S81</f>
        <v>0</v>
      </c>
      <c r="P34" s="196">
        <f>'NY count'!R81</f>
        <v>0</v>
      </c>
    </row>
    <row r="35" spans="2:16" x14ac:dyDescent="0.2">
      <c r="B35" s="14">
        <f t="shared" si="0"/>
        <v>3</v>
      </c>
      <c r="C35" s="31"/>
      <c r="D35" s="33"/>
      <c r="E35" s="15" t="e">
        <f>SUM(D$33:D35)/SUM($D$33:$D$53)</f>
        <v>#DIV/0!</v>
      </c>
      <c r="F35" s="39" t="e">
        <f t="shared" ref="F35:F53" si="4">E35-E34</f>
        <v>#DIV/0!</v>
      </c>
      <c r="H35" s="16" t="e">
        <f t="shared" ca="1" si="1"/>
        <v>#DIV/0!</v>
      </c>
      <c r="I35" s="17" t="e">
        <f t="shared" ca="1" si="2"/>
        <v>#DIV/0!</v>
      </c>
      <c r="J35" s="18">
        <f t="shared" si="3"/>
        <v>0.8</v>
      </c>
      <c r="M35" s="35">
        <f>RANK(O35,$O$4:$O$46,0)+COUNTIF(O35:$O$46,O35)-1</f>
        <v>12</v>
      </c>
      <c r="N35" s="98" t="str">
        <f>'NY count'!Q82</f>
        <v>Spud System (Spud Hydraulics)</v>
      </c>
      <c r="O35" s="98">
        <f>'NY count'!S82</f>
        <v>0</v>
      </c>
      <c r="P35" s="98">
        <f>'NY count'!R82</f>
        <v>0</v>
      </c>
    </row>
    <row r="36" spans="2:16" x14ac:dyDescent="0.2">
      <c r="B36" s="14">
        <f t="shared" si="0"/>
        <v>4</v>
      </c>
      <c r="C36" s="31"/>
      <c r="D36" s="33"/>
      <c r="E36" s="15" t="e">
        <f>SUM(D$33:D36)/SUM($D$33:$D$53)</f>
        <v>#DIV/0!</v>
      </c>
      <c r="F36" s="39" t="e">
        <f t="shared" si="4"/>
        <v>#DIV/0!</v>
      </c>
      <c r="H36" s="16" t="e">
        <f t="shared" ca="1" si="1"/>
        <v>#DIV/0!</v>
      </c>
      <c r="I36" s="17" t="e">
        <f t="shared" ca="1" si="2"/>
        <v>#DIV/0!</v>
      </c>
      <c r="J36" s="18">
        <f t="shared" si="3"/>
        <v>0.8</v>
      </c>
      <c r="M36" s="35">
        <f>RANK(O36,$O$4:$O$46,0)+COUNTIF(O36:$O$46,O36)-1</f>
        <v>11</v>
      </c>
      <c r="N36" s="98" t="str">
        <f>'NY count'!Q83</f>
        <v>Spud System (Spud Sheaves)</v>
      </c>
      <c r="O36" s="98">
        <f>'NY count'!S83</f>
        <v>0</v>
      </c>
      <c r="P36" s="98">
        <f>'NY count'!R83</f>
        <v>0</v>
      </c>
    </row>
    <row r="37" spans="2:16" x14ac:dyDescent="0.2">
      <c r="B37" s="14">
        <f t="shared" si="0"/>
        <v>5</v>
      </c>
      <c r="C37" s="31"/>
      <c r="D37" s="33"/>
      <c r="E37" s="15" t="e">
        <f>SUM(D$33:D37)/SUM($D$33:$D$53)</f>
        <v>#DIV/0!</v>
      </c>
      <c r="F37" s="39" t="e">
        <f t="shared" si="4"/>
        <v>#DIV/0!</v>
      </c>
      <c r="H37" s="16" t="e">
        <f t="shared" ca="1" si="1"/>
        <v>#DIV/0!</v>
      </c>
      <c r="I37" s="17" t="e">
        <f t="shared" ca="1" si="2"/>
        <v>#DIV/0!</v>
      </c>
      <c r="J37" s="18">
        <f t="shared" si="3"/>
        <v>0.8</v>
      </c>
      <c r="M37" s="35">
        <f>RANK(O37,$O$4:$O$46,0)+COUNTIF(O37:$O$46,O37)-1</f>
        <v>10</v>
      </c>
      <c r="N37" s="98" t="str">
        <f>'NY count'!Q84</f>
        <v>Spud System (Spud Structure)</v>
      </c>
      <c r="O37" s="98">
        <f>'NY count'!S84</f>
        <v>0</v>
      </c>
      <c r="P37" s="98">
        <f>'NY count'!R84</f>
        <v>0</v>
      </c>
    </row>
    <row r="38" spans="2:16" x14ac:dyDescent="0.2">
      <c r="B38" s="14">
        <f t="shared" si="0"/>
        <v>6</v>
      </c>
      <c r="C38" s="31"/>
      <c r="D38" s="33"/>
      <c r="E38" s="15" t="e">
        <f>SUM(D$33:D38)/SUM($D$33:$D$53)</f>
        <v>#DIV/0!</v>
      </c>
      <c r="F38" s="39" t="e">
        <f t="shared" si="4"/>
        <v>#DIV/0!</v>
      </c>
      <c r="H38" s="16" t="e">
        <f t="shared" ca="1" si="1"/>
        <v>#DIV/0!</v>
      </c>
      <c r="I38" s="17" t="e">
        <f t="shared" ca="1" si="2"/>
        <v>#DIV/0!</v>
      </c>
      <c r="J38" s="18">
        <f t="shared" si="3"/>
        <v>0.8</v>
      </c>
      <c r="M38" s="35">
        <f>RANK(O38,$O$4:$O$46,0)+COUNTIF(O38:$O$46,O38)-1</f>
        <v>9</v>
      </c>
      <c r="N38" s="98" t="str">
        <f>'NY count'!Q85</f>
        <v>Spud System (Spud Winch)</v>
      </c>
      <c r="O38" s="98">
        <f>'NY count'!S85</f>
        <v>0</v>
      </c>
      <c r="P38" s="98">
        <f>'NY count'!R85</f>
        <v>0</v>
      </c>
    </row>
    <row r="39" spans="2:16" x14ac:dyDescent="0.2">
      <c r="B39" s="14">
        <f t="shared" si="0"/>
        <v>7</v>
      </c>
      <c r="C39" s="31"/>
      <c r="D39" s="33"/>
      <c r="E39" s="15" t="e">
        <f>SUM(D$33:D39)/SUM($D$33:$D$53)</f>
        <v>#DIV/0!</v>
      </c>
      <c r="F39" s="39" t="e">
        <f t="shared" si="4"/>
        <v>#DIV/0!</v>
      </c>
      <c r="H39" s="16" t="e">
        <f t="shared" ca="1" si="1"/>
        <v>#DIV/0!</v>
      </c>
      <c r="I39" s="17" t="e">
        <f t="shared" ca="1" si="2"/>
        <v>#DIV/0!</v>
      </c>
      <c r="J39" s="18">
        <f t="shared" si="3"/>
        <v>0.8</v>
      </c>
      <c r="M39" s="35">
        <f>RANK(O39,$O$4:$O$46,0)+COUNTIF(O39:$O$46,O39)-1</f>
        <v>8</v>
      </c>
      <c r="N39" s="98" t="str">
        <f>'NY count'!Q86</f>
        <v>Spud System (Spud Wires)</v>
      </c>
      <c r="O39" s="98">
        <f>'NY count'!S86</f>
        <v>0</v>
      </c>
      <c r="P39" s="98">
        <f>'NY count'!R86</f>
        <v>0</v>
      </c>
    </row>
    <row r="40" spans="2:16" x14ac:dyDescent="0.2">
      <c r="B40" s="14">
        <f t="shared" si="0"/>
        <v>8</v>
      </c>
      <c r="C40" s="31"/>
      <c r="D40" s="33"/>
      <c r="E40" s="15" t="e">
        <f>SUM(D$33:D40)/SUM($D$33:$D$53)</f>
        <v>#DIV/0!</v>
      </c>
      <c r="F40" s="39" t="e">
        <f t="shared" si="4"/>
        <v>#DIV/0!</v>
      </c>
      <c r="H40" s="16" t="e">
        <f t="shared" ca="1" si="1"/>
        <v>#DIV/0!</v>
      </c>
      <c r="I40" s="17" t="e">
        <f t="shared" ca="1" si="2"/>
        <v>#DIV/0!</v>
      </c>
      <c r="J40" s="18">
        <f t="shared" si="3"/>
        <v>0.8</v>
      </c>
      <c r="M40" s="195">
        <f>RANK(O40,$O$4:$O$46,0)+COUNTIF(O40:$O$46,O40)-1</f>
        <v>7</v>
      </c>
      <c r="N40" s="196" t="str">
        <f>'NY count'!Q87</f>
        <v>Spud System (Walking Mechanism)</v>
      </c>
      <c r="O40" s="196">
        <f>'NY count'!S87</f>
        <v>0</v>
      </c>
      <c r="P40" s="196">
        <f>'NY count'!R87</f>
        <v>0</v>
      </c>
    </row>
    <row r="41" spans="2:16" x14ac:dyDescent="0.2">
      <c r="B41" s="14">
        <f t="shared" si="0"/>
        <v>9</v>
      </c>
      <c r="C41" s="31"/>
      <c r="D41" s="33"/>
      <c r="E41" s="15" t="e">
        <f>SUM(D$33:D41)/SUM($D$33:$D$53)</f>
        <v>#DIV/0!</v>
      </c>
      <c r="F41" s="39" t="e">
        <f t="shared" si="4"/>
        <v>#DIV/0!</v>
      </c>
      <c r="H41" s="16" t="e">
        <f t="shared" ca="1" si="1"/>
        <v>#DIV/0!</v>
      </c>
      <c r="I41" s="17" t="e">
        <f t="shared" ca="1" si="2"/>
        <v>#DIV/0!</v>
      </c>
      <c r="J41" s="18">
        <f t="shared" si="3"/>
        <v>0.8</v>
      </c>
      <c r="M41" s="35">
        <f>RANK(O41,$O$4:$O$46,0)+COUNTIF(O41:$O$46,O41)-1</f>
        <v>6</v>
      </c>
      <c r="N41" s="98" t="str">
        <f>'NY count'!Q88</f>
        <v>Tagline / Boom Assist (A-Frame)</v>
      </c>
      <c r="O41" s="98">
        <f>'NY count'!S88</f>
        <v>0</v>
      </c>
      <c r="P41" s="98">
        <f>'NY count'!R88</f>
        <v>0</v>
      </c>
    </row>
    <row r="42" spans="2:16" x14ac:dyDescent="0.2">
      <c r="B42" s="14">
        <f t="shared" si="0"/>
        <v>10</v>
      </c>
      <c r="C42" s="31"/>
      <c r="D42" s="33"/>
      <c r="E42" s="15" t="e">
        <f>SUM(D$33:D42)/SUM($D$33:$D$53)</f>
        <v>#DIV/0!</v>
      </c>
      <c r="F42" s="39" t="e">
        <f t="shared" si="4"/>
        <v>#DIV/0!</v>
      </c>
      <c r="H42" s="16" t="e">
        <f t="shared" ca="1" si="1"/>
        <v>#DIV/0!</v>
      </c>
      <c r="I42" s="17" t="e">
        <f t="shared" ca="1" si="2"/>
        <v>#DIV/0!</v>
      </c>
      <c r="J42" s="18">
        <f t="shared" si="3"/>
        <v>0.8</v>
      </c>
      <c r="M42" s="35">
        <f>RANK(O42,$O$4:$O$46,0)+COUNTIF(O42:$O$46,O42)-1</f>
        <v>5</v>
      </c>
      <c r="N42" s="98" t="str">
        <f>'NY count'!Q89</f>
        <v>Tagline / Boom Assist (Sheaves)</v>
      </c>
      <c r="O42" s="98">
        <f>'NY count'!S89</f>
        <v>0</v>
      </c>
      <c r="P42" s="98">
        <f>'NY count'!R89</f>
        <v>0</v>
      </c>
    </row>
    <row r="43" spans="2:16" x14ac:dyDescent="0.2">
      <c r="B43" s="14">
        <f t="shared" si="0"/>
        <v>11</v>
      </c>
      <c r="C43" s="31"/>
      <c r="D43" s="33"/>
      <c r="E43" s="15" t="e">
        <f>SUM(D$33:D43)/SUM($D$33:$D$53)</f>
        <v>#DIV/0!</v>
      </c>
      <c r="F43" s="39" t="e">
        <f t="shared" si="4"/>
        <v>#DIV/0!</v>
      </c>
      <c r="H43" s="16" t="e">
        <f t="shared" ca="1" si="1"/>
        <v>#DIV/0!</v>
      </c>
      <c r="I43" s="17" t="e">
        <f t="shared" ca="1" si="2"/>
        <v>#DIV/0!</v>
      </c>
      <c r="J43" s="18">
        <f t="shared" si="3"/>
        <v>0.8</v>
      </c>
      <c r="M43" s="35">
        <f>RANK(O43,$O$4:$O$46,0)+COUNTIF(O43:$O$46,O43)-1</f>
        <v>4</v>
      </c>
      <c r="N43" s="98" t="str">
        <f>'NY count'!Q90</f>
        <v>Tagline / Boom Assist (Winch/Gear Box)</v>
      </c>
      <c r="O43" s="98">
        <f>'NY count'!S90</f>
        <v>0</v>
      </c>
      <c r="P43" s="98">
        <f>'NY count'!R90</f>
        <v>0</v>
      </c>
    </row>
    <row r="44" spans="2:16" x14ac:dyDescent="0.2">
      <c r="B44" s="14">
        <f t="shared" si="0"/>
        <v>12</v>
      </c>
      <c r="C44" s="31"/>
      <c r="D44" s="33"/>
      <c r="E44" s="15" t="e">
        <f>SUM(D$33:D44)/SUM($D$33:$D$53)</f>
        <v>#DIV/0!</v>
      </c>
      <c r="F44" s="39" t="e">
        <f t="shared" si="4"/>
        <v>#DIV/0!</v>
      </c>
      <c r="H44" s="16" t="e">
        <f t="shared" ca="1" si="1"/>
        <v>#DIV/0!</v>
      </c>
      <c r="I44" s="17" t="e">
        <f t="shared" ca="1" si="2"/>
        <v>#DIV/0!</v>
      </c>
      <c r="J44" s="18">
        <f t="shared" si="3"/>
        <v>0.8</v>
      </c>
      <c r="M44" s="195">
        <f>RANK(O44,$O$4:$O$46,0)+COUNTIF(O44:$O$46,O44)-1</f>
        <v>3</v>
      </c>
      <c r="N44" s="196" t="str">
        <f>'NY count'!Q91</f>
        <v>Tagline / Boom Assist (Wire)</v>
      </c>
      <c r="O44" s="196">
        <f>'NY count'!S91</f>
        <v>0</v>
      </c>
      <c r="P44" s="196">
        <f>'NY count'!R91</f>
        <v>0</v>
      </c>
    </row>
    <row r="45" spans="2:16" x14ac:dyDescent="0.2">
      <c r="B45" s="14">
        <f t="shared" si="0"/>
        <v>13</v>
      </c>
      <c r="C45" s="31"/>
      <c r="D45" s="33"/>
      <c r="E45" s="15" t="e">
        <f>SUM(D$33:D45)/SUM($D$33:$D$53)</f>
        <v>#DIV/0!</v>
      </c>
      <c r="F45" s="39" t="e">
        <f t="shared" si="4"/>
        <v>#DIV/0!</v>
      </c>
      <c r="H45" s="16" t="e">
        <f t="shared" ca="1" si="1"/>
        <v>#DIV/0!</v>
      </c>
      <c r="I45" s="17" t="e">
        <f t="shared" ca="1" si="2"/>
        <v>#DIV/0!</v>
      </c>
      <c r="J45" s="18">
        <f t="shared" si="3"/>
        <v>0.8</v>
      </c>
      <c r="M45" s="35">
        <f>RANK(O45,$O$4:$O$46,0)+COUNTIF(O45:$O$46,O45)-1</f>
        <v>2</v>
      </c>
      <c r="N45" s="98" t="str">
        <f>'NY count'!Q92</f>
        <v>Tugs and Scows (Scow Repair)</v>
      </c>
      <c r="O45" s="98">
        <f>'NY count'!S92</f>
        <v>0</v>
      </c>
      <c r="P45" s="98">
        <f>'NY count'!R92</f>
        <v>0</v>
      </c>
    </row>
    <row r="46" spans="2:16" x14ac:dyDescent="0.2">
      <c r="B46" s="14">
        <f t="shared" si="0"/>
        <v>14</v>
      </c>
      <c r="C46" s="31"/>
      <c r="D46" s="33"/>
      <c r="E46" s="15" t="e">
        <f>SUM(D$33:D46)/SUM($D$33:$D$53)</f>
        <v>#DIV/0!</v>
      </c>
      <c r="F46" s="39" t="e">
        <f t="shared" si="4"/>
        <v>#DIV/0!</v>
      </c>
      <c r="H46" s="16" t="e">
        <f t="shared" ca="1" si="1"/>
        <v>#DIV/0!</v>
      </c>
      <c r="I46" s="17" t="e">
        <f t="shared" ca="1" si="2"/>
        <v>#DIV/0!</v>
      </c>
      <c r="J46" s="18">
        <f t="shared" si="3"/>
        <v>0.8</v>
      </c>
      <c r="M46" s="35">
        <f>RANK(O46,$O$4:$O$46,0)+COUNTIF(O46:$O$46,O46)-1</f>
        <v>1</v>
      </c>
      <c r="N46" s="98" t="str">
        <f>'NY count'!Q93</f>
        <v>Tugs and Scows (Tug Repair)</v>
      </c>
      <c r="O46" s="98">
        <f>'NY count'!S93</f>
        <v>0</v>
      </c>
      <c r="P46" s="98">
        <f>'NY count'!R93</f>
        <v>0</v>
      </c>
    </row>
    <row r="47" spans="2:16" x14ac:dyDescent="0.2">
      <c r="B47" s="14">
        <f t="shared" si="0"/>
        <v>15</v>
      </c>
      <c r="C47" s="31"/>
      <c r="D47" s="33"/>
      <c r="E47" s="15" t="e">
        <f>SUM(D$33:D47)/SUM($D$33:$D$53)</f>
        <v>#DIV/0!</v>
      </c>
      <c r="F47" s="39" t="e">
        <f t="shared" si="4"/>
        <v>#DIV/0!</v>
      </c>
      <c r="H47" s="16" t="e">
        <f t="shared" ca="1" si="1"/>
        <v>#DIV/0!</v>
      </c>
      <c r="I47" s="17" t="e">
        <f t="shared" ca="1" si="2"/>
        <v>#DIV/0!</v>
      </c>
      <c r="J47" s="18">
        <f t="shared" si="3"/>
        <v>0.8</v>
      </c>
      <c r="M47" s="114"/>
      <c r="N47" s="114"/>
      <c r="O47" s="114"/>
      <c r="P47" s="114"/>
    </row>
    <row r="48" spans="2:16" x14ac:dyDescent="0.2">
      <c r="B48" s="14">
        <f t="shared" si="0"/>
        <v>16</v>
      </c>
      <c r="C48" s="31"/>
      <c r="D48" s="33"/>
      <c r="E48" s="15" t="e">
        <f>SUM(D$33:D48)/SUM($D$33:$D$53)</f>
        <v>#DIV/0!</v>
      </c>
      <c r="F48" s="39" t="e">
        <f t="shared" si="4"/>
        <v>#DIV/0!</v>
      </c>
      <c r="H48" s="16" t="e">
        <f t="shared" ca="1" si="1"/>
        <v>#DIV/0!</v>
      </c>
      <c r="I48" s="17" t="e">
        <f t="shared" ca="1" si="2"/>
        <v>#DIV/0!</v>
      </c>
      <c r="J48" s="18">
        <f t="shared" si="3"/>
        <v>0.8</v>
      </c>
      <c r="M48" s="114"/>
      <c r="N48" s="114"/>
      <c r="O48" s="114"/>
      <c r="P48" s="114"/>
    </row>
    <row r="49" spans="2:16" x14ac:dyDescent="0.2">
      <c r="B49" s="14">
        <f t="shared" si="0"/>
        <v>17</v>
      </c>
      <c r="C49" s="31"/>
      <c r="D49" s="33"/>
      <c r="E49" s="15" t="e">
        <f>SUM(D$33:D49)/SUM($D$33:$D$53)</f>
        <v>#DIV/0!</v>
      </c>
      <c r="F49" s="39" t="e">
        <f t="shared" si="4"/>
        <v>#DIV/0!</v>
      </c>
      <c r="H49" s="16" t="e">
        <f t="shared" ca="1" si="1"/>
        <v>#DIV/0!</v>
      </c>
      <c r="I49" s="17" t="e">
        <f t="shared" ca="1" si="2"/>
        <v>#DIV/0!</v>
      </c>
      <c r="J49" s="18">
        <f t="shared" si="3"/>
        <v>0.8</v>
      </c>
      <c r="M49" s="114"/>
      <c r="N49" s="114"/>
      <c r="O49" s="114"/>
      <c r="P49" s="114"/>
    </row>
    <row r="50" spans="2:16" x14ac:dyDescent="0.2">
      <c r="B50" s="14">
        <f t="shared" si="0"/>
        <v>18</v>
      </c>
      <c r="C50" s="31"/>
      <c r="D50" s="33"/>
      <c r="E50" s="15" t="e">
        <f>SUM(D$33:D50)/SUM($D$33:$D$53)</f>
        <v>#DIV/0!</v>
      </c>
      <c r="F50" s="39" t="e">
        <f t="shared" si="4"/>
        <v>#DIV/0!</v>
      </c>
      <c r="H50" s="16" t="e">
        <f t="shared" ca="1" si="1"/>
        <v>#DIV/0!</v>
      </c>
      <c r="I50" s="17" t="e">
        <f t="shared" ca="1" si="2"/>
        <v>#DIV/0!</v>
      </c>
      <c r="J50" s="18">
        <f t="shared" si="3"/>
        <v>0.8</v>
      </c>
      <c r="M50" s="114"/>
      <c r="N50" s="114"/>
      <c r="O50" s="114"/>
      <c r="P50" s="114"/>
    </row>
    <row r="51" spans="2:16" x14ac:dyDescent="0.2">
      <c r="B51" s="14">
        <f t="shared" si="0"/>
        <v>19</v>
      </c>
      <c r="C51" s="31"/>
      <c r="D51" s="33"/>
      <c r="E51" s="15" t="e">
        <f>SUM(D$33:D51)/SUM($D$33:$D$53)</f>
        <v>#DIV/0!</v>
      </c>
      <c r="F51" s="39" t="e">
        <f t="shared" si="4"/>
        <v>#DIV/0!</v>
      </c>
      <c r="H51" s="16" t="e">
        <f t="shared" ca="1" si="1"/>
        <v>#DIV/0!</v>
      </c>
      <c r="I51" s="17" t="e">
        <f t="shared" ca="1" si="2"/>
        <v>#DIV/0!</v>
      </c>
      <c r="J51" s="18">
        <f t="shared" si="3"/>
        <v>0.8</v>
      </c>
      <c r="M51" s="114"/>
      <c r="N51" s="114"/>
      <c r="O51" s="114"/>
      <c r="P51" s="114"/>
    </row>
    <row r="52" spans="2:16" x14ac:dyDescent="0.2">
      <c r="B52" s="14">
        <f t="shared" si="0"/>
        <v>20</v>
      </c>
      <c r="C52" s="31"/>
      <c r="D52" s="33"/>
      <c r="E52" s="15" t="e">
        <f>SUM(D$33:D52)/SUM($D$33:$D$53)</f>
        <v>#DIV/0!</v>
      </c>
      <c r="F52" s="39" t="e">
        <f t="shared" si="4"/>
        <v>#DIV/0!</v>
      </c>
      <c r="H52" s="16" t="e">
        <f t="shared" ca="1" si="1"/>
        <v>#DIV/0!</v>
      </c>
      <c r="I52" s="17" t="e">
        <f t="shared" ca="1" si="2"/>
        <v>#DIV/0!</v>
      </c>
      <c r="J52" s="18">
        <f t="shared" si="3"/>
        <v>0.8</v>
      </c>
      <c r="M52" s="114"/>
      <c r="N52" s="114"/>
      <c r="O52" s="114"/>
      <c r="P52" s="114"/>
    </row>
    <row r="53" spans="2:16" x14ac:dyDescent="0.2">
      <c r="B53" s="14">
        <f t="shared" si="0"/>
        <v>21</v>
      </c>
      <c r="C53" s="31"/>
      <c r="D53" s="33"/>
      <c r="E53" s="15" t="e">
        <f>SUM(D$33:D53)/SUM($D$33:$D$53)</f>
        <v>#DIV/0!</v>
      </c>
      <c r="F53" s="39" t="e">
        <f t="shared" si="4"/>
        <v>#DIV/0!</v>
      </c>
      <c r="H53" s="16" t="e">
        <f t="shared" ca="1" si="1"/>
        <v>#DIV/0!</v>
      </c>
      <c r="I53" s="17" t="e">
        <f t="shared" ca="1" si="2"/>
        <v>#DIV/0!</v>
      </c>
      <c r="J53" s="18">
        <f t="shared" si="3"/>
        <v>0.8</v>
      </c>
      <c r="M53" s="114"/>
      <c r="N53" s="114"/>
      <c r="O53" s="114"/>
      <c r="P53" s="114"/>
    </row>
    <row r="54" spans="2:16" x14ac:dyDescent="0.2">
      <c r="B54" s="19" t="s">
        <v>12</v>
      </c>
      <c r="C54" s="1"/>
      <c r="D54" s="1"/>
      <c r="E54" s="1"/>
      <c r="F54" s="1"/>
      <c r="G54" s="1"/>
      <c r="H54" s="1"/>
      <c r="I54" s="1"/>
      <c r="J54" s="1"/>
      <c r="M54" s="114"/>
      <c r="N54" s="114"/>
      <c r="O54" s="114"/>
      <c r="P54" s="114"/>
    </row>
    <row r="62" spans="2:16" x14ac:dyDescent="0.2">
      <c r="B62" s="114" t="s">
        <v>3</v>
      </c>
      <c r="C62" s="115" t="s">
        <v>136</v>
      </c>
      <c r="D62" s="115"/>
      <c r="E62" s="116" t="s">
        <v>137</v>
      </c>
    </row>
    <row r="64" spans="2:16" x14ac:dyDescent="0.2">
      <c r="B64" s="14">
        <v>1</v>
      </c>
      <c r="C64" s="2" t="str">
        <f>VLOOKUP(B64,$M$4:$P$46,2,0)</f>
        <v>Tugs and Scows (Tug Repair)</v>
      </c>
      <c r="D64" s="35">
        <f>VLOOKUP(B64,$M$4:$P$46,3,0)</f>
        <v>0</v>
      </c>
      <c r="E64" s="35">
        <f>VLOOKUP(B64,$M$4:$P$46,4,0)</f>
        <v>0</v>
      </c>
    </row>
    <row r="65" spans="2:5" x14ac:dyDescent="0.2">
      <c r="B65" s="14">
        <v>2</v>
      </c>
      <c r="C65" s="2" t="str">
        <f t="shared" ref="C65:C106" si="5">VLOOKUP(B65,$M$4:$P$46,2,0)</f>
        <v>Tugs and Scows (Scow Repair)</v>
      </c>
      <c r="D65" s="35">
        <f t="shared" ref="D65:D106" si="6">VLOOKUP(B65,$M$4:$P$46,3,0)</f>
        <v>0</v>
      </c>
      <c r="E65" s="35">
        <f t="shared" ref="E65:E106" si="7">VLOOKUP(B65,$M$4:$P$46,4,0)</f>
        <v>0</v>
      </c>
    </row>
    <row r="66" spans="2:5" x14ac:dyDescent="0.2">
      <c r="B66" s="14">
        <v>3</v>
      </c>
      <c r="C66" s="2" t="str">
        <f t="shared" si="5"/>
        <v>Tagline / Boom Assist (Wire)</v>
      </c>
      <c r="D66" s="35">
        <f t="shared" si="6"/>
        <v>0</v>
      </c>
      <c r="E66" s="35">
        <f t="shared" si="7"/>
        <v>0</v>
      </c>
    </row>
    <row r="67" spans="2:5" x14ac:dyDescent="0.2">
      <c r="B67" s="114">
        <v>4</v>
      </c>
      <c r="C67" s="2" t="str">
        <f t="shared" si="5"/>
        <v>Tagline / Boom Assist (Winch/Gear Box)</v>
      </c>
      <c r="D67" s="35">
        <f t="shared" si="6"/>
        <v>0</v>
      </c>
      <c r="E67" s="35">
        <f t="shared" si="7"/>
        <v>0</v>
      </c>
    </row>
    <row r="68" spans="2:5" x14ac:dyDescent="0.2">
      <c r="B68" s="14">
        <v>5</v>
      </c>
      <c r="C68" s="2" t="str">
        <f t="shared" si="5"/>
        <v>Tagline / Boom Assist (Sheaves)</v>
      </c>
      <c r="D68" s="35">
        <f t="shared" si="6"/>
        <v>0</v>
      </c>
      <c r="E68" s="35">
        <f t="shared" si="7"/>
        <v>0</v>
      </c>
    </row>
    <row r="69" spans="2:5" x14ac:dyDescent="0.2">
      <c r="B69" s="14">
        <v>6</v>
      </c>
      <c r="C69" s="2" t="str">
        <f t="shared" si="5"/>
        <v>Tagline / Boom Assist (A-Frame)</v>
      </c>
      <c r="D69" s="35">
        <f t="shared" si="6"/>
        <v>0</v>
      </c>
      <c r="E69" s="35">
        <f t="shared" si="7"/>
        <v>0</v>
      </c>
    </row>
    <row r="70" spans="2:5" x14ac:dyDescent="0.2">
      <c r="B70" s="14">
        <v>7</v>
      </c>
      <c r="C70" s="2" t="str">
        <f t="shared" si="5"/>
        <v>Spud System (Walking Mechanism)</v>
      </c>
      <c r="D70" s="35">
        <f t="shared" si="6"/>
        <v>0</v>
      </c>
      <c r="E70" s="35">
        <f t="shared" si="7"/>
        <v>0</v>
      </c>
    </row>
    <row r="71" spans="2:5" x14ac:dyDescent="0.2">
      <c r="B71" s="114">
        <v>8</v>
      </c>
      <c r="C71" s="2" t="str">
        <f t="shared" si="5"/>
        <v>Spud System (Spud Wires)</v>
      </c>
      <c r="D71" s="35">
        <f t="shared" si="6"/>
        <v>0</v>
      </c>
      <c r="E71" s="35">
        <f t="shared" si="7"/>
        <v>0</v>
      </c>
    </row>
    <row r="72" spans="2:5" x14ac:dyDescent="0.2">
      <c r="B72" s="14">
        <v>9</v>
      </c>
      <c r="C72" s="2" t="str">
        <f t="shared" si="5"/>
        <v>Spud System (Spud Winch)</v>
      </c>
      <c r="D72" s="35">
        <f t="shared" si="6"/>
        <v>0</v>
      </c>
      <c r="E72" s="35">
        <f t="shared" si="7"/>
        <v>0</v>
      </c>
    </row>
    <row r="73" spans="2:5" x14ac:dyDescent="0.2">
      <c r="B73" s="14">
        <v>10</v>
      </c>
      <c r="C73" s="2" t="str">
        <f t="shared" si="5"/>
        <v>Spud System (Spud Structure)</v>
      </c>
      <c r="D73" s="35">
        <f t="shared" si="6"/>
        <v>0</v>
      </c>
      <c r="E73" s="35">
        <f t="shared" si="7"/>
        <v>0</v>
      </c>
    </row>
    <row r="74" spans="2:5" x14ac:dyDescent="0.2">
      <c r="B74" s="14">
        <v>11</v>
      </c>
      <c r="C74" s="2" t="str">
        <f t="shared" si="5"/>
        <v>Spud System (Spud Sheaves)</v>
      </c>
      <c r="D74" s="35">
        <f t="shared" si="6"/>
        <v>0</v>
      </c>
      <c r="E74" s="35">
        <f t="shared" si="7"/>
        <v>0</v>
      </c>
    </row>
    <row r="75" spans="2:5" x14ac:dyDescent="0.2">
      <c r="B75" s="114">
        <v>12</v>
      </c>
      <c r="C75" s="2" t="str">
        <f t="shared" si="5"/>
        <v>Spud System (Spud Hydraulics)</v>
      </c>
      <c r="D75" s="35">
        <f t="shared" si="6"/>
        <v>0</v>
      </c>
      <c r="E75" s="35">
        <f t="shared" si="7"/>
        <v>0</v>
      </c>
    </row>
    <row r="76" spans="2:5" x14ac:dyDescent="0.2">
      <c r="B76" s="14">
        <v>13</v>
      </c>
      <c r="C76" s="2" t="str">
        <f t="shared" si="5"/>
        <v>Main / Aux Generators (PP2)</v>
      </c>
      <c r="D76" s="35">
        <f t="shared" si="6"/>
        <v>0</v>
      </c>
      <c r="E76" s="35">
        <f t="shared" si="7"/>
        <v>0</v>
      </c>
    </row>
    <row r="77" spans="2:5" x14ac:dyDescent="0.2">
      <c r="B77" s="14">
        <v>14</v>
      </c>
      <c r="C77" s="2" t="str">
        <f t="shared" si="5"/>
        <v>Main / Aux Generators (PP1)</v>
      </c>
      <c r="D77" s="35">
        <f t="shared" si="6"/>
        <v>0</v>
      </c>
      <c r="E77" s="35">
        <f t="shared" si="7"/>
        <v>0</v>
      </c>
    </row>
    <row r="78" spans="2:5" x14ac:dyDescent="0.2">
      <c r="B78" s="14">
        <v>15</v>
      </c>
      <c r="C78" s="2" t="str">
        <f t="shared" si="5"/>
        <v>Main / Aux Generators (Generator #2)</v>
      </c>
      <c r="D78" s="35">
        <f t="shared" si="6"/>
        <v>0</v>
      </c>
      <c r="E78" s="35">
        <f t="shared" si="7"/>
        <v>0</v>
      </c>
    </row>
    <row r="79" spans="2:5" x14ac:dyDescent="0.2">
      <c r="B79" s="114">
        <v>16</v>
      </c>
      <c r="C79" s="2" t="str">
        <f t="shared" si="5"/>
        <v>Main / Aux Generators (Generator #1)</v>
      </c>
      <c r="D79" s="35">
        <f t="shared" si="6"/>
        <v>0</v>
      </c>
      <c r="E79" s="35">
        <f t="shared" si="7"/>
        <v>0</v>
      </c>
    </row>
    <row r="80" spans="2:5" x14ac:dyDescent="0.2">
      <c r="B80" s="14">
        <v>17</v>
      </c>
      <c r="C80" s="2" t="str">
        <f t="shared" si="5"/>
        <v>Main / Aux Generators (Emergency Generator)</v>
      </c>
      <c r="D80" s="35">
        <f t="shared" si="6"/>
        <v>0</v>
      </c>
      <c r="E80" s="35">
        <f t="shared" si="7"/>
        <v>0</v>
      </c>
    </row>
    <row r="81" spans="2:5" x14ac:dyDescent="0.2">
      <c r="B81" s="14">
        <v>18</v>
      </c>
      <c r="C81" s="2" t="str">
        <f t="shared" si="5"/>
        <v>Main / Aux Generators (Boom Assist Generator)</v>
      </c>
      <c r="D81" s="35">
        <f t="shared" si="6"/>
        <v>0</v>
      </c>
      <c r="E81" s="35">
        <f t="shared" si="7"/>
        <v>0</v>
      </c>
    </row>
    <row r="82" spans="2:5" x14ac:dyDescent="0.2">
      <c r="B82" s="14">
        <v>19</v>
      </c>
      <c r="C82" s="2" t="str">
        <f t="shared" si="5"/>
        <v>Main Hoist / Main Hyd (Hytop Hydraulics)</v>
      </c>
      <c r="D82" s="35">
        <f t="shared" si="6"/>
        <v>0</v>
      </c>
      <c r="E82" s="35">
        <f t="shared" si="7"/>
        <v>0</v>
      </c>
    </row>
    <row r="83" spans="2:5" x14ac:dyDescent="0.2">
      <c r="B83" s="114">
        <v>20</v>
      </c>
      <c r="C83" s="2" t="str">
        <f t="shared" si="5"/>
        <v>Main Hoist / Main Hyd (Hoses)</v>
      </c>
      <c r="D83" s="35">
        <f t="shared" si="6"/>
        <v>0</v>
      </c>
      <c r="E83" s="35">
        <f t="shared" si="7"/>
        <v>0</v>
      </c>
    </row>
    <row r="84" spans="2:5" x14ac:dyDescent="0.2">
      <c r="B84" s="14">
        <v>21</v>
      </c>
      <c r="C84" s="2" t="str">
        <f t="shared" si="5"/>
        <v>Main Hoist / Main Hyd (Excavtor Hydraulics)</v>
      </c>
      <c r="D84" s="35">
        <f t="shared" si="6"/>
        <v>0</v>
      </c>
      <c r="E84" s="35">
        <f t="shared" si="7"/>
        <v>0</v>
      </c>
    </row>
    <row r="85" spans="2:5" x14ac:dyDescent="0.2">
      <c r="B85" s="14">
        <v>22</v>
      </c>
      <c r="C85" s="2" t="str">
        <f t="shared" si="5"/>
        <v>Main Hoist / Main Hyd (Cylinders)</v>
      </c>
      <c r="D85" s="35">
        <f t="shared" si="6"/>
        <v>0</v>
      </c>
      <c r="E85" s="35">
        <f t="shared" si="7"/>
        <v>0</v>
      </c>
    </row>
    <row r="86" spans="2:5" x14ac:dyDescent="0.2">
      <c r="B86" s="14">
        <v>23</v>
      </c>
      <c r="C86" s="2" t="str">
        <f t="shared" si="5"/>
        <v>Hull (Hull / House Repair)</v>
      </c>
      <c r="D86" s="35">
        <f t="shared" si="6"/>
        <v>0</v>
      </c>
      <c r="E86" s="35">
        <f t="shared" si="7"/>
        <v>0</v>
      </c>
    </row>
    <row r="87" spans="2:5" x14ac:dyDescent="0.2">
      <c r="B87" s="14">
        <v>24</v>
      </c>
      <c r="C87" s="2" t="str">
        <f t="shared" si="5"/>
        <v>Hull (Deck Fittings (cleats))</v>
      </c>
      <c r="D87" s="35">
        <f t="shared" si="6"/>
        <v>0</v>
      </c>
      <c r="E87" s="35">
        <f t="shared" si="7"/>
        <v>0</v>
      </c>
    </row>
    <row r="88" spans="2:5" x14ac:dyDescent="0.2">
      <c r="B88" s="14">
        <v>25</v>
      </c>
      <c r="C88" s="2" t="str">
        <f t="shared" si="5"/>
        <v>Electrical / Electronics (Transformers)</v>
      </c>
      <c r="D88" s="35">
        <f t="shared" si="6"/>
        <v>0</v>
      </c>
      <c r="E88" s="35">
        <f t="shared" si="7"/>
        <v>0</v>
      </c>
    </row>
    <row r="89" spans="2:5" x14ac:dyDescent="0.2">
      <c r="B89" s="114">
        <v>26</v>
      </c>
      <c r="C89" s="2" t="str">
        <f t="shared" si="5"/>
        <v>Electrical / Electronics (PLC)</v>
      </c>
      <c r="D89" s="35">
        <f t="shared" si="6"/>
        <v>0</v>
      </c>
      <c r="E89" s="35">
        <f t="shared" si="7"/>
        <v>0</v>
      </c>
    </row>
    <row r="90" spans="2:5" x14ac:dyDescent="0.2">
      <c r="B90" s="14">
        <v>27</v>
      </c>
      <c r="C90" s="2" t="str">
        <f t="shared" si="5"/>
        <v>Electrical / Electronics (Navigation Lights)</v>
      </c>
      <c r="D90" s="35">
        <f t="shared" si="6"/>
        <v>0</v>
      </c>
      <c r="E90" s="35">
        <f t="shared" si="7"/>
        <v>0</v>
      </c>
    </row>
    <row r="91" spans="2:5" x14ac:dyDescent="0.2">
      <c r="B91" s="14">
        <v>28</v>
      </c>
      <c r="C91" s="2" t="str">
        <f t="shared" si="5"/>
        <v>Electrical / Electronics (MCC / Switch Gear)</v>
      </c>
      <c r="D91" s="35">
        <f t="shared" si="6"/>
        <v>0</v>
      </c>
      <c r="E91" s="35">
        <f t="shared" si="7"/>
        <v>0</v>
      </c>
    </row>
    <row r="92" spans="2:5" x14ac:dyDescent="0.2">
      <c r="B92" s="14">
        <v>29</v>
      </c>
      <c r="C92" s="2" t="str">
        <f t="shared" si="5"/>
        <v>Deck Winch (Winch)</v>
      </c>
      <c r="D92" s="35">
        <f t="shared" si="6"/>
        <v>0</v>
      </c>
      <c r="E92" s="35">
        <f t="shared" si="7"/>
        <v>0</v>
      </c>
    </row>
    <row r="93" spans="2:5" x14ac:dyDescent="0.2">
      <c r="B93" s="114">
        <v>30</v>
      </c>
      <c r="C93" s="2" t="str">
        <f t="shared" si="5"/>
        <v>Deck Winch (Fairleads)</v>
      </c>
      <c r="D93" s="35">
        <f t="shared" si="6"/>
        <v>0</v>
      </c>
      <c r="E93" s="35">
        <f t="shared" si="7"/>
        <v>0</v>
      </c>
    </row>
    <row r="94" spans="2:5" x14ac:dyDescent="0.2">
      <c r="B94" s="14">
        <v>31</v>
      </c>
      <c r="C94" s="2" t="str">
        <f t="shared" si="5"/>
        <v>Crane Swing (Swing Circle (rollers))</v>
      </c>
      <c r="D94" s="35">
        <f t="shared" si="6"/>
        <v>0</v>
      </c>
      <c r="E94" s="35">
        <f t="shared" si="7"/>
        <v>0</v>
      </c>
    </row>
    <row r="95" spans="2:5" x14ac:dyDescent="0.2">
      <c r="B95" s="14">
        <v>32</v>
      </c>
      <c r="C95" s="2" t="str">
        <f t="shared" si="5"/>
        <v>Crane Swing (Drive (motor, gearbox))</v>
      </c>
      <c r="D95" s="35">
        <f t="shared" si="6"/>
        <v>0</v>
      </c>
      <c r="E95" s="35">
        <f t="shared" si="7"/>
        <v>0</v>
      </c>
    </row>
    <row r="96" spans="2:5" x14ac:dyDescent="0.2">
      <c r="B96" s="14">
        <v>33</v>
      </c>
      <c r="C96" s="2" t="str">
        <f t="shared" si="5"/>
        <v>Crane Boom (Stick Structure)</v>
      </c>
      <c r="D96" s="35">
        <f t="shared" si="6"/>
        <v>0</v>
      </c>
      <c r="E96" s="35">
        <f t="shared" si="7"/>
        <v>0</v>
      </c>
    </row>
    <row r="97" spans="2:5" x14ac:dyDescent="0.2">
      <c r="B97" s="114">
        <v>34</v>
      </c>
      <c r="C97" s="2" t="str">
        <f t="shared" si="5"/>
        <v>Crane Boom (Grease Structure)</v>
      </c>
      <c r="D97" s="35">
        <f t="shared" si="6"/>
        <v>0</v>
      </c>
      <c r="E97" s="35">
        <f t="shared" si="7"/>
        <v>0</v>
      </c>
    </row>
    <row r="98" spans="2:5" x14ac:dyDescent="0.2">
      <c r="B98" s="14">
        <v>35</v>
      </c>
      <c r="C98" s="2" t="str">
        <f t="shared" si="5"/>
        <v>Crane Boom (Boom Structure)</v>
      </c>
      <c r="D98" s="35">
        <f t="shared" si="6"/>
        <v>0</v>
      </c>
      <c r="E98" s="35">
        <f t="shared" si="7"/>
        <v>0</v>
      </c>
    </row>
    <row r="99" spans="2:5" x14ac:dyDescent="0.2">
      <c r="B99" s="14">
        <v>36</v>
      </c>
      <c r="C99" s="2" t="str">
        <f t="shared" si="5"/>
        <v>Bucket (Weld / Repair Bucket)</v>
      </c>
      <c r="D99" s="35">
        <f t="shared" si="6"/>
        <v>0</v>
      </c>
      <c r="E99" s="35">
        <f t="shared" si="7"/>
        <v>0</v>
      </c>
    </row>
    <row r="100" spans="2:5" x14ac:dyDescent="0.2">
      <c r="B100" s="14">
        <v>37</v>
      </c>
      <c r="C100" s="2" t="str">
        <f t="shared" si="5"/>
        <v>Auxiliary Systems (Sanitary System)</v>
      </c>
      <c r="D100" s="35">
        <f t="shared" si="6"/>
        <v>0</v>
      </c>
      <c r="E100" s="35">
        <f t="shared" si="7"/>
        <v>0</v>
      </c>
    </row>
    <row r="101" spans="2:5" x14ac:dyDescent="0.2">
      <c r="B101" s="114">
        <v>38</v>
      </c>
      <c r="C101" s="2" t="str">
        <f t="shared" si="5"/>
        <v>Auxiliary Systems (Potable Water)</v>
      </c>
      <c r="D101" s="35">
        <f t="shared" si="6"/>
        <v>0</v>
      </c>
      <c r="E101" s="35">
        <f t="shared" si="7"/>
        <v>0</v>
      </c>
    </row>
    <row r="102" spans="2:5" x14ac:dyDescent="0.2">
      <c r="B102" s="14">
        <v>39</v>
      </c>
      <c r="C102" s="2" t="str">
        <f t="shared" si="5"/>
        <v>Auxiliary Systems (HVAC)</v>
      </c>
      <c r="D102" s="35">
        <f t="shared" si="6"/>
        <v>0</v>
      </c>
      <c r="E102" s="35">
        <f t="shared" si="7"/>
        <v>0</v>
      </c>
    </row>
    <row r="103" spans="2:5" x14ac:dyDescent="0.2">
      <c r="B103" s="14">
        <v>40</v>
      </c>
      <c r="C103" s="2" t="str">
        <f t="shared" si="5"/>
        <v>Auxiliary Systems (Fuel)</v>
      </c>
      <c r="D103" s="35">
        <f t="shared" si="6"/>
        <v>0</v>
      </c>
      <c r="E103" s="35">
        <f t="shared" si="7"/>
        <v>0</v>
      </c>
    </row>
    <row r="104" spans="2:5" x14ac:dyDescent="0.2">
      <c r="B104" s="14">
        <v>41</v>
      </c>
      <c r="C104" s="2" t="str">
        <f t="shared" si="5"/>
        <v>Auxiliary Systems (Fire Main)</v>
      </c>
      <c r="D104" s="35">
        <f t="shared" si="6"/>
        <v>0</v>
      </c>
      <c r="E104" s="35">
        <f t="shared" si="7"/>
        <v>0</v>
      </c>
    </row>
    <row r="105" spans="2:5" x14ac:dyDescent="0.2">
      <c r="B105" s="114">
        <v>42</v>
      </c>
      <c r="C105" s="2" t="str">
        <f t="shared" si="5"/>
        <v>Auxiliary Systems (Deck Crane)</v>
      </c>
      <c r="D105" s="35">
        <f t="shared" si="6"/>
        <v>0</v>
      </c>
      <c r="E105" s="35">
        <f t="shared" si="7"/>
        <v>0</v>
      </c>
    </row>
    <row r="106" spans="2:5" x14ac:dyDescent="0.2">
      <c r="B106" s="14">
        <v>43</v>
      </c>
      <c r="C106" s="2" t="str">
        <f t="shared" si="5"/>
        <v>Auxiliary Systems (Compressed Air)</v>
      </c>
      <c r="D106" s="35">
        <f t="shared" si="6"/>
        <v>0</v>
      </c>
      <c r="E106" s="35">
        <f t="shared" si="7"/>
        <v>0</v>
      </c>
    </row>
    <row r="107" spans="2:5" x14ac:dyDescent="0.2">
      <c r="B107" s="14"/>
    </row>
    <row r="108" spans="2:5" x14ac:dyDescent="0.2">
      <c r="B108" s="14"/>
    </row>
    <row r="109" spans="2:5" x14ac:dyDescent="0.2">
      <c r="B109" s="14"/>
    </row>
    <row r="110" spans="2:5" x14ac:dyDescent="0.2">
      <c r="B110" s="14"/>
    </row>
    <row r="111" spans="2:5" x14ac:dyDescent="0.2">
      <c r="B111" s="114"/>
    </row>
    <row r="112" spans="2:5" x14ac:dyDescent="0.2">
      <c r="B112" s="14"/>
    </row>
    <row r="113" spans="2:2" x14ac:dyDescent="0.2">
      <c r="B113" s="14"/>
    </row>
    <row r="114" spans="2:2" x14ac:dyDescent="0.2">
      <c r="B114" s="14"/>
    </row>
    <row r="115" spans="2:2" x14ac:dyDescent="0.2">
      <c r="B115" s="114"/>
    </row>
    <row r="116" spans="2:2" x14ac:dyDescent="0.2">
      <c r="B116" s="14"/>
    </row>
    <row r="117" spans="2:2" x14ac:dyDescent="0.2">
      <c r="B117" s="14"/>
    </row>
    <row r="118" spans="2:2" x14ac:dyDescent="0.2">
      <c r="B118" s="14"/>
    </row>
    <row r="119" spans="2:2" x14ac:dyDescent="0.2">
      <c r="B119" s="114"/>
    </row>
    <row r="120" spans="2:2" x14ac:dyDescent="0.2">
      <c r="B120" s="14"/>
    </row>
    <row r="121" spans="2:2" x14ac:dyDescent="0.2">
      <c r="B121" s="14"/>
    </row>
    <row r="122" spans="2:2" x14ac:dyDescent="0.2">
      <c r="B122" s="14"/>
    </row>
    <row r="123" spans="2:2" x14ac:dyDescent="0.2">
      <c r="B123" s="114"/>
    </row>
    <row r="124" spans="2:2" x14ac:dyDescent="0.2">
      <c r="B124" s="14"/>
    </row>
    <row r="125" spans="2:2" x14ac:dyDescent="0.2">
      <c r="B125" s="14"/>
    </row>
    <row r="126" spans="2:2" x14ac:dyDescent="0.2">
      <c r="B126" s="14"/>
    </row>
    <row r="127" spans="2:2" x14ac:dyDescent="0.2">
      <c r="B127" s="114"/>
    </row>
    <row r="128" spans="2:2" x14ac:dyDescent="0.2">
      <c r="B128" s="14"/>
    </row>
  </sheetData>
  <mergeCells count="1">
    <mergeCell ref="N3:P3"/>
  </mergeCells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37"/>
  <sheetViews>
    <sheetView tabSelected="1" topLeftCell="C22" workbookViewId="0">
      <selection activeCell="K50" sqref="K50"/>
    </sheetView>
  </sheetViews>
  <sheetFormatPr defaultRowHeight="12.75" x14ac:dyDescent="0.2"/>
  <cols>
    <col min="3" max="3" width="23.140625" customWidth="1"/>
    <col min="4" max="4" width="10.140625" bestFit="1" customWidth="1"/>
    <col min="5" max="6" width="13.140625" bestFit="1" customWidth="1"/>
    <col min="7" max="7" width="8" bestFit="1" customWidth="1"/>
    <col min="8" max="8" width="8.7109375" bestFit="1" customWidth="1"/>
    <col min="9" max="9" width="12.5703125" bestFit="1" customWidth="1"/>
  </cols>
  <sheetData>
    <row r="1" spans="3:17" x14ac:dyDescent="0.2">
      <c r="J1" t="s">
        <v>197</v>
      </c>
      <c r="L1" t="s">
        <v>198</v>
      </c>
    </row>
    <row r="2" spans="3:17" x14ac:dyDescent="0.2">
      <c r="L2" t="s">
        <v>199</v>
      </c>
    </row>
    <row r="4" spans="3:17" x14ac:dyDescent="0.2">
      <c r="K4" t="s">
        <v>200</v>
      </c>
    </row>
    <row r="5" spans="3:17" x14ac:dyDescent="0.2">
      <c r="C5" t="s">
        <v>187</v>
      </c>
    </row>
    <row r="7" spans="3:17" x14ac:dyDescent="0.2">
      <c r="F7">
        <v>53</v>
      </c>
      <c r="G7" t="s">
        <v>194</v>
      </c>
      <c r="H7">
        <v>54</v>
      </c>
      <c r="I7" t="s">
        <v>194</v>
      </c>
      <c r="J7">
        <v>55</v>
      </c>
      <c r="K7" t="s">
        <v>194</v>
      </c>
      <c r="L7">
        <v>58</v>
      </c>
      <c r="M7" t="s">
        <v>194</v>
      </c>
    </row>
    <row r="8" spans="3:17" x14ac:dyDescent="0.2">
      <c r="E8" t="s">
        <v>188</v>
      </c>
      <c r="F8" s="230">
        <v>87.948999999999998</v>
      </c>
      <c r="G8" s="155">
        <f>'Mech Summary'!G55</f>
        <v>311.01777777785435</v>
      </c>
      <c r="H8" s="230">
        <v>189.876</v>
      </c>
      <c r="I8" s="155">
        <f>'Mech Summary'!J55</f>
        <v>165.11166666660458</v>
      </c>
      <c r="J8" s="230">
        <v>167.05</v>
      </c>
      <c r="K8" s="155">
        <f>'Mech Summary'!M55</f>
        <v>1268.4099999999999</v>
      </c>
      <c r="L8" s="230"/>
      <c r="M8" s="155">
        <f>'Mech Summary'!P55</f>
        <v>79.502500000062867</v>
      </c>
    </row>
    <row r="9" spans="3:17" x14ac:dyDescent="0.2">
      <c r="E9" t="s">
        <v>189</v>
      </c>
      <c r="F9" s="230">
        <f>109.709+68.915</f>
        <v>178.62400000000002</v>
      </c>
      <c r="G9" s="155">
        <f>'Mech Summary'!G26</f>
        <v>129.863888888855</v>
      </c>
      <c r="H9" s="230">
        <v>173.38900000000001</v>
      </c>
      <c r="I9" s="155">
        <f>'Mech Summary'!J26</f>
        <v>75.47</v>
      </c>
      <c r="J9" s="230">
        <f>127.834+48.692</f>
        <v>176.52600000000001</v>
      </c>
      <c r="K9" s="155">
        <f>'Mech Summary'!M26</f>
        <v>36.313611111098432</v>
      </c>
      <c r="L9" s="230">
        <v>89.135000000000005</v>
      </c>
      <c r="M9" s="155">
        <f>'Mech Summary'!P26</f>
        <v>17.41</v>
      </c>
    </row>
    <row r="10" spans="3:17" x14ac:dyDescent="0.2">
      <c r="E10" t="s">
        <v>190</v>
      </c>
      <c r="F10" s="230">
        <v>50.12</v>
      </c>
      <c r="G10" s="155">
        <f>'Mech Summary'!G65</f>
        <v>558.82583333342336</v>
      </c>
      <c r="H10" s="230">
        <v>23.331</v>
      </c>
      <c r="I10" s="155">
        <f>'Mech Summary'!J65</f>
        <v>571.31250000017928</v>
      </c>
      <c r="J10" s="230">
        <v>113.327</v>
      </c>
      <c r="K10" s="155">
        <f>'Mech Summary'!M65</f>
        <v>336.88</v>
      </c>
      <c r="L10" s="230">
        <v>2.1930000000000001</v>
      </c>
      <c r="M10" s="155">
        <f>'Mech Summary'!P65</f>
        <v>505.72444444449849</v>
      </c>
    </row>
    <row r="11" spans="3:17" x14ac:dyDescent="0.2">
      <c r="E11" t="s">
        <v>191</v>
      </c>
      <c r="F11" s="230">
        <v>119.18300000000001</v>
      </c>
      <c r="G11" s="155">
        <f>'Mech Summary'!G73</f>
        <v>285.66444444450087</v>
      </c>
      <c r="H11" s="230">
        <v>293.005</v>
      </c>
      <c r="I11" s="155">
        <f>'Mech Summary'!J73</f>
        <v>299.80388888908317</v>
      </c>
      <c r="J11" s="230">
        <v>98.503</v>
      </c>
      <c r="K11" s="155">
        <f>'Mech Summary'!M73</f>
        <v>186.90027777774026</v>
      </c>
      <c r="L11" s="230">
        <v>0.41899999999999998</v>
      </c>
      <c r="M11" s="155">
        <f>'Mech Summary'!P73</f>
        <v>75.521666666846727</v>
      </c>
      <c r="Q11" s="154" t="s">
        <v>201</v>
      </c>
    </row>
    <row r="12" spans="3:17" x14ac:dyDescent="0.2">
      <c r="E12" t="s">
        <v>192</v>
      </c>
      <c r="F12" s="230">
        <v>53.023000000000003</v>
      </c>
      <c r="G12" s="155">
        <f>'Mech Summary'!G40</f>
        <v>110.8908333333279</v>
      </c>
      <c r="H12" s="230">
        <v>38.137999999999998</v>
      </c>
      <c r="I12" s="155">
        <f>'Mech Summary'!J40</f>
        <v>126.84916666669073</v>
      </c>
      <c r="J12" s="230">
        <v>52.703000000000003</v>
      </c>
      <c r="K12" s="155">
        <f>'Mech Summary'!M40</f>
        <v>98.39</v>
      </c>
      <c r="L12" s="230">
        <v>23.373000000000001</v>
      </c>
      <c r="M12" s="155">
        <f>'Mech Summary'!P40</f>
        <v>103.72</v>
      </c>
    </row>
    <row r="13" spans="3:17" x14ac:dyDescent="0.2">
      <c r="E13" t="s">
        <v>193</v>
      </c>
      <c r="F13" s="230">
        <v>68.593000000000004</v>
      </c>
      <c r="G13" s="155">
        <f>'Mech Summary'!G30</f>
        <v>465.83666666517036</v>
      </c>
      <c r="H13" s="230">
        <v>150.74799999999999</v>
      </c>
      <c r="I13" s="155">
        <f>'Mech Summary'!J30</f>
        <v>11.73</v>
      </c>
      <c r="J13" s="230">
        <v>29.98</v>
      </c>
      <c r="K13" s="155">
        <f>'Mech Summary'!M30</f>
        <v>18</v>
      </c>
      <c r="L13" s="230">
        <v>9.15</v>
      </c>
      <c r="M13" s="155">
        <f>'Mech Summary'!P30</f>
        <v>190.94138888905056</v>
      </c>
    </row>
    <row r="16" spans="3:17" ht="13.5" thickBot="1" x14ac:dyDescent="0.25"/>
    <row r="17" spans="3:9" ht="13.5" thickBot="1" x14ac:dyDescent="0.25">
      <c r="C17" s="226"/>
      <c r="D17" s="227" t="str">
        <f>E8</f>
        <v>Generator</v>
      </c>
      <c r="E17" s="228" t="str">
        <f>E9</f>
        <v>Dredge Crane</v>
      </c>
      <c r="F17" s="228" t="str">
        <f>E10</f>
        <v>Closing Winch</v>
      </c>
      <c r="G17" s="228" t="str">
        <f>E11</f>
        <v>Spud</v>
      </c>
      <c r="H17" s="228" t="str">
        <f>E12</f>
        <v>Electrical</v>
      </c>
      <c r="I17" s="229" t="str">
        <f>E13</f>
        <v>Swing Circle</v>
      </c>
    </row>
    <row r="18" spans="3:9" x14ac:dyDescent="0.2">
      <c r="C18" s="226" t="s">
        <v>195</v>
      </c>
      <c r="D18" s="232">
        <f>G8</f>
        <v>311.01777777785435</v>
      </c>
      <c r="E18" s="232">
        <f>G9</f>
        <v>129.863888888855</v>
      </c>
      <c r="F18" s="232">
        <f>G10</f>
        <v>558.82583333342336</v>
      </c>
      <c r="G18" s="232">
        <f>G11</f>
        <v>285.66444444450087</v>
      </c>
      <c r="H18" s="232">
        <f>G12</f>
        <v>110.8908333333279</v>
      </c>
      <c r="I18" s="232">
        <f>G13</f>
        <v>465.83666666517036</v>
      </c>
    </row>
    <row r="19" spans="3:9" x14ac:dyDescent="0.2">
      <c r="C19" s="226" t="s">
        <v>196</v>
      </c>
      <c r="D19" s="231">
        <f>F8</f>
        <v>87.948999999999998</v>
      </c>
      <c r="E19" s="231">
        <f>F9</f>
        <v>178.62400000000002</v>
      </c>
      <c r="F19" s="231">
        <f>F10</f>
        <v>50.12</v>
      </c>
      <c r="G19" s="231">
        <f>F11</f>
        <v>119.18300000000001</v>
      </c>
      <c r="H19" s="231">
        <f>F12</f>
        <v>53.023000000000003</v>
      </c>
      <c r="I19" s="231">
        <f>F13</f>
        <v>68.593000000000004</v>
      </c>
    </row>
    <row r="20" spans="3:9" ht="13.5" thickBot="1" x14ac:dyDescent="0.25"/>
    <row r="21" spans="3:9" ht="13.5" thickBot="1" x14ac:dyDescent="0.25">
      <c r="C21" s="226"/>
      <c r="D21" s="227" t="s">
        <v>188</v>
      </c>
      <c r="E21" s="228" t="s">
        <v>189</v>
      </c>
      <c r="F21" s="228" t="s">
        <v>190</v>
      </c>
      <c r="G21" s="228" t="s">
        <v>191</v>
      </c>
      <c r="H21" s="228" t="s">
        <v>192</v>
      </c>
      <c r="I21" s="229" t="s">
        <v>193</v>
      </c>
    </row>
    <row r="22" spans="3:9" x14ac:dyDescent="0.2">
      <c r="C22" s="226" t="s">
        <v>195</v>
      </c>
      <c r="D22" s="232">
        <f>I8</f>
        <v>165.11166666660458</v>
      </c>
      <c r="E22" s="232">
        <f>I9</f>
        <v>75.47</v>
      </c>
      <c r="F22" s="232">
        <f>I10</f>
        <v>571.31250000017928</v>
      </c>
      <c r="G22" s="232">
        <f>I11</f>
        <v>299.80388888908317</v>
      </c>
      <c r="H22" s="232">
        <f>I12</f>
        <v>126.84916666669073</v>
      </c>
      <c r="I22" s="232">
        <f>I13</f>
        <v>11.73</v>
      </c>
    </row>
    <row r="23" spans="3:9" x14ac:dyDescent="0.2">
      <c r="C23" s="226" t="s">
        <v>196</v>
      </c>
      <c r="D23" s="231">
        <f>H8</f>
        <v>189.876</v>
      </c>
      <c r="E23" s="231">
        <f>H9</f>
        <v>173.38900000000001</v>
      </c>
      <c r="F23" s="231">
        <f>H10</f>
        <v>23.331</v>
      </c>
      <c r="G23" s="231">
        <f>H11</f>
        <v>293.005</v>
      </c>
      <c r="H23" s="231">
        <f>H12</f>
        <v>38.137999999999998</v>
      </c>
      <c r="I23" s="231">
        <f>H13</f>
        <v>150.74799999999999</v>
      </c>
    </row>
    <row r="24" spans="3:9" ht="13.5" thickBot="1" x14ac:dyDescent="0.25"/>
    <row r="25" spans="3:9" ht="13.5" thickBot="1" x14ac:dyDescent="0.25">
      <c r="C25" s="226"/>
      <c r="D25" s="227" t="s">
        <v>188</v>
      </c>
      <c r="E25" s="228" t="s">
        <v>189</v>
      </c>
      <c r="F25" s="228" t="s">
        <v>190</v>
      </c>
      <c r="G25" s="228" t="s">
        <v>191</v>
      </c>
      <c r="H25" s="228" t="s">
        <v>192</v>
      </c>
      <c r="I25" s="229" t="s">
        <v>193</v>
      </c>
    </row>
    <row r="26" spans="3:9" x14ac:dyDescent="0.2">
      <c r="C26" s="226" t="s">
        <v>195</v>
      </c>
      <c r="D26" s="232">
        <f>K8</f>
        <v>1268.4099999999999</v>
      </c>
      <c r="E26" s="232">
        <f>K9</f>
        <v>36.313611111098432</v>
      </c>
      <c r="F26" s="232">
        <f>K10</f>
        <v>336.88</v>
      </c>
      <c r="G26" s="232">
        <f>K11</f>
        <v>186.90027777774026</v>
      </c>
      <c r="H26" s="232">
        <f>K12</f>
        <v>98.39</v>
      </c>
      <c r="I26" s="232">
        <f>K13</f>
        <v>18</v>
      </c>
    </row>
    <row r="27" spans="3:9" x14ac:dyDescent="0.2">
      <c r="C27" s="226" t="s">
        <v>196</v>
      </c>
      <c r="D27" s="231">
        <f>J8</f>
        <v>167.05</v>
      </c>
      <c r="E27" s="231">
        <f>J9</f>
        <v>176.52600000000001</v>
      </c>
      <c r="F27" s="231">
        <f>J10</f>
        <v>113.327</v>
      </c>
      <c r="G27" s="231">
        <f>J11</f>
        <v>98.503</v>
      </c>
      <c r="H27" s="231">
        <f>J12</f>
        <v>52.703000000000003</v>
      </c>
      <c r="I27" s="231">
        <f>J13</f>
        <v>29.98</v>
      </c>
    </row>
    <row r="28" spans="3:9" ht="13.5" thickBot="1" x14ac:dyDescent="0.25"/>
    <row r="29" spans="3:9" ht="13.5" thickBot="1" x14ac:dyDescent="0.25">
      <c r="C29" s="226"/>
      <c r="D29" s="227" t="s">
        <v>188</v>
      </c>
      <c r="E29" s="228" t="s">
        <v>189</v>
      </c>
      <c r="F29" s="228" t="s">
        <v>190</v>
      </c>
      <c r="G29" s="228" t="s">
        <v>191</v>
      </c>
      <c r="H29" s="228" t="s">
        <v>192</v>
      </c>
      <c r="I29" s="229" t="s">
        <v>193</v>
      </c>
    </row>
    <row r="30" spans="3:9" x14ac:dyDescent="0.2">
      <c r="C30" s="226" t="s">
        <v>195</v>
      </c>
      <c r="D30" s="232">
        <f>M8</f>
        <v>79.502500000062867</v>
      </c>
      <c r="E30" s="232">
        <f>M9</f>
        <v>17.41</v>
      </c>
      <c r="F30" s="232">
        <f>M10</f>
        <v>505.72444444449849</v>
      </c>
      <c r="G30" s="232">
        <f>M11</f>
        <v>75.521666666846727</v>
      </c>
      <c r="H30" s="232">
        <f>M12</f>
        <v>103.72</v>
      </c>
      <c r="I30" s="232">
        <f>M13</f>
        <v>190.94138888905056</v>
      </c>
    </row>
    <row r="31" spans="3:9" x14ac:dyDescent="0.2">
      <c r="C31" s="226" t="s">
        <v>196</v>
      </c>
      <c r="D31" s="231">
        <f>L8</f>
        <v>0</v>
      </c>
      <c r="E31" s="231">
        <f>L9</f>
        <v>89.135000000000005</v>
      </c>
      <c r="F31" s="231">
        <f>L10</f>
        <v>2.1930000000000001</v>
      </c>
      <c r="G31" s="231">
        <f>L11</f>
        <v>0.41899999999999998</v>
      </c>
      <c r="H31" s="231">
        <f>L12</f>
        <v>23.373000000000001</v>
      </c>
      <c r="I31" s="231">
        <f>L13</f>
        <v>9.15</v>
      </c>
    </row>
    <row r="32" spans="3:9" ht="13.5" thickBot="1" x14ac:dyDescent="0.25"/>
    <row r="33" spans="3:9" ht="13.5" thickBot="1" x14ac:dyDescent="0.25">
      <c r="C33" s="226"/>
      <c r="D33" s="227" t="s">
        <v>188</v>
      </c>
      <c r="E33" s="228" t="s">
        <v>189</v>
      </c>
      <c r="F33" s="228" t="s">
        <v>190</v>
      </c>
      <c r="G33" s="228" t="s">
        <v>191</v>
      </c>
      <c r="H33" s="228" t="s">
        <v>192</v>
      </c>
      <c r="I33" s="229" t="s">
        <v>193</v>
      </c>
    </row>
    <row r="34" spans="3:9" x14ac:dyDescent="0.2">
      <c r="C34">
        <v>53</v>
      </c>
      <c r="D34" s="230">
        <f>D19</f>
        <v>87.948999999999998</v>
      </c>
      <c r="E34" s="230">
        <f t="shared" ref="E34:I34" si="0">E19</f>
        <v>178.62400000000002</v>
      </c>
      <c r="F34" s="230">
        <f t="shared" si="0"/>
        <v>50.12</v>
      </c>
      <c r="G34" s="230">
        <f t="shared" si="0"/>
        <v>119.18300000000001</v>
      </c>
      <c r="H34" s="230">
        <f t="shared" si="0"/>
        <v>53.023000000000003</v>
      </c>
      <c r="I34" s="230">
        <f t="shared" si="0"/>
        <v>68.593000000000004</v>
      </c>
    </row>
    <row r="35" spans="3:9" x14ac:dyDescent="0.2">
      <c r="C35">
        <v>54</v>
      </c>
      <c r="D35" s="230">
        <f>D23</f>
        <v>189.876</v>
      </c>
      <c r="E35" s="230">
        <f t="shared" ref="E35:I35" si="1">E23</f>
        <v>173.38900000000001</v>
      </c>
      <c r="F35" s="230">
        <f t="shared" si="1"/>
        <v>23.331</v>
      </c>
      <c r="G35" s="230">
        <f t="shared" si="1"/>
        <v>293.005</v>
      </c>
      <c r="H35" s="230">
        <f t="shared" si="1"/>
        <v>38.137999999999998</v>
      </c>
      <c r="I35" s="230">
        <f t="shared" si="1"/>
        <v>150.74799999999999</v>
      </c>
    </row>
    <row r="36" spans="3:9" x14ac:dyDescent="0.2">
      <c r="C36">
        <v>55</v>
      </c>
      <c r="D36" s="230">
        <f>D27</f>
        <v>167.05</v>
      </c>
      <c r="E36" s="230">
        <f t="shared" ref="E36:I36" si="2">E27</f>
        <v>176.52600000000001</v>
      </c>
      <c r="F36" s="230">
        <f t="shared" si="2"/>
        <v>113.327</v>
      </c>
      <c r="G36" s="230">
        <f t="shared" si="2"/>
        <v>98.503</v>
      </c>
      <c r="H36" s="230">
        <f t="shared" si="2"/>
        <v>52.703000000000003</v>
      </c>
      <c r="I36" s="230">
        <f t="shared" si="2"/>
        <v>29.98</v>
      </c>
    </row>
    <row r="37" spans="3:9" x14ac:dyDescent="0.2">
      <c r="C37">
        <v>58</v>
      </c>
      <c r="D37" s="230">
        <f>D31</f>
        <v>0</v>
      </c>
      <c r="E37" s="230">
        <f t="shared" ref="E37:I37" si="3">E31</f>
        <v>89.135000000000005</v>
      </c>
      <c r="F37" s="230">
        <f t="shared" si="3"/>
        <v>2.1930000000000001</v>
      </c>
      <c r="G37" s="230">
        <f t="shared" si="3"/>
        <v>0.41899999999999998</v>
      </c>
      <c r="H37" s="230">
        <f t="shared" si="3"/>
        <v>23.373000000000001</v>
      </c>
      <c r="I37" s="230">
        <f t="shared" si="3"/>
        <v>9.15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15"/>
  <sheetViews>
    <sheetView showGridLines="0" zoomScaleNormal="100" workbookViewId="0">
      <selection activeCell="K16" sqref="K16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7109375" style="14" bestFit="1" customWidth="1"/>
    <col min="7" max="7" width="7.7109375" style="2" bestFit="1" customWidth="1"/>
    <col min="8" max="8" width="10.140625" style="2" bestFit="1" customWidth="1"/>
    <col min="9" max="9" width="13.140625" style="2" bestFit="1" customWidth="1"/>
    <col min="10" max="10" width="22.7109375" style="2" bestFit="1" customWidth="1"/>
    <col min="11" max="11" width="22.7109375" style="2" customWidth="1"/>
    <col min="13" max="14" width="1.7109375" style="2" bestFit="1" customWidth="1"/>
    <col min="15" max="15" width="20.85546875" style="2" bestFit="1" customWidth="1"/>
    <col min="16" max="16" width="22.5703125" style="2" bestFit="1" customWidth="1"/>
    <col min="17" max="17" width="43.140625" style="2" bestFit="1" customWidth="1"/>
    <col min="18" max="19" width="8.42578125" style="2" bestFit="1" customWidth="1"/>
    <col min="20" max="20" width="2.85546875" style="2" customWidth="1"/>
    <col min="21" max="21" width="10" style="2" bestFit="1" customWidth="1"/>
    <col min="22" max="22" width="8.140625" style="2" bestFit="1" customWidth="1"/>
    <col min="23" max="23" width="3.42578125" style="2" customWidth="1"/>
    <col min="24" max="24" width="8" style="2" bestFit="1" customWidth="1"/>
    <col min="25" max="25" width="8.140625" style="2" bestFit="1" customWidth="1"/>
    <col min="26" max="26" width="4" style="2" customWidth="1"/>
    <col min="27" max="27" width="39" style="2" bestFit="1" customWidth="1"/>
    <col min="28" max="28" width="8" style="2" bestFit="1" customWidth="1"/>
    <col min="29" max="29" width="8.140625" style="162" bestFit="1" customWidth="1"/>
    <col min="30" max="16384" width="9.140625" style="2"/>
  </cols>
  <sheetData>
    <row r="1" spans="1:29" s="22" customFormat="1" ht="30" customHeight="1" x14ac:dyDescent="0.2">
      <c r="A1" s="27" t="s">
        <v>2</v>
      </c>
      <c r="B1" s="20"/>
      <c r="C1" s="21"/>
      <c r="D1" s="21"/>
      <c r="E1" s="21"/>
      <c r="F1" s="41"/>
      <c r="M1" s="34"/>
      <c r="N1" s="34"/>
      <c r="O1" s="245" t="s">
        <v>184</v>
      </c>
      <c r="P1" s="245"/>
      <c r="Q1" s="245"/>
      <c r="R1" s="246" t="s">
        <v>122</v>
      </c>
      <c r="S1" s="246"/>
      <c r="T1" s="104"/>
      <c r="U1" s="242" t="s">
        <v>123</v>
      </c>
      <c r="V1" s="242"/>
      <c r="W1" s="105"/>
      <c r="X1" s="242" t="s">
        <v>124</v>
      </c>
      <c r="Y1" s="242"/>
      <c r="Z1" s="71"/>
      <c r="AA1" s="58"/>
      <c r="AB1" s="243"/>
      <c r="AC1" s="243"/>
    </row>
    <row r="2" spans="1:29" ht="15.75" x14ac:dyDescent="0.25">
      <c r="A2" s="3"/>
      <c r="C2" s="4"/>
      <c r="D2" s="4"/>
      <c r="E2" s="4"/>
      <c r="H2" s="30"/>
      <c r="M2" s="72"/>
      <c r="N2" s="72"/>
      <c r="O2" s="73" t="s">
        <v>15</v>
      </c>
      <c r="P2" s="73" t="s">
        <v>16</v>
      </c>
      <c r="Q2" s="73" t="s">
        <v>30</v>
      </c>
      <c r="R2" s="74" t="s">
        <v>14</v>
      </c>
      <c r="S2" s="75" t="s">
        <v>13</v>
      </c>
      <c r="T2" s="58"/>
      <c r="U2" s="74" t="s">
        <v>14</v>
      </c>
      <c r="V2" s="75" t="s">
        <v>13</v>
      </c>
      <c r="W2" s="76"/>
      <c r="X2" s="74" t="s">
        <v>14</v>
      </c>
      <c r="Y2" s="75" t="s">
        <v>13</v>
      </c>
      <c r="Z2" s="43"/>
      <c r="AA2" s="77" t="s">
        <v>125</v>
      </c>
      <c r="AB2" s="78" t="s">
        <v>14</v>
      </c>
      <c r="AC2" s="160" t="s">
        <v>13</v>
      </c>
    </row>
    <row r="3" spans="1:29" ht="15.75" x14ac:dyDescent="0.25">
      <c r="A3" s="5" t="s">
        <v>0</v>
      </c>
      <c r="C3" s="6"/>
      <c r="D3" s="7"/>
      <c r="E3" s="7"/>
      <c r="H3" s="8"/>
      <c r="M3" s="72" t="s">
        <v>25</v>
      </c>
      <c r="N3" s="72" t="s">
        <v>26</v>
      </c>
      <c r="O3" s="72" t="s">
        <v>17</v>
      </c>
      <c r="P3" s="72" t="s">
        <v>18</v>
      </c>
      <c r="Q3" s="80" t="str">
        <f t="shared" ref="Q3:Q42" si="0">O3&amp;" "&amp;M3&amp;P3&amp;N3</f>
        <v>Auxiliary Systems (Compressed Air)</v>
      </c>
      <c r="R3" s="81">
        <v>0</v>
      </c>
      <c r="S3" s="157">
        <v>0</v>
      </c>
      <c r="T3" s="58"/>
      <c r="U3" s="83">
        <v>12</v>
      </c>
      <c r="V3" s="84">
        <v>12.270000000000001</v>
      </c>
      <c r="W3" s="58"/>
      <c r="X3" s="85">
        <f>R3+U3</f>
        <v>12</v>
      </c>
      <c r="Y3" s="163">
        <f>S3+V3</f>
        <v>12.270000000000001</v>
      </c>
      <c r="Z3" s="43"/>
      <c r="AA3" s="86" t="s">
        <v>27</v>
      </c>
      <c r="AB3" s="87">
        <f>X3</f>
        <v>12</v>
      </c>
      <c r="AC3" s="161">
        <f>Y3</f>
        <v>12.270000000000001</v>
      </c>
    </row>
    <row r="4" spans="1:29" x14ac:dyDescent="0.2">
      <c r="A4" s="9" t="s">
        <v>8</v>
      </c>
      <c r="C4" s="6"/>
      <c r="D4" s="7"/>
      <c r="E4" s="7"/>
      <c r="M4" s="72" t="s">
        <v>25</v>
      </c>
      <c r="N4" s="72" t="s">
        <v>26</v>
      </c>
      <c r="O4" s="72" t="s">
        <v>17</v>
      </c>
      <c r="P4" s="72" t="s">
        <v>32</v>
      </c>
      <c r="Q4" s="80" t="str">
        <f t="shared" si="0"/>
        <v>Auxiliary Systems (Deck Crane)</v>
      </c>
      <c r="R4" s="81">
        <v>0</v>
      </c>
      <c r="S4" s="157">
        <v>0</v>
      </c>
      <c r="T4" s="58"/>
      <c r="U4" s="83">
        <v>4</v>
      </c>
      <c r="V4" s="84">
        <v>3.16</v>
      </c>
      <c r="W4" s="58"/>
      <c r="X4" s="85">
        <f t="shared" ref="X4:X42" si="1">R4+U4</f>
        <v>4</v>
      </c>
      <c r="Y4" s="163">
        <f t="shared" ref="Y4:Y42" si="2">S4+V4</f>
        <v>3.16</v>
      </c>
      <c r="Z4" s="43"/>
      <c r="AA4" s="86" t="s">
        <v>69</v>
      </c>
      <c r="AB4" s="87">
        <f t="shared" ref="AB4:AC9" si="3">X4</f>
        <v>4</v>
      </c>
      <c r="AC4" s="161">
        <f t="shared" si="3"/>
        <v>3.16</v>
      </c>
    </row>
    <row r="5" spans="1:29" x14ac:dyDescent="0.2">
      <c r="A5" s="10" t="s">
        <v>1</v>
      </c>
      <c r="C5" s="6"/>
      <c r="D5" s="7"/>
      <c r="E5" s="7"/>
      <c r="M5" s="72" t="s">
        <v>25</v>
      </c>
      <c r="N5" s="72" t="s">
        <v>26</v>
      </c>
      <c r="O5" s="72" t="s">
        <v>17</v>
      </c>
      <c r="P5" s="72" t="s">
        <v>33</v>
      </c>
      <c r="Q5" s="80" t="str">
        <f t="shared" si="0"/>
        <v>Auxiliary Systems (Fire Main)</v>
      </c>
      <c r="R5" s="81">
        <v>0</v>
      </c>
      <c r="S5" s="157">
        <v>0</v>
      </c>
      <c r="T5" s="58"/>
      <c r="U5" s="83">
        <v>0</v>
      </c>
      <c r="V5" s="84">
        <v>0</v>
      </c>
      <c r="W5" s="58"/>
      <c r="X5" s="85">
        <f t="shared" si="1"/>
        <v>0</v>
      </c>
      <c r="Y5" s="163">
        <f t="shared" si="2"/>
        <v>0</v>
      </c>
      <c r="Z5" s="43"/>
      <c r="AA5" s="86" t="s">
        <v>70</v>
      </c>
      <c r="AB5" s="87">
        <f t="shared" si="3"/>
        <v>0</v>
      </c>
      <c r="AC5" s="161">
        <f t="shared" si="3"/>
        <v>0</v>
      </c>
    </row>
    <row r="6" spans="1:29" x14ac:dyDescent="0.2">
      <c r="M6" s="72" t="s">
        <v>25</v>
      </c>
      <c r="N6" s="72" t="s">
        <v>26</v>
      </c>
      <c r="O6" s="72" t="s">
        <v>17</v>
      </c>
      <c r="P6" s="72" t="s">
        <v>19</v>
      </c>
      <c r="Q6" s="80" t="str">
        <f t="shared" si="0"/>
        <v>Auxiliary Systems (Fuel)</v>
      </c>
      <c r="R6" s="81">
        <v>0</v>
      </c>
      <c r="S6" s="157">
        <v>0</v>
      </c>
      <c r="T6" s="58"/>
      <c r="U6" s="83">
        <v>1</v>
      </c>
      <c r="V6" s="84">
        <v>16.170000000000002</v>
      </c>
      <c r="W6" s="58"/>
      <c r="X6" s="85">
        <f t="shared" si="1"/>
        <v>1</v>
      </c>
      <c r="Y6" s="163">
        <f t="shared" si="2"/>
        <v>16.170000000000002</v>
      </c>
      <c r="Z6" s="43"/>
      <c r="AA6" s="86" t="s">
        <v>28</v>
      </c>
      <c r="AB6" s="87">
        <f t="shared" si="3"/>
        <v>1</v>
      </c>
      <c r="AC6" s="161">
        <f t="shared" si="3"/>
        <v>16.170000000000002</v>
      </c>
    </row>
    <row r="7" spans="1:29" x14ac:dyDescent="0.2">
      <c r="M7" s="72" t="s">
        <v>25</v>
      </c>
      <c r="N7" s="72" t="s">
        <v>26</v>
      </c>
      <c r="O7" s="72" t="s">
        <v>17</v>
      </c>
      <c r="P7" s="72" t="s">
        <v>171</v>
      </c>
      <c r="Q7" s="80" t="str">
        <f t="shared" si="0"/>
        <v>Auxiliary Systems (Heating, Ventilation, A/C)</v>
      </c>
      <c r="R7" s="81">
        <v>0</v>
      </c>
      <c r="S7" s="157">
        <v>0</v>
      </c>
      <c r="T7" s="58"/>
      <c r="U7" s="83">
        <v>1</v>
      </c>
      <c r="V7" s="84">
        <v>0.36</v>
      </c>
      <c r="W7" s="58"/>
      <c r="X7" s="85">
        <f t="shared" si="1"/>
        <v>1</v>
      </c>
      <c r="Y7" s="163">
        <f t="shared" si="2"/>
        <v>0.36</v>
      </c>
      <c r="Z7" s="43"/>
      <c r="AA7" s="86" t="s">
        <v>29</v>
      </c>
      <c r="AB7" s="87">
        <f t="shared" si="3"/>
        <v>1</v>
      </c>
      <c r="AC7" s="161">
        <f t="shared" si="3"/>
        <v>0.36</v>
      </c>
    </row>
    <row r="8" spans="1:29" x14ac:dyDescent="0.2">
      <c r="M8" s="72" t="s">
        <v>25</v>
      </c>
      <c r="N8" s="72" t="s">
        <v>26</v>
      </c>
      <c r="O8" s="72" t="s">
        <v>17</v>
      </c>
      <c r="P8" s="72" t="s">
        <v>34</v>
      </c>
      <c r="Q8" s="80" t="str">
        <f t="shared" si="0"/>
        <v>Auxiliary Systems (Potable Water)</v>
      </c>
      <c r="R8" s="81">
        <v>0</v>
      </c>
      <c r="S8" s="157">
        <v>0</v>
      </c>
      <c r="T8" s="58"/>
      <c r="U8" s="83">
        <v>0</v>
      </c>
      <c r="V8" s="84">
        <v>0</v>
      </c>
      <c r="W8" s="58"/>
      <c r="X8" s="85">
        <f t="shared" si="1"/>
        <v>0</v>
      </c>
      <c r="Y8" s="163">
        <f t="shared" si="2"/>
        <v>0</v>
      </c>
      <c r="Z8" s="43"/>
      <c r="AA8" s="86" t="s">
        <v>71</v>
      </c>
      <c r="AB8" s="87">
        <f t="shared" si="3"/>
        <v>0</v>
      </c>
      <c r="AC8" s="161">
        <f t="shared" si="3"/>
        <v>0</v>
      </c>
    </row>
    <row r="9" spans="1:29" x14ac:dyDescent="0.2">
      <c r="M9" s="88" t="s">
        <v>25</v>
      </c>
      <c r="N9" s="88" t="s">
        <v>26</v>
      </c>
      <c r="O9" s="88" t="s">
        <v>17</v>
      </c>
      <c r="P9" s="88" t="s">
        <v>35</v>
      </c>
      <c r="Q9" s="89" t="str">
        <f t="shared" si="0"/>
        <v>Auxiliary Systems (Sanitary System)</v>
      </c>
      <c r="R9" s="90">
        <v>0</v>
      </c>
      <c r="S9" s="158">
        <v>0</v>
      </c>
      <c r="T9" s="61"/>
      <c r="U9" s="92">
        <v>0</v>
      </c>
      <c r="V9" s="118">
        <v>0</v>
      </c>
      <c r="W9" s="61"/>
      <c r="X9" s="119">
        <f t="shared" si="1"/>
        <v>0</v>
      </c>
      <c r="Y9" s="164">
        <f t="shared" si="2"/>
        <v>0</v>
      </c>
      <c r="Z9" s="43"/>
      <c r="AA9" s="86" t="s">
        <v>72</v>
      </c>
      <c r="AB9" s="87">
        <f t="shared" si="3"/>
        <v>0</v>
      </c>
      <c r="AC9" s="161">
        <f t="shared" si="3"/>
        <v>0</v>
      </c>
    </row>
    <row r="10" spans="1:29" x14ac:dyDescent="0.2">
      <c r="M10" s="88" t="s">
        <v>25</v>
      </c>
      <c r="N10" s="88" t="s">
        <v>26</v>
      </c>
      <c r="O10" s="88" t="s">
        <v>164</v>
      </c>
      <c r="P10" s="88" t="s">
        <v>37</v>
      </c>
      <c r="Q10" s="145" t="str">
        <f t="shared" si="0"/>
        <v>Buckets (Weld / Repair Bucket)</v>
      </c>
      <c r="R10" s="146">
        <v>6</v>
      </c>
      <c r="S10" s="159">
        <v>5.6947222222806886</v>
      </c>
      <c r="T10" s="147"/>
      <c r="U10" s="92">
        <v>99</v>
      </c>
      <c r="V10" s="118">
        <v>193.62</v>
      </c>
      <c r="W10" s="61"/>
      <c r="X10" s="119">
        <f t="shared" si="1"/>
        <v>105</v>
      </c>
      <c r="Y10" s="164">
        <f t="shared" si="2"/>
        <v>199.31472222228069</v>
      </c>
      <c r="Z10" s="43"/>
    </row>
    <row r="11" spans="1:29" x14ac:dyDescent="0.2">
      <c r="M11" s="72" t="s">
        <v>25</v>
      </c>
      <c r="N11" s="72" t="s">
        <v>26</v>
      </c>
      <c r="O11" s="72" t="s">
        <v>38</v>
      </c>
      <c r="P11" s="72" t="s">
        <v>48</v>
      </c>
      <c r="Q11" s="80" t="str">
        <f t="shared" si="0"/>
        <v>Crane Boom (Boom / Gantry Sheaves)</v>
      </c>
      <c r="R11" s="81">
        <v>0</v>
      </c>
      <c r="S11" s="157">
        <v>0</v>
      </c>
      <c r="T11" s="58"/>
      <c r="U11" s="83">
        <v>0</v>
      </c>
      <c r="V11" s="84">
        <v>0</v>
      </c>
      <c r="W11" s="58"/>
      <c r="X11" s="85">
        <f t="shared" si="1"/>
        <v>0</v>
      </c>
      <c r="Y11" s="163">
        <f t="shared" si="2"/>
        <v>0</v>
      </c>
      <c r="Z11" s="43"/>
    </row>
    <row r="12" spans="1:29" x14ac:dyDescent="0.2">
      <c r="M12" s="72" t="s">
        <v>25</v>
      </c>
      <c r="N12" s="72" t="s">
        <v>26</v>
      </c>
      <c r="O12" s="72" t="s">
        <v>38</v>
      </c>
      <c r="P12" s="72" t="s">
        <v>49</v>
      </c>
      <c r="Q12" s="80" t="str">
        <f t="shared" si="0"/>
        <v>Crane Boom (Boom / Gantry Structure)</v>
      </c>
      <c r="R12" s="81">
        <v>1</v>
      </c>
      <c r="S12" s="157">
        <v>0.41666666662786156</v>
      </c>
      <c r="T12" s="58"/>
      <c r="U12" s="83">
        <v>3</v>
      </c>
      <c r="V12" s="84">
        <v>3.91</v>
      </c>
      <c r="W12" s="58"/>
      <c r="X12" s="85">
        <f t="shared" si="1"/>
        <v>4</v>
      </c>
      <c r="Y12" s="163">
        <f t="shared" si="2"/>
        <v>4.3266666666278617</v>
      </c>
      <c r="Z12" s="43"/>
      <c r="AA12" s="86" t="s">
        <v>73</v>
      </c>
      <c r="AB12" s="87">
        <f>X10</f>
        <v>105</v>
      </c>
      <c r="AC12" s="161">
        <f>Y10</f>
        <v>199.31472222228069</v>
      </c>
    </row>
    <row r="13" spans="1:29" x14ac:dyDescent="0.2">
      <c r="M13" s="72" t="s">
        <v>25</v>
      </c>
      <c r="N13" s="72" t="s">
        <v>26</v>
      </c>
      <c r="O13" s="72" t="s">
        <v>38</v>
      </c>
      <c r="P13" s="72" t="s">
        <v>51</v>
      </c>
      <c r="Q13" s="80" t="str">
        <f t="shared" si="0"/>
        <v>Crane Boom (Boom Winch)</v>
      </c>
      <c r="R13" s="81">
        <v>7</v>
      </c>
      <c r="S13" s="157">
        <v>10.387222222227138</v>
      </c>
      <c r="T13" s="58"/>
      <c r="U13" s="83">
        <v>42</v>
      </c>
      <c r="V13" s="84">
        <v>112.14999999999999</v>
      </c>
      <c r="W13" s="58"/>
      <c r="X13" s="85">
        <f t="shared" si="1"/>
        <v>49</v>
      </c>
      <c r="Y13" s="163">
        <f t="shared" si="2"/>
        <v>122.53722222222713</v>
      </c>
      <c r="Z13" s="43"/>
    </row>
    <row r="14" spans="1:29" x14ac:dyDescent="0.2">
      <c r="M14" s="72" t="s">
        <v>25</v>
      </c>
      <c r="N14" s="72" t="s">
        <v>26</v>
      </c>
      <c r="O14" s="72" t="s">
        <v>38</v>
      </c>
      <c r="P14" s="72" t="s">
        <v>52</v>
      </c>
      <c r="Q14" s="80" t="str">
        <f t="shared" si="0"/>
        <v>Crane Boom (Boom Wires)</v>
      </c>
      <c r="R14" s="81">
        <v>0</v>
      </c>
      <c r="S14" s="157">
        <v>0</v>
      </c>
      <c r="T14" s="58"/>
      <c r="U14" s="83">
        <v>2</v>
      </c>
      <c r="V14" s="84">
        <v>3</v>
      </c>
      <c r="W14" s="58"/>
      <c r="X14" s="85">
        <f t="shared" si="1"/>
        <v>2</v>
      </c>
      <c r="Y14" s="163">
        <f t="shared" si="2"/>
        <v>3</v>
      </c>
      <c r="Z14" s="43"/>
    </row>
    <row r="15" spans="1:29" x14ac:dyDescent="0.2">
      <c r="M15" s="88" t="s">
        <v>25</v>
      </c>
      <c r="N15" s="88" t="s">
        <v>26</v>
      </c>
      <c r="O15" s="88" t="s">
        <v>38</v>
      </c>
      <c r="P15" s="88" t="s">
        <v>53</v>
      </c>
      <c r="Q15" s="89" t="str">
        <f t="shared" si="0"/>
        <v>Crane Boom (Penant Wire)</v>
      </c>
      <c r="R15" s="90">
        <v>0</v>
      </c>
      <c r="S15" s="158">
        <v>0</v>
      </c>
      <c r="T15" s="61"/>
      <c r="U15" s="92">
        <v>0</v>
      </c>
      <c r="V15" s="118">
        <v>0</v>
      </c>
      <c r="W15" s="61"/>
      <c r="X15" s="119">
        <f t="shared" si="1"/>
        <v>0</v>
      </c>
      <c r="Y15" s="164">
        <f t="shared" si="2"/>
        <v>0</v>
      </c>
      <c r="Z15" s="43"/>
      <c r="AA15" s="86" t="s">
        <v>74</v>
      </c>
      <c r="AB15" s="87">
        <f t="shared" ref="AB15:AC19" si="4">X11</f>
        <v>0</v>
      </c>
      <c r="AC15" s="161">
        <f t="shared" si="4"/>
        <v>0</v>
      </c>
    </row>
    <row r="16" spans="1:29" x14ac:dyDescent="0.2">
      <c r="M16" s="72" t="s">
        <v>25</v>
      </c>
      <c r="N16" s="72" t="s">
        <v>26</v>
      </c>
      <c r="O16" s="72" t="s">
        <v>39</v>
      </c>
      <c r="P16" s="72" t="s">
        <v>169</v>
      </c>
      <c r="Q16" s="80" t="str">
        <f t="shared" si="0"/>
        <v>Crane Swing (Drive (motor, gear box, etc.))</v>
      </c>
      <c r="R16" s="81">
        <v>33</v>
      </c>
      <c r="S16" s="157">
        <v>301.11722222075332</v>
      </c>
      <c r="T16" s="58"/>
      <c r="U16" s="83">
        <v>29</v>
      </c>
      <c r="V16" s="84">
        <v>63.569999999999993</v>
      </c>
      <c r="W16" s="58"/>
      <c r="X16" s="85">
        <f t="shared" si="1"/>
        <v>62</v>
      </c>
      <c r="Y16" s="163">
        <f t="shared" si="2"/>
        <v>364.68722222075331</v>
      </c>
      <c r="Z16" s="43"/>
      <c r="AA16" s="86" t="s">
        <v>75</v>
      </c>
      <c r="AB16" s="87">
        <f t="shared" si="4"/>
        <v>4</v>
      </c>
      <c r="AC16" s="161">
        <f t="shared" si="4"/>
        <v>4.3266666666278617</v>
      </c>
    </row>
    <row r="17" spans="2:29" x14ac:dyDescent="0.2">
      <c r="M17" s="88" t="s">
        <v>25</v>
      </c>
      <c r="N17" s="88" t="s">
        <v>26</v>
      </c>
      <c r="O17" s="88" t="s">
        <v>39</v>
      </c>
      <c r="P17" s="88" t="s">
        <v>170</v>
      </c>
      <c r="Q17" s="89" t="str">
        <f t="shared" si="0"/>
        <v>Crane Swing (Swing Circle (rollers, etc.))</v>
      </c>
      <c r="R17" s="90">
        <v>13</v>
      </c>
      <c r="S17" s="158">
        <v>71.859444444417022</v>
      </c>
      <c r="T17" s="61"/>
      <c r="U17" s="92">
        <v>25</v>
      </c>
      <c r="V17" s="118">
        <v>29.290000000000003</v>
      </c>
      <c r="W17" s="61"/>
      <c r="X17" s="119">
        <f t="shared" si="1"/>
        <v>38</v>
      </c>
      <c r="Y17" s="164">
        <f t="shared" si="2"/>
        <v>101.14944444441703</v>
      </c>
      <c r="Z17" s="43"/>
      <c r="AA17" s="86" t="s">
        <v>76</v>
      </c>
      <c r="AB17" s="87">
        <f t="shared" si="4"/>
        <v>49</v>
      </c>
      <c r="AC17" s="161">
        <f t="shared" si="4"/>
        <v>122.53722222222713</v>
      </c>
    </row>
    <row r="18" spans="2:29" x14ac:dyDescent="0.2">
      <c r="M18" s="72" t="s">
        <v>25</v>
      </c>
      <c r="N18" s="72" t="s">
        <v>26</v>
      </c>
      <c r="O18" s="72" t="s">
        <v>40</v>
      </c>
      <c r="P18" s="72" t="s">
        <v>24</v>
      </c>
      <c r="Q18" s="80" t="str">
        <f t="shared" si="0"/>
        <v>Deck Winch (Fairleads)</v>
      </c>
      <c r="R18" s="81">
        <v>1</v>
      </c>
      <c r="S18" s="157">
        <v>3.1838888889178634</v>
      </c>
      <c r="T18" s="58"/>
      <c r="U18" s="83">
        <v>3</v>
      </c>
      <c r="V18" s="84">
        <v>7.01</v>
      </c>
      <c r="W18" s="58"/>
      <c r="X18" s="85">
        <f t="shared" si="1"/>
        <v>4</v>
      </c>
      <c r="Y18" s="163">
        <f t="shared" si="2"/>
        <v>10.193888888917863</v>
      </c>
      <c r="Z18" s="43"/>
      <c r="AA18" s="86" t="s">
        <v>77</v>
      </c>
      <c r="AB18" s="87">
        <f t="shared" si="4"/>
        <v>2</v>
      </c>
      <c r="AC18" s="161">
        <f t="shared" si="4"/>
        <v>3</v>
      </c>
    </row>
    <row r="19" spans="2:29" x14ac:dyDescent="0.2">
      <c r="M19" s="88" t="s">
        <v>25</v>
      </c>
      <c r="N19" s="88" t="s">
        <v>26</v>
      </c>
      <c r="O19" s="88" t="s">
        <v>40</v>
      </c>
      <c r="P19" s="88" t="s">
        <v>50</v>
      </c>
      <c r="Q19" s="89" t="str">
        <f t="shared" si="0"/>
        <v>Deck Winch (Winch)</v>
      </c>
      <c r="R19" s="90">
        <v>1</v>
      </c>
      <c r="S19" s="158">
        <v>2.3499999999767169</v>
      </c>
      <c r="T19" s="61"/>
      <c r="U19" s="92">
        <v>27</v>
      </c>
      <c r="V19" s="118">
        <v>19.62</v>
      </c>
      <c r="W19" s="61"/>
      <c r="X19" s="119">
        <f t="shared" si="1"/>
        <v>28</v>
      </c>
      <c r="Y19" s="164">
        <f t="shared" si="2"/>
        <v>21.969999999976718</v>
      </c>
      <c r="Z19" s="43"/>
      <c r="AA19" s="86" t="s">
        <v>78</v>
      </c>
      <c r="AB19" s="87">
        <f t="shared" si="4"/>
        <v>0</v>
      </c>
      <c r="AC19" s="161">
        <f t="shared" si="4"/>
        <v>0</v>
      </c>
    </row>
    <row r="20" spans="2:29" x14ac:dyDescent="0.2">
      <c r="M20" s="72" t="s">
        <v>25</v>
      </c>
      <c r="N20" s="72" t="s">
        <v>26</v>
      </c>
      <c r="O20" s="72" t="s">
        <v>167</v>
      </c>
      <c r="P20" s="72" t="s">
        <v>54</v>
      </c>
      <c r="Q20" s="80" t="str">
        <f t="shared" si="0"/>
        <v>Electrical/Electronics (MCC / Switch Gear)</v>
      </c>
      <c r="R20" s="81">
        <v>4</v>
      </c>
      <c r="S20" s="157">
        <v>4.1455555556458421</v>
      </c>
      <c r="T20" s="58"/>
      <c r="U20" s="83">
        <v>30</v>
      </c>
      <c r="V20" s="84">
        <v>26.54</v>
      </c>
      <c r="W20" s="58"/>
      <c r="X20" s="85">
        <f t="shared" si="1"/>
        <v>34</v>
      </c>
      <c r="Y20" s="163">
        <f t="shared" si="2"/>
        <v>30.685555555645841</v>
      </c>
      <c r="Z20" s="43"/>
    </row>
    <row r="21" spans="2:29" x14ac:dyDescent="0.2">
      <c r="M21" s="72" t="s">
        <v>25</v>
      </c>
      <c r="N21" s="72" t="s">
        <v>26</v>
      </c>
      <c r="O21" s="72" t="s">
        <v>167</v>
      </c>
      <c r="P21" s="72" t="s">
        <v>112</v>
      </c>
      <c r="Q21" s="80" t="str">
        <f t="shared" si="0"/>
        <v>Electrical/Electronics (Navigation Lights)</v>
      </c>
      <c r="R21" s="81">
        <v>0</v>
      </c>
      <c r="S21" s="157">
        <v>0</v>
      </c>
      <c r="T21" s="58"/>
      <c r="U21" s="83">
        <v>0</v>
      </c>
      <c r="V21" s="84">
        <v>0</v>
      </c>
      <c r="W21" s="58"/>
      <c r="X21" s="85">
        <f t="shared" si="1"/>
        <v>0</v>
      </c>
      <c r="Y21" s="163">
        <f t="shared" si="2"/>
        <v>0</v>
      </c>
      <c r="Z21" s="43"/>
    </row>
    <row r="22" spans="2:29" x14ac:dyDescent="0.2">
      <c r="M22" s="72" t="s">
        <v>25</v>
      </c>
      <c r="N22" s="72" t="s">
        <v>26</v>
      </c>
      <c r="O22" s="72" t="s">
        <v>167</v>
      </c>
      <c r="P22" s="72" t="s">
        <v>55</v>
      </c>
      <c r="Q22" s="80" t="str">
        <f t="shared" si="0"/>
        <v>Electrical/Electronics (PLC)</v>
      </c>
      <c r="R22" s="81">
        <v>7</v>
      </c>
      <c r="S22" s="157">
        <v>5.2652777776820585</v>
      </c>
      <c r="T22" s="58"/>
      <c r="U22" s="83">
        <v>23</v>
      </c>
      <c r="V22" s="84">
        <v>40.36</v>
      </c>
      <c r="W22" s="58"/>
      <c r="X22" s="85">
        <f t="shared" si="1"/>
        <v>30</v>
      </c>
      <c r="Y22" s="163">
        <f t="shared" si="2"/>
        <v>45.625277777682058</v>
      </c>
      <c r="Z22" s="43"/>
      <c r="AA22" s="86" t="s">
        <v>126</v>
      </c>
      <c r="AB22" s="87">
        <f>X16</f>
        <v>62</v>
      </c>
      <c r="AC22" s="161">
        <f>Y16</f>
        <v>364.68722222075331</v>
      </c>
    </row>
    <row r="23" spans="2:29" x14ac:dyDescent="0.2">
      <c r="B23" s="11" t="s">
        <v>11</v>
      </c>
      <c r="M23" s="88" t="s">
        <v>25</v>
      </c>
      <c r="N23" s="88" t="s">
        <v>26</v>
      </c>
      <c r="O23" s="88" t="s">
        <v>167</v>
      </c>
      <c r="P23" s="88" t="s">
        <v>56</v>
      </c>
      <c r="Q23" s="89" t="str">
        <f t="shared" si="0"/>
        <v>Electrical/Electronics (Transformers)</v>
      </c>
      <c r="R23" s="90">
        <v>0</v>
      </c>
      <c r="S23" s="158">
        <v>0</v>
      </c>
      <c r="T23" s="61"/>
      <c r="U23" s="92">
        <v>8</v>
      </c>
      <c r="V23" s="118">
        <v>34.58</v>
      </c>
      <c r="W23" s="61"/>
      <c r="X23" s="119">
        <f t="shared" si="1"/>
        <v>8</v>
      </c>
      <c r="Y23" s="164">
        <f t="shared" si="2"/>
        <v>34.58</v>
      </c>
      <c r="Z23" s="43"/>
      <c r="AA23" s="86" t="s">
        <v>127</v>
      </c>
      <c r="AB23" s="87">
        <f>X17</f>
        <v>38</v>
      </c>
      <c r="AC23" s="161">
        <f>Y17</f>
        <v>101.14944444441703</v>
      </c>
    </row>
    <row r="24" spans="2:29" x14ac:dyDescent="0.2">
      <c r="M24" s="72" t="s">
        <v>25</v>
      </c>
      <c r="N24" s="72" t="s">
        <v>26</v>
      </c>
      <c r="O24" s="72" t="s">
        <v>42</v>
      </c>
      <c r="P24" s="72" t="s">
        <v>172</v>
      </c>
      <c r="Q24" s="80" t="str">
        <f t="shared" si="0"/>
        <v>Hull (Deck Fittings (cleats, timbers, etc.))</v>
      </c>
      <c r="R24" s="81">
        <v>0</v>
      </c>
      <c r="S24" s="157">
        <v>0</v>
      </c>
      <c r="T24" s="58"/>
      <c r="U24" s="83">
        <v>0</v>
      </c>
      <c r="V24" s="84">
        <v>0</v>
      </c>
      <c r="W24" s="58"/>
      <c r="X24" s="85">
        <f t="shared" si="1"/>
        <v>0</v>
      </c>
      <c r="Y24" s="163">
        <f t="shared" si="2"/>
        <v>0</v>
      </c>
      <c r="Z24" s="43"/>
    </row>
    <row r="25" spans="2:29" x14ac:dyDescent="0.2">
      <c r="M25" s="88" t="s">
        <v>25</v>
      </c>
      <c r="N25" s="88" t="s">
        <v>26</v>
      </c>
      <c r="O25" s="88" t="s">
        <v>42</v>
      </c>
      <c r="P25" s="88" t="s">
        <v>57</v>
      </c>
      <c r="Q25" s="89" t="str">
        <f t="shared" si="0"/>
        <v>Hull (Hull / House Repair)</v>
      </c>
      <c r="R25" s="90">
        <v>0</v>
      </c>
      <c r="S25" s="158">
        <v>0</v>
      </c>
      <c r="T25" s="61"/>
      <c r="U25" s="92">
        <v>0</v>
      </c>
      <c r="V25" s="118">
        <v>0</v>
      </c>
      <c r="W25" s="61"/>
      <c r="X25" s="119">
        <f t="shared" si="1"/>
        <v>0</v>
      </c>
      <c r="Y25" s="164">
        <f t="shared" si="2"/>
        <v>0</v>
      </c>
      <c r="Z25" s="43"/>
    </row>
    <row r="26" spans="2:29" x14ac:dyDescent="0.2">
      <c r="M26" s="72" t="s">
        <v>25</v>
      </c>
      <c r="N26" s="72" t="s">
        <v>26</v>
      </c>
      <c r="O26" s="72" t="s">
        <v>165</v>
      </c>
      <c r="P26" s="72" t="s">
        <v>21</v>
      </c>
      <c r="Q26" s="80" t="str">
        <f t="shared" si="0"/>
        <v>Main / Aux. Generators (Auxiliary Generator)</v>
      </c>
      <c r="R26" s="81">
        <v>0</v>
      </c>
      <c r="S26" s="157">
        <v>0</v>
      </c>
      <c r="T26" s="58"/>
      <c r="U26" s="83">
        <v>0</v>
      </c>
      <c r="V26" s="84">
        <v>0</v>
      </c>
      <c r="W26" s="58"/>
      <c r="X26" s="85">
        <f t="shared" si="1"/>
        <v>0</v>
      </c>
      <c r="Y26" s="163">
        <f t="shared" si="2"/>
        <v>0</v>
      </c>
      <c r="Z26" s="43"/>
      <c r="AA26" s="86" t="s">
        <v>79</v>
      </c>
      <c r="AB26" s="87">
        <f>X18</f>
        <v>4</v>
      </c>
      <c r="AC26" s="161">
        <f>Y18</f>
        <v>10.193888888917863</v>
      </c>
    </row>
    <row r="27" spans="2:29" x14ac:dyDescent="0.2">
      <c r="M27" s="72" t="s">
        <v>25</v>
      </c>
      <c r="N27" s="72" t="s">
        <v>26</v>
      </c>
      <c r="O27" s="72" t="s">
        <v>165</v>
      </c>
      <c r="P27" s="72" t="s">
        <v>22</v>
      </c>
      <c r="Q27" s="80" t="str">
        <f t="shared" si="0"/>
        <v>Main / Aux. Generators (Main Generator)</v>
      </c>
      <c r="R27" s="81">
        <v>2</v>
      </c>
      <c r="S27" s="157">
        <v>27.137777777854353</v>
      </c>
      <c r="T27" s="58"/>
      <c r="U27" s="83">
        <v>63</v>
      </c>
      <c r="V27" s="84">
        <v>169.39999999999998</v>
      </c>
      <c r="W27" s="58"/>
      <c r="X27" s="85">
        <f t="shared" si="1"/>
        <v>65</v>
      </c>
      <c r="Y27" s="163">
        <f t="shared" si="2"/>
        <v>196.53777777785433</v>
      </c>
      <c r="Z27" s="43"/>
      <c r="AA27" s="86" t="s">
        <v>80</v>
      </c>
      <c r="AB27" s="87">
        <f>X19</f>
        <v>28</v>
      </c>
      <c r="AC27" s="161">
        <f>Y19</f>
        <v>21.969999999976718</v>
      </c>
    </row>
    <row r="28" spans="2:29" ht="15.75" x14ac:dyDescent="0.25">
      <c r="B28" s="28" t="str">
        <f ca="1">"The first "&amp;COUNT(H33:H62)&amp;" "&amp;C32&amp;" cover "&amp;TEXT(OFFSET(E32,COUNT(H33:H62),0,1,1),"0.??%")&amp;" of the Total "&amp;D32</f>
        <v>The first 13 Causes cover 80.16% of the Total Count</v>
      </c>
      <c r="C28" s="7"/>
      <c r="M28" s="88" t="s">
        <v>25</v>
      </c>
      <c r="N28" s="88" t="s">
        <v>26</v>
      </c>
      <c r="O28" s="88" t="s">
        <v>165</v>
      </c>
      <c r="P28" s="88" t="s">
        <v>23</v>
      </c>
      <c r="Q28" s="89" t="str">
        <f t="shared" si="0"/>
        <v>Main / Aux. Generators (Main Generator Engine)</v>
      </c>
      <c r="R28" s="90">
        <v>0</v>
      </c>
      <c r="S28" s="158">
        <v>0</v>
      </c>
      <c r="T28" s="61"/>
      <c r="U28" s="92">
        <v>112</v>
      </c>
      <c r="V28" s="118">
        <v>114.47999999999999</v>
      </c>
      <c r="W28" s="61"/>
      <c r="X28" s="119">
        <f t="shared" si="1"/>
        <v>112</v>
      </c>
      <c r="Y28" s="164">
        <f t="shared" si="2"/>
        <v>114.47999999999999</v>
      </c>
      <c r="Z28" s="43"/>
    </row>
    <row r="29" spans="2:29" x14ac:dyDescent="0.2">
      <c r="M29" s="72" t="s">
        <v>25</v>
      </c>
      <c r="N29" s="72" t="s">
        <v>26</v>
      </c>
      <c r="O29" s="72" t="s">
        <v>44</v>
      </c>
      <c r="P29" s="72" t="s">
        <v>58</v>
      </c>
      <c r="Q29" s="80" t="str">
        <f t="shared" si="0"/>
        <v>Main Hoist (Closer)</v>
      </c>
      <c r="R29" s="81">
        <v>30</v>
      </c>
      <c r="S29" s="157">
        <v>5.4938888887991197</v>
      </c>
      <c r="T29" s="58"/>
      <c r="U29" s="83">
        <v>35</v>
      </c>
      <c r="V29" s="84">
        <v>28.299999999999997</v>
      </c>
      <c r="W29" s="58"/>
      <c r="X29" s="85">
        <f t="shared" si="1"/>
        <v>65</v>
      </c>
      <c r="Y29" s="163">
        <f t="shared" si="2"/>
        <v>33.793888888799117</v>
      </c>
      <c r="Z29" s="43"/>
    </row>
    <row r="30" spans="2:29" x14ac:dyDescent="0.2">
      <c r="M30" s="72" t="s">
        <v>25</v>
      </c>
      <c r="N30" s="72" t="s">
        <v>26</v>
      </c>
      <c r="O30" s="72" t="s">
        <v>44</v>
      </c>
      <c r="P30" s="72" t="s">
        <v>59</v>
      </c>
      <c r="Q30" s="80" t="str">
        <f t="shared" si="0"/>
        <v>Main Hoist (Closer Wire)</v>
      </c>
      <c r="R30" s="81">
        <v>3</v>
      </c>
      <c r="S30" s="157">
        <v>1.5302777780452743</v>
      </c>
      <c r="T30" s="58"/>
      <c r="U30" s="83">
        <v>44</v>
      </c>
      <c r="V30" s="84">
        <v>115.03</v>
      </c>
      <c r="W30" s="58"/>
      <c r="X30" s="85">
        <f t="shared" si="1"/>
        <v>47</v>
      </c>
      <c r="Y30" s="163">
        <f t="shared" si="2"/>
        <v>116.56027777804528</v>
      </c>
      <c r="Z30" s="43"/>
      <c r="AA30" s="86" t="s">
        <v>81</v>
      </c>
      <c r="AB30" s="87">
        <f t="shared" ref="AB30:AC33" si="5">X20</f>
        <v>34</v>
      </c>
      <c r="AC30" s="161">
        <f t="shared" si="5"/>
        <v>30.685555555645841</v>
      </c>
    </row>
    <row r="31" spans="2:29" x14ac:dyDescent="0.2">
      <c r="D31" s="12" t="s">
        <v>9</v>
      </c>
      <c r="E31" s="29">
        <v>0.8</v>
      </c>
      <c r="M31" s="72" t="s">
        <v>25</v>
      </c>
      <c r="N31" s="72" t="s">
        <v>26</v>
      </c>
      <c r="O31" s="72" t="s">
        <v>44</v>
      </c>
      <c r="P31" s="72" t="s">
        <v>60</v>
      </c>
      <c r="Q31" s="80" t="str">
        <f t="shared" si="0"/>
        <v>Main Hoist (Holder)</v>
      </c>
      <c r="R31" s="81">
        <v>3</v>
      </c>
      <c r="S31" s="157">
        <v>11.482499999867287</v>
      </c>
      <c r="T31" s="58"/>
      <c r="U31" s="83">
        <v>62</v>
      </c>
      <c r="V31" s="84">
        <v>350.64</v>
      </c>
      <c r="W31" s="58"/>
      <c r="X31" s="85">
        <f t="shared" si="1"/>
        <v>65</v>
      </c>
      <c r="Y31" s="163">
        <f t="shared" si="2"/>
        <v>362.12249999986727</v>
      </c>
      <c r="Z31" s="43"/>
      <c r="AA31" s="86" t="s">
        <v>128</v>
      </c>
      <c r="AB31" s="87">
        <f t="shared" si="5"/>
        <v>0</v>
      </c>
      <c r="AC31" s="161">
        <f t="shared" si="5"/>
        <v>0</v>
      </c>
    </row>
    <row r="32" spans="2:29" ht="15.75" x14ac:dyDescent="0.25">
      <c r="B32" s="24" t="s">
        <v>3</v>
      </c>
      <c r="C32" s="25" t="s">
        <v>5</v>
      </c>
      <c r="D32" s="26" t="s">
        <v>14</v>
      </c>
      <c r="E32" s="24" t="s">
        <v>4</v>
      </c>
      <c r="F32" s="24" t="s">
        <v>31</v>
      </c>
      <c r="G32" s="24" t="s">
        <v>13</v>
      </c>
      <c r="H32" s="13" t="s">
        <v>6</v>
      </c>
      <c r="I32" s="13" t="s">
        <v>7</v>
      </c>
      <c r="J32" s="13" t="s">
        <v>10</v>
      </c>
      <c r="K32" s="13"/>
      <c r="M32" s="88" t="s">
        <v>25</v>
      </c>
      <c r="N32" s="88" t="s">
        <v>26</v>
      </c>
      <c r="O32" s="88" t="s">
        <v>44</v>
      </c>
      <c r="P32" s="88" t="s">
        <v>61</v>
      </c>
      <c r="Q32" s="89" t="str">
        <f t="shared" si="0"/>
        <v>Main Hoist (Holder Wire)</v>
      </c>
      <c r="R32" s="90">
        <v>3</v>
      </c>
      <c r="S32" s="158">
        <v>4.8191666667116806</v>
      </c>
      <c r="T32" s="61"/>
      <c r="U32" s="92">
        <v>22</v>
      </c>
      <c r="V32" s="118">
        <v>41.53</v>
      </c>
      <c r="W32" s="61"/>
      <c r="X32" s="119">
        <f t="shared" si="1"/>
        <v>25</v>
      </c>
      <c r="Y32" s="164">
        <f t="shared" si="2"/>
        <v>46.349166666711682</v>
      </c>
      <c r="Z32" s="43"/>
      <c r="AA32" s="86" t="s">
        <v>82</v>
      </c>
      <c r="AB32" s="87">
        <f t="shared" si="5"/>
        <v>30</v>
      </c>
      <c r="AC32" s="161">
        <f t="shared" si="5"/>
        <v>45.625277777682058</v>
      </c>
    </row>
    <row r="33" spans="2:29" x14ac:dyDescent="0.2">
      <c r="B33" s="14">
        <f t="shared" ref="B33:B62" si="6">ROW(B33)-ROW($B$32)</f>
        <v>1</v>
      </c>
      <c r="C33" s="214" t="s">
        <v>176</v>
      </c>
      <c r="D33" s="215">
        <v>112</v>
      </c>
      <c r="E33" s="15">
        <f>SUM(D33:D$33)/SUM($D$33:$D$62)</f>
        <v>0.11510791366906475</v>
      </c>
      <c r="F33" s="40">
        <f>E33</f>
        <v>0.11510791366906475</v>
      </c>
      <c r="G33" s="201">
        <v>114.47999999999999</v>
      </c>
      <c r="H33" s="16">
        <f t="shared" ref="H33:H56" ca="1" si="7">IF(OR(B33=1,OFFSET($E$32,B33-1,0,1,1)&lt;=$E$31),OFFSET($D$32,B33,0,1,1),"")</f>
        <v>112</v>
      </c>
      <c r="I33" s="17" t="str">
        <f t="shared" ref="I33:I56" ca="1" si="8">IF(H33="",OFFSET($D$32,B33,0,1,1),"")</f>
        <v/>
      </c>
      <c r="J33" s="18">
        <f t="shared" ref="J33:J62" si="9">$E$31</f>
        <v>0.8</v>
      </c>
      <c r="K33" s="95"/>
      <c r="M33" s="72" t="s">
        <v>25</v>
      </c>
      <c r="N33" s="72" t="s">
        <v>26</v>
      </c>
      <c r="O33" s="72" t="s">
        <v>45</v>
      </c>
      <c r="P33" s="72" t="s">
        <v>62</v>
      </c>
      <c r="Q33" s="80" t="str">
        <f t="shared" si="0"/>
        <v>Spud System (Spud Sheaves)</v>
      </c>
      <c r="R33" s="81">
        <v>0</v>
      </c>
      <c r="S33" s="157">
        <v>0</v>
      </c>
      <c r="T33" s="58"/>
      <c r="U33" s="83">
        <v>1</v>
      </c>
      <c r="V33" s="84">
        <v>0.25</v>
      </c>
      <c r="W33" s="58"/>
      <c r="X33" s="85">
        <f t="shared" si="1"/>
        <v>1</v>
      </c>
      <c r="Y33" s="163">
        <f t="shared" si="2"/>
        <v>0.25</v>
      </c>
      <c r="Z33" s="43"/>
      <c r="AA33" s="86" t="s">
        <v>83</v>
      </c>
      <c r="AB33" s="87">
        <f t="shared" si="5"/>
        <v>8</v>
      </c>
      <c r="AC33" s="161">
        <f t="shared" si="5"/>
        <v>34.58</v>
      </c>
    </row>
    <row r="34" spans="2:29" x14ac:dyDescent="0.2">
      <c r="B34" s="14">
        <v>2</v>
      </c>
      <c r="C34" s="214" t="s">
        <v>175</v>
      </c>
      <c r="D34" s="215">
        <v>105</v>
      </c>
      <c r="E34" s="15">
        <f>SUM(D$33:D34)/SUM($D$33:$D$62)</f>
        <v>0.22302158273381295</v>
      </c>
      <c r="F34" s="40">
        <f>E34-E33</f>
        <v>0.1079136690647482</v>
      </c>
      <c r="G34" s="201">
        <v>199.31472222228069</v>
      </c>
      <c r="H34" s="16">
        <f t="shared" ca="1" si="7"/>
        <v>105</v>
      </c>
      <c r="I34" s="17" t="str">
        <f t="shared" ca="1" si="8"/>
        <v/>
      </c>
      <c r="J34" s="18">
        <f t="shared" si="9"/>
        <v>0.8</v>
      </c>
      <c r="K34" s="95"/>
      <c r="M34" s="72" t="s">
        <v>25</v>
      </c>
      <c r="N34" s="72" t="s">
        <v>26</v>
      </c>
      <c r="O34" s="72" t="s">
        <v>45</v>
      </c>
      <c r="P34" s="72" t="s">
        <v>63</v>
      </c>
      <c r="Q34" s="80" t="str">
        <f t="shared" si="0"/>
        <v>Spud System (Spud Structure)</v>
      </c>
      <c r="R34" s="81">
        <v>1</v>
      </c>
      <c r="S34" s="157">
        <v>1.2666666666045785</v>
      </c>
      <c r="T34" s="58"/>
      <c r="U34" s="83">
        <v>8</v>
      </c>
      <c r="V34" s="84">
        <v>80.92</v>
      </c>
      <c r="W34" s="58"/>
      <c r="X34" s="85">
        <f t="shared" si="1"/>
        <v>9</v>
      </c>
      <c r="Y34" s="163">
        <f t="shared" si="2"/>
        <v>82.18666666660458</v>
      </c>
      <c r="Z34" s="43"/>
    </row>
    <row r="35" spans="2:29" x14ac:dyDescent="0.2">
      <c r="B35" s="14">
        <v>3</v>
      </c>
      <c r="C35" s="214" t="s">
        <v>90</v>
      </c>
      <c r="D35" s="215">
        <v>65</v>
      </c>
      <c r="E35" s="15">
        <f>SUM(D$33:D35)/SUM($D$33:$D$62)</f>
        <v>0.28982528263103802</v>
      </c>
      <c r="F35" s="40">
        <f t="shared" ref="F35:F62" si="10">E35-E34</f>
        <v>6.6803699897225066E-2</v>
      </c>
      <c r="G35" s="201">
        <v>362.12249999986727</v>
      </c>
      <c r="H35" s="16">
        <f t="shared" ca="1" si="7"/>
        <v>65</v>
      </c>
      <c r="I35" s="17" t="str">
        <f t="shared" ca="1" si="8"/>
        <v/>
      </c>
      <c r="J35" s="18">
        <f t="shared" si="9"/>
        <v>0.8</v>
      </c>
      <c r="K35" s="95"/>
      <c r="M35" s="72" t="s">
        <v>25</v>
      </c>
      <c r="N35" s="72" t="s">
        <v>26</v>
      </c>
      <c r="O35" s="72" t="s">
        <v>45</v>
      </c>
      <c r="P35" s="72" t="s">
        <v>64</v>
      </c>
      <c r="Q35" s="80" t="str">
        <f t="shared" si="0"/>
        <v>Spud System (Spud Winch)</v>
      </c>
      <c r="R35" s="81">
        <v>0</v>
      </c>
      <c r="S35" s="157">
        <v>0</v>
      </c>
      <c r="T35" s="58"/>
      <c r="U35" s="83">
        <v>31</v>
      </c>
      <c r="V35" s="84">
        <v>55.15</v>
      </c>
      <c r="W35" s="58"/>
      <c r="X35" s="85">
        <f t="shared" si="1"/>
        <v>31</v>
      </c>
      <c r="Y35" s="163">
        <f t="shared" si="2"/>
        <v>55.15</v>
      </c>
      <c r="Z35" s="43"/>
    </row>
    <row r="36" spans="2:29" x14ac:dyDescent="0.2">
      <c r="B36" s="14">
        <v>4</v>
      </c>
      <c r="C36" s="214" t="s">
        <v>88</v>
      </c>
      <c r="D36" s="215">
        <v>65</v>
      </c>
      <c r="E36" s="15">
        <f>SUM(D$33:D36)/SUM($D$33:$D$62)</f>
        <v>0.35662898252826308</v>
      </c>
      <c r="F36" s="40">
        <f t="shared" si="10"/>
        <v>6.6803699897225066E-2</v>
      </c>
      <c r="G36" s="213">
        <v>33.793888888799117</v>
      </c>
      <c r="H36" s="16">
        <f t="shared" ca="1" si="7"/>
        <v>65</v>
      </c>
      <c r="I36" s="17" t="str">
        <f t="shared" ca="1" si="8"/>
        <v/>
      </c>
      <c r="J36" s="18">
        <f t="shared" si="9"/>
        <v>0.8</v>
      </c>
      <c r="K36" s="95"/>
      <c r="M36" s="72" t="s">
        <v>25</v>
      </c>
      <c r="N36" s="72" t="s">
        <v>26</v>
      </c>
      <c r="O36" s="72" t="s">
        <v>45</v>
      </c>
      <c r="P36" s="72" t="s">
        <v>65</v>
      </c>
      <c r="Q36" s="80" t="str">
        <f t="shared" si="0"/>
        <v>Spud System (Spud Wires)</v>
      </c>
      <c r="R36" s="81">
        <v>2</v>
      </c>
      <c r="S36" s="157">
        <v>1.2427777777193114</v>
      </c>
      <c r="T36" s="58"/>
      <c r="U36" s="83">
        <v>9</v>
      </c>
      <c r="V36" s="84">
        <v>70.600000000000009</v>
      </c>
      <c r="W36" s="58"/>
      <c r="X36" s="85">
        <f t="shared" si="1"/>
        <v>11</v>
      </c>
      <c r="Y36" s="163">
        <f t="shared" si="2"/>
        <v>71.84277777771932</v>
      </c>
      <c r="Z36" s="43"/>
      <c r="AA36" s="86" t="s">
        <v>129</v>
      </c>
      <c r="AB36" s="87">
        <f>X24</f>
        <v>0</v>
      </c>
      <c r="AC36" s="161">
        <f>Y24</f>
        <v>0</v>
      </c>
    </row>
    <row r="37" spans="2:29" x14ac:dyDescent="0.2">
      <c r="B37" s="14">
        <v>5</v>
      </c>
      <c r="C37" s="214" t="s">
        <v>177</v>
      </c>
      <c r="D37" s="215">
        <v>65</v>
      </c>
      <c r="E37" s="15">
        <f>SUM(D$33:D37)/SUM($D$33:$D$62)</f>
        <v>0.4234326824254882</v>
      </c>
      <c r="F37" s="40">
        <f t="shared" si="10"/>
        <v>6.6803699897225122E-2</v>
      </c>
      <c r="G37" s="201">
        <v>196.53777777785433</v>
      </c>
      <c r="H37" s="16">
        <f t="shared" ca="1" si="7"/>
        <v>65</v>
      </c>
      <c r="I37" s="17" t="str">
        <f t="shared" ca="1" si="8"/>
        <v/>
      </c>
      <c r="J37" s="18">
        <f t="shared" si="9"/>
        <v>0.8</v>
      </c>
      <c r="K37" s="95"/>
      <c r="M37" s="94" t="s">
        <v>25</v>
      </c>
      <c r="N37" s="88" t="s">
        <v>26</v>
      </c>
      <c r="O37" s="88" t="s">
        <v>45</v>
      </c>
      <c r="P37" s="88" t="s">
        <v>166</v>
      </c>
      <c r="Q37" s="89" t="str">
        <f t="shared" si="0"/>
        <v>Spud System (Walking Mechanisms (Carriage / Travel))</v>
      </c>
      <c r="R37" s="90">
        <v>2</v>
      </c>
      <c r="S37" s="158">
        <v>0.81500000017695129</v>
      </c>
      <c r="T37" s="61"/>
      <c r="U37" s="92">
        <v>22</v>
      </c>
      <c r="V37" s="118">
        <v>75.419999999999987</v>
      </c>
      <c r="W37" s="61"/>
      <c r="X37" s="119">
        <f t="shared" si="1"/>
        <v>24</v>
      </c>
      <c r="Y37" s="164">
        <f t="shared" si="2"/>
        <v>76.235000000176939</v>
      </c>
      <c r="Z37" s="43"/>
      <c r="AA37" s="86" t="s">
        <v>84</v>
      </c>
      <c r="AB37" s="87">
        <f>X25</f>
        <v>0</v>
      </c>
      <c r="AC37" s="161">
        <f>Y25</f>
        <v>0</v>
      </c>
    </row>
    <row r="38" spans="2:29" x14ac:dyDescent="0.2">
      <c r="B38" s="14">
        <v>6</v>
      </c>
      <c r="C38" s="214" t="s">
        <v>173</v>
      </c>
      <c r="D38" s="215">
        <v>62</v>
      </c>
      <c r="E38" s="15">
        <f>SUM(D$33:D38)/SUM($D$33:$D$62)</f>
        <v>0.48715313463514903</v>
      </c>
      <c r="F38" s="40">
        <f t="shared" si="10"/>
        <v>6.3720452209660827E-2</v>
      </c>
      <c r="G38" s="201">
        <v>364.68722222075331</v>
      </c>
      <c r="H38" s="16">
        <f t="shared" ca="1" si="7"/>
        <v>62</v>
      </c>
      <c r="I38" s="17" t="str">
        <f t="shared" ca="1" si="8"/>
        <v/>
      </c>
      <c r="J38" s="18">
        <f t="shared" si="9"/>
        <v>0.8</v>
      </c>
      <c r="K38" s="95"/>
      <c r="M38" s="72" t="s">
        <v>25</v>
      </c>
      <c r="N38" s="72" t="s">
        <v>26</v>
      </c>
      <c r="O38" s="72" t="s">
        <v>46</v>
      </c>
      <c r="P38" s="72" t="s">
        <v>119</v>
      </c>
      <c r="Q38" s="80" t="str">
        <f t="shared" si="0"/>
        <v>Tagline (Tagline Sheaves)</v>
      </c>
      <c r="R38" s="81">
        <v>0</v>
      </c>
      <c r="S38" s="157">
        <v>0</v>
      </c>
      <c r="T38" s="58"/>
      <c r="U38" s="83">
        <v>0</v>
      </c>
      <c r="V38" s="84">
        <v>0</v>
      </c>
      <c r="W38" s="58"/>
      <c r="X38" s="85">
        <f t="shared" si="1"/>
        <v>0</v>
      </c>
      <c r="Y38" s="163">
        <f t="shared" si="2"/>
        <v>0</v>
      </c>
      <c r="Z38" s="43"/>
    </row>
    <row r="39" spans="2:29" x14ac:dyDescent="0.2">
      <c r="B39" s="14">
        <v>7</v>
      </c>
      <c r="C39" s="214" t="s">
        <v>97</v>
      </c>
      <c r="D39" s="215">
        <v>57</v>
      </c>
      <c r="E39" s="15">
        <f>SUM(D$33:D39)/SUM($D$33:$D$62)</f>
        <v>0.54573484069886946</v>
      </c>
      <c r="F39" s="40">
        <f t="shared" si="10"/>
        <v>5.8581706063720429E-2</v>
      </c>
      <c r="G39" s="201">
        <v>132.47499999981142</v>
      </c>
      <c r="H39" s="16">
        <f t="shared" ca="1" si="7"/>
        <v>57</v>
      </c>
      <c r="I39" s="17" t="str">
        <f t="shared" ca="1" si="8"/>
        <v/>
      </c>
      <c r="J39" s="18">
        <f t="shared" si="9"/>
        <v>0.8</v>
      </c>
      <c r="K39" s="95"/>
      <c r="M39" s="72" t="s">
        <v>25</v>
      </c>
      <c r="N39" s="72" t="s">
        <v>26</v>
      </c>
      <c r="O39" s="72" t="s">
        <v>46</v>
      </c>
      <c r="P39" s="72" t="s">
        <v>168</v>
      </c>
      <c r="Q39" s="80" t="str">
        <f t="shared" si="0"/>
        <v>Tagline (Tagline Winch (motor, gearbox, etc.))</v>
      </c>
      <c r="R39" s="81">
        <v>1</v>
      </c>
      <c r="S39" s="157">
        <v>1.7499999999417923</v>
      </c>
      <c r="T39" s="58"/>
      <c r="U39" s="83">
        <v>21</v>
      </c>
      <c r="V39" s="84">
        <v>26.919999999999998</v>
      </c>
      <c r="W39" s="58"/>
      <c r="X39" s="85">
        <f t="shared" si="1"/>
        <v>22</v>
      </c>
      <c r="Y39" s="163">
        <f t="shared" si="2"/>
        <v>28.66999999994179</v>
      </c>
      <c r="Z39" s="43"/>
    </row>
    <row r="40" spans="2:29" x14ac:dyDescent="0.2">
      <c r="B40" s="14">
        <v>8</v>
      </c>
      <c r="C40" s="214" t="s">
        <v>163</v>
      </c>
      <c r="D40" s="215">
        <v>50</v>
      </c>
      <c r="E40" s="15">
        <f>SUM(D$33:D40)/SUM($D$33:$D$62)</f>
        <v>0.59712230215827333</v>
      </c>
      <c r="F40" s="40">
        <f t="shared" si="10"/>
        <v>5.1387461459403871E-2</v>
      </c>
      <c r="G40" s="213">
        <v>41.579444444531106</v>
      </c>
      <c r="H40" s="16">
        <f t="shared" ca="1" si="7"/>
        <v>50</v>
      </c>
      <c r="I40" s="17" t="str">
        <f t="shared" ca="1" si="8"/>
        <v/>
      </c>
      <c r="J40" s="18">
        <f t="shared" si="9"/>
        <v>0.8</v>
      </c>
      <c r="K40" s="95"/>
      <c r="M40" s="94" t="s">
        <v>25</v>
      </c>
      <c r="N40" s="88" t="s">
        <v>26</v>
      </c>
      <c r="O40" s="88" t="s">
        <v>46</v>
      </c>
      <c r="P40" s="88" t="s">
        <v>162</v>
      </c>
      <c r="Q40" s="89" t="str">
        <f t="shared" si="0"/>
        <v>Tagline (Tagline Wire)</v>
      </c>
      <c r="R40" s="90">
        <v>5</v>
      </c>
      <c r="S40" s="158">
        <v>9.4194444445311092</v>
      </c>
      <c r="T40" s="61"/>
      <c r="U40" s="92">
        <v>45</v>
      </c>
      <c r="V40" s="118">
        <v>32.159999999999997</v>
      </c>
      <c r="W40" s="61"/>
      <c r="X40" s="119">
        <f t="shared" si="1"/>
        <v>50</v>
      </c>
      <c r="Y40" s="164">
        <f t="shared" si="2"/>
        <v>41.579444444531106</v>
      </c>
      <c r="Z40" s="43"/>
      <c r="AA40" s="86" t="s">
        <v>85</v>
      </c>
      <c r="AB40" s="87">
        <f t="shared" ref="AB40:AC42" si="11">X26</f>
        <v>0</v>
      </c>
      <c r="AC40" s="161">
        <f t="shared" si="11"/>
        <v>0</v>
      </c>
    </row>
    <row r="41" spans="2:29" x14ac:dyDescent="0.2">
      <c r="B41" s="14">
        <v>9</v>
      </c>
      <c r="C41" s="214" t="s">
        <v>76</v>
      </c>
      <c r="D41" s="215">
        <v>49</v>
      </c>
      <c r="E41" s="15">
        <f>SUM(D$33:D41)/SUM($D$33:$D$62)</f>
        <v>0.64748201438848918</v>
      </c>
      <c r="F41" s="40">
        <f t="shared" si="10"/>
        <v>5.0359712230215847E-2</v>
      </c>
      <c r="G41" s="201">
        <v>122.53722222222713</v>
      </c>
      <c r="H41" s="16">
        <f t="shared" ca="1" si="7"/>
        <v>49</v>
      </c>
      <c r="I41" s="17" t="str">
        <f t="shared" ca="1" si="8"/>
        <v/>
      </c>
      <c r="J41" s="18">
        <f t="shared" si="9"/>
        <v>0.8</v>
      </c>
      <c r="K41" s="95"/>
      <c r="M41" s="72" t="s">
        <v>25</v>
      </c>
      <c r="N41" s="72" t="s">
        <v>26</v>
      </c>
      <c r="O41" s="72" t="s">
        <v>47</v>
      </c>
      <c r="P41" s="72" t="s">
        <v>67</v>
      </c>
      <c r="Q41" s="80" t="str">
        <f t="shared" si="0"/>
        <v>Tugs and Scows (Scow Repair)</v>
      </c>
      <c r="R41" s="81">
        <v>7</v>
      </c>
      <c r="S41" s="157">
        <v>21.734999999811407</v>
      </c>
      <c r="T41" s="58"/>
      <c r="U41" s="83">
        <v>50</v>
      </c>
      <c r="V41" s="84">
        <v>110.74000000000001</v>
      </c>
      <c r="W41" s="58"/>
      <c r="X41" s="85">
        <f t="shared" si="1"/>
        <v>57</v>
      </c>
      <c r="Y41" s="163">
        <f t="shared" si="2"/>
        <v>132.47499999981142</v>
      </c>
      <c r="Z41" s="43"/>
      <c r="AA41" s="86" t="s">
        <v>86</v>
      </c>
      <c r="AB41" s="87">
        <f t="shared" si="11"/>
        <v>65</v>
      </c>
      <c r="AC41" s="161">
        <f t="shared" si="11"/>
        <v>196.53777777785433</v>
      </c>
    </row>
    <row r="42" spans="2:29" x14ac:dyDescent="0.2">
      <c r="B42" s="14">
        <v>10</v>
      </c>
      <c r="C42" s="214" t="s">
        <v>89</v>
      </c>
      <c r="D42" s="215">
        <v>47</v>
      </c>
      <c r="E42" s="15">
        <f>SUM(D$33:D42)/SUM($D$33:$D$62)</f>
        <v>0.69578622816032887</v>
      </c>
      <c r="F42" s="40">
        <f t="shared" si="10"/>
        <v>4.8304213771839688E-2</v>
      </c>
      <c r="G42" s="201">
        <v>116.56027777804528</v>
      </c>
      <c r="H42" s="16">
        <f t="shared" ca="1" si="7"/>
        <v>47</v>
      </c>
      <c r="I42" s="17" t="str">
        <f t="shared" ca="1" si="8"/>
        <v/>
      </c>
      <c r="J42" s="18">
        <f t="shared" si="9"/>
        <v>0.8</v>
      </c>
      <c r="K42" s="95"/>
      <c r="M42" s="72" t="s">
        <v>25</v>
      </c>
      <c r="N42" s="72" t="s">
        <v>26</v>
      </c>
      <c r="O42" s="72" t="s">
        <v>47</v>
      </c>
      <c r="P42" s="72" t="s">
        <v>68</v>
      </c>
      <c r="Q42" s="80" t="str">
        <f t="shared" si="0"/>
        <v>Tugs and Scows (Tug Repair)</v>
      </c>
      <c r="R42" s="81">
        <v>0</v>
      </c>
      <c r="S42" s="157">
        <v>0</v>
      </c>
      <c r="T42" s="58"/>
      <c r="U42" s="83">
        <v>7</v>
      </c>
      <c r="V42" s="84">
        <v>13.07</v>
      </c>
      <c r="W42" s="58"/>
      <c r="X42" s="85">
        <f t="shared" si="1"/>
        <v>7</v>
      </c>
      <c r="Y42" s="163">
        <f t="shared" si="2"/>
        <v>13.07</v>
      </c>
      <c r="Z42" s="43"/>
      <c r="AA42" s="86" t="s">
        <v>87</v>
      </c>
      <c r="AB42" s="87">
        <f t="shared" si="11"/>
        <v>112</v>
      </c>
      <c r="AC42" s="161">
        <f t="shared" si="11"/>
        <v>114.47999999999999</v>
      </c>
    </row>
    <row r="43" spans="2:29" x14ac:dyDescent="0.2">
      <c r="B43" s="14">
        <v>11</v>
      </c>
      <c r="C43" s="214" t="s">
        <v>182</v>
      </c>
      <c r="D43" s="215">
        <v>38</v>
      </c>
      <c r="E43" s="15">
        <f>SUM(D$33:D43)/SUM($D$33:$D$62)</f>
        <v>0.73484069886947589</v>
      </c>
      <c r="F43" s="40">
        <f t="shared" si="10"/>
        <v>3.9054470709147027E-2</v>
      </c>
      <c r="G43" s="201">
        <v>101.14944444441703</v>
      </c>
      <c r="H43" s="16">
        <f t="shared" ca="1" si="7"/>
        <v>38</v>
      </c>
      <c r="I43" s="17" t="str">
        <f t="shared" ca="1" si="8"/>
        <v/>
      </c>
      <c r="J43" s="18">
        <f t="shared" si="9"/>
        <v>0.8</v>
      </c>
      <c r="K43" s="95"/>
      <c r="M43" s="37"/>
      <c r="N43" s="37"/>
      <c r="O43" s="37"/>
      <c r="P43" s="37"/>
      <c r="Q43" s="32"/>
      <c r="R43" s="36"/>
      <c r="S43" s="36"/>
      <c r="T43" s="36"/>
      <c r="U43" s="36"/>
      <c r="V43" s="36"/>
      <c r="W43" s="36"/>
      <c r="X43" s="36"/>
      <c r="Y43" s="36"/>
      <c r="Z43" s="32"/>
    </row>
    <row r="44" spans="2:29" x14ac:dyDescent="0.2">
      <c r="B44" s="14">
        <v>12</v>
      </c>
      <c r="C44" s="214" t="s">
        <v>181</v>
      </c>
      <c r="D44" s="215">
        <v>34</v>
      </c>
      <c r="E44" s="15">
        <f>SUM(D$33:D44)/SUM($D$33:$D$62)</f>
        <v>0.76978417266187049</v>
      </c>
      <c r="F44" s="40">
        <f t="shared" si="10"/>
        <v>3.4943473792394597E-2</v>
      </c>
      <c r="G44" s="213">
        <v>30.685555555645841</v>
      </c>
      <c r="H44" s="16">
        <f t="shared" ca="1" si="7"/>
        <v>34</v>
      </c>
      <c r="I44" s="17" t="str">
        <f t="shared" ca="1" si="8"/>
        <v/>
      </c>
      <c r="J44" s="18">
        <f t="shared" si="9"/>
        <v>0.8</v>
      </c>
      <c r="K44" s="95"/>
    </row>
    <row r="45" spans="2:29" x14ac:dyDescent="0.2">
      <c r="B45" s="14">
        <v>13</v>
      </c>
      <c r="C45" s="214" t="s">
        <v>94</v>
      </c>
      <c r="D45" s="215">
        <v>31</v>
      </c>
      <c r="E45" s="15">
        <f>SUM(D$33:D45)/SUM($D$33:$D$62)</f>
        <v>0.80164439876670091</v>
      </c>
      <c r="F45" s="40">
        <f t="shared" si="10"/>
        <v>3.1860226104830414E-2</v>
      </c>
      <c r="G45" s="213">
        <v>55.15</v>
      </c>
      <c r="H45" s="16">
        <f t="shared" ca="1" si="7"/>
        <v>31</v>
      </c>
      <c r="I45" s="17" t="str">
        <f t="shared" ca="1" si="8"/>
        <v/>
      </c>
      <c r="J45" s="18">
        <f t="shared" si="9"/>
        <v>0.8</v>
      </c>
      <c r="K45" s="95"/>
      <c r="U45" s="154">
        <f>'Mech Summary'!Y3</f>
        <v>0</v>
      </c>
      <c r="V45" s="154">
        <f>'Mech Summary'!Z3</f>
        <v>0</v>
      </c>
      <c r="AA45" s="86" t="s">
        <v>88</v>
      </c>
      <c r="AB45" s="87">
        <f t="shared" ref="AB45:AC48" si="12">X29</f>
        <v>65</v>
      </c>
      <c r="AC45" s="161">
        <f t="shared" si="12"/>
        <v>33.793888888799117</v>
      </c>
    </row>
    <row r="46" spans="2:29" x14ac:dyDescent="0.2">
      <c r="B46" s="14">
        <v>14</v>
      </c>
      <c r="C46" s="203" t="s">
        <v>178</v>
      </c>
      <c r="D46" s="204">
        <v>30</v>
      </c>
      <c r="E46" s="15">
        <f>SUM(D$33:D46)/SUM($D$33:$D$62)</f>
        <v>0.83247687564234329</v>
      </c>
      <c r="F46" s="40">
        <f t="shared" si="10"/>
        <v>3.0832476875642389E-2</v>
      </c>
      <c r="G46" s="213">
        <v>45.625277777682058</v>
      </c>
      <c r="H46" s="16" t="str">
        <f t="shared" ca="1" si="7"/>
        <v/>
      </c>
      <c r="I46" s="17">
        <f t="shared" ca="1" si="8"/>
        <v>30</v>
      </c>
      <c r="J46" s="18">
        <f t="shared" si="9"/>
        <v>0.8</v>
      </c>
      <c r="K46" s="95"/>
      <c r="O46" s="244" t="s">
        <v>133</v>
      </c>
      <c r="P46" s="244"/>
      <c r="Q46" s="244"/>
      <c r="R46" s="36"/>
      <c r="S46" s="36"/>
      <c r="U46" s="154">
        <f>'Mech Summary'!Y4</f>
        <v>0</v>
      </c>
      <c r="V46" s="154">
        <f>'Mech Summary'!Z4</f>
        <v>0</v>
      </c>
      <c r="AA46" s="86" t="s">
        <v>89</v>
      </c>
      <c r="AB46" s="87">
        <f t="shared" si="12"/>
        <v>47</v>
      </c>
      <c r="AC46" s="161">
        <f t="shared" si="12"/>
        <v>116.56027777804528</v>
      </c>
    </row>
    <row r="47" spans="2:29" x14ac:dyDescent="0.2">
      <c r="B47" s="14">
        <v>15</v>
      </c>
      <c r="C47" s="203" t="s">
        <v>80</v>
      </c>
      <c r="D47" s="204">
        <v>28</v>
      </c>
      <c r="E47" s="15">
        <f>SUM(D$33:D47)/SUM($D$33:$D$62)</f>
        <v>0.86125385405960941</v>
      </c>
      <c r="F47" s="40">
        <f t="shared" si="10"/>
        <v>2.8776978417266119E-2</v>
      </c>
      <c r="G47" s="213">
        <v>21.969999999976718</v>
      </c>
      <c r="H47" s="16" t="str">
        <f t="shared" ca="1" si="7"/>
        <v/>
      </c>
      <c r="I47" s="17">
        <f t="shared" ca="1" si="8"/>
        <v>28</v>
      </c>
      <c r="J47" s="18">
        <f t="shared" si="9"/>
        <v>0.8</v>
      </c>
      <c r="K47" s="95"/>
      <c r="O47" s="37"/>
      <c r="P47" s="107"/>
      <c r="Q47" s="107"/>
      <c r="R47" s="36"/>
      <c r="S47" s="36"/>
      <c r="U47" s="154">
        <f>'Mech Summary'!Y5</f>
        <v>0</v>
      </c>
      <c r="V47" s="154">
        <f>'Mech Summary'!Z5</f>
        <v>0</v>
      </c>
      <c r="AA47" s="86" t="s">
        <v>90</v>
      </c>
      <c r="AB47" s="87">
        <f t="shared" si="12"/>
        <v>65</v>
      </c>
      <c r="AC47" s="161">
        <f t="shared" si="12"/>
        <v>362.12249999986727</v>
      </c>
    </row>
    <row r="48" spans="2:29" x14ac:dyDescent="0.2">
      <c r="B48" s="14">
        <v>16</v>
      </c>
      <c r="C48" s="203" t="s">
        <v>91</v>
      </c>
      <c r="D48" s="204">
        <v>25</v>
      </c>
      <c r="E48" s="15">
        <f>SUM(D$33:D48)/SUM($D$33:$D$62)</f>
        <v>0.88694758478931146</v>
      </c>
      <c r="F48" s="40">
        <f t="shared" si="10"/>
        <v>2.5693730729702047E-2</v>
      </c>
      <c r="G48" s="213">
        <v>46.349166666711682</v>
      </c>
      <c r="H48" s="16" t="str">
        <f t="shared" ca="1" si="7"/>
        <v/>
      </c>
      <c r="I48" s="17">
        <f t="shared" ca="1" si="8"/>
        <v>25</v>
      </c>
      <c r="J48" s="18">
        <f t="shared" si="9"/>
        <v>0.8</v>
      </c>
      <c r="K48" s="95"/>
      <c r="O48" s="37"/>
      <c r="P48" s="107"/>
      <c r="Q48" s="107"/>
      <c r="R48" s="36"/>
      <c r="S48" s="36"/>
      <c r="U48" s="154">
        <f>'Mech Summary'!AA3</f>
        <v>0</v>
      </c>
      <c r="V48" s="154">
        <f>'Mech Summary'!AB3</f>
        <v>0</v>
      </c>
      <c r="AA48" s="86" t="s">
        <v>91</v>
      </c>
      <c r="AB48" s="87">
        <f t="shared" si="12"/>
        <v>25</v>
      </c>
      <c r="AC48" s="161">
        <f t="shared" si="12"/>
        <v>46.349166666711682</v>
      </c>
    </row>
    <row r="49" spans="2:29" x14ac:dyDescent="0.2">
      <c r="B49" s="14">
        <v>17</v>
      </c>
      <c r="C49" s="203" t="s">
        <v>174</v>
      </c>
      <c r="D49" s="204">
        <v>24</v>
      </c>
      <c r="E49" s="15">
        <f>SUM(D$33:D49)/SUM($D$33:$D$62)</f>
        <v>0.91161356628982526</v>
      </c>
      <c r="F49" s="40">
        <f t="shared" si="10"/>
        <v>2.4665981500513801E-2</v>
      </c>
      <c r="G49" s="201">
        <v>76.235000000176939</v>
      </c>
      <c r="H49" s="16" t="str">
        <f t="shared" ca="1" si="7"/>
        <v/>
      </c>
      <c r="I49" s="17">
        <f t="shared" ca="1" si="8"/>
        <v>24</v>
      </c>
      <c r="J49" s="18">
        <f t="shared" si="9"/>
        <v>0.8</v>
      </c>
      <c r="K49" s="95"/>
      <c r="O49" s="108"/>
      <c r="P49" s="107"/>
      <c r="Q49" s="107"/>
      <c r="R49" s="36"/>
      <c r="S49" s="36"/>
      <c r="U49" s="154">
        <f>'Mech Summary'!AA4</f>
        <v>0</v>
      </c>
      <c r="V49" s="154">
        <f>'Mech Summary'!AB4</f>
        <v>0</v>
      </c>
    </row>
    <row r="50" spans="2:29" x14ac:dyDescent="0.2">
      <c r="B50" s="14">
        <v>18</v>
      </c>
      <c r="C50" s="203" t="s">
        <v>180</v>
      </c>
      <c r="D50" s="204">
        <v>22</v>
      </c>
      <c r="E50" s="15">
        <f>SUM(D$33:D50)/SUM($D$33:$D$62)</f>
        <v>0.93422404933196301</v>
      </c>
      <c r="F50" s="40">
        <f t="shared" si="10"/>
        <v>2.2610483042137752E-2</v>
      </c>
      <c r="G50" s="213">
        <v>28.66999999994179</v>
      </c>
      <c r="H50" s="16" t="str">
        <f t="shared" ca="1" si="7"/>
        <v/>
      </c>
      <c r="I50" s="17">
        <f t="shared" ca="1" si="8"/>
        <v>22</v>
      </c>
      <c r="J50" s="18">
        <f t="shared" si="9"/>
        <v>0.8</v>
      </c>
      <c r="K50" s="95"/>
      <c r="O50" s="109"/>
      <c r="P50" s="37"/>
      <c r="Q50" s="32"/>
      <c r="R50" s="32"/>
      <c r="S50" s="32"/>
      <c r="U50" s="154">
        <f>'Mech Summary'!AA5</f>
        <v>0</v>
      </c>
      <c r="V50" s="154">
        <f>'Mech Summary'!AB5</f>
        <v>0</v>
      </c>
    </row>
    <row r="51" spans="2:29" x14ac:dyDescent="0.2">
      <c r="B51" s="14">
        <v>19</v>
      </c>
      <c r="C51" s="203" t="s">
        <v>27</v>
      </c>
      <c r="D51" s="204">
        <v>12</v>
      </c>
      <c r="E51" s="15">
        <f>SUM(D$33:D51)/SUM($D$33:$D$62)</f>
        <v>0.94655704008221997</v>
      </c>
      <c r="F51" s="40">
        <f t="shared" si="10"/>
        <v>1.2332990750256956E-2</v>
      </c>
      <c r="G51" s="213">
        <v>12.270000000000001</v>
      </c>
      <c r="H51" s="16" t="str">
        <f t="shared" ca="1" si="7"/>
        <v/>
      </c>
      <c r="I51" s="17">
        <f t="shared" ca="1" si="8"/>
        <v>12</v>
      </c>
      <c r="J51" s="18">
        <f t="shared" si="9"/>
        <v>0.8</v>
      </c>
      <c r="K51" s="95"/>
      <c r="O51" s="108"/>
      <c r="P51" s="37"/>
      <c r="Q51" s="32"/>
      <c r="R51" s="32"/>
      <c r="S51" s="32"/>
      <c r="U51"/>
      <c r="V51" s="155"/>
      <c r="AA51" s="86" t="s">
        <v>92</v>
      </c>
      <c r="AB51" s="87">
        <f t="shared" ref="AB51:AC55" si="13">X33</f>
        <v>1</v>
      </c>
      <c r="AC51" s="161">
        <f t="shared" si="13"/>
        <v>0.25</v>
      </c>
    </row>
    <row r="52" spans="2:29" x14ac:dyDescent="0.2">
      <c r="B52" s="14">
        <v>20</v>
      </c>
      <c r="C52" s="203" t="s">
        <v>95</v>
      </c>
      <c r="D52" s="204">
        <v>11</v>
      </c>
      <c r="E52" s="15">
        <f>SUM(D$33:D52)/SUM($D$33:$D$62)</f>
        <v>0.95786228160328879</v>
      </c>
      <c r="F52" s="40">
        <f t="shared" si="10"/>
        <v>1.1305241521068821E-2</v>
      </c>
      <c r="G52" s="201">
        <v>71.84277777771932</v>
      </c>
      <c r="H52" s="16" t="str">
        <f t="shared" ca="1" si="7"/>
        <v/>
      </c>
      <c r="I52" s="17">
        <f t="shared" ca="1" si="8"/>
        <v>11</v>
      </c>
      <c r="J52" s="18">
        <f t="shared" si="9"/>
        <v>0.8</v>
      </c>
      <c r="K52" s="95"/>
      <c r="O52" s="108"/>
      <c r="P52" s="110" t="s">
        <v>135</v>
      </c>
      <c r="Q52" s="241" t="s">
        <v>134</v>
      </c>
      <c r="R52" s="241"/>
      <c r="S52" s="241"/>
      <c r="U52" s="154"/>
      <c r="V52" s="155"/>
      <c r="AA52" s="86" t="s">
        <v>93</v>
      </c>
      <c r="AB52" s="87">
        <f t="shared" si="13"/>
        <v>9</v>
      </c>
      <c r="AC52" s="161">
        <f t="shared" si="13"/>
        <v>82.18666666660458</v>
      </c>
    </row>
    <row r="53" spans="2:29" x14ac:dyDescent="0.2">
      <c r="B53" s="14">
        <v>21</v>
      </c>
      <c r="C53" s="203" t="s">
        <v>93</v>
      </c>
      <c r="D53" s="204">
        <v>9</v>
      </c>
      <c r="E53" s="15">
        <f>SUM(D$33:D53)/SUM($D$33:$D$62)</f>
        <v>0.96711202466598145</v>
      </c>
      <c r="F53" s="40">
        <f t="shared" si="10"/>
        <v>9.2497430626926613E-3</v>
      </c>
      <c r="G53" s="201">
        <v>82.18666666660458</v>
      </c>
      <c r="H53" s="16" t="str">
        <f t="shared" ca="1" si="7"/>
        <v/>
      </c>
      <c r="I53" s="17">
        <f t="shared" ca="1" si="8"/>
        <v>9</v>
      </c>
      <c r="J53" s="18">
        <f t="shared" si="9"/>
        <v>0.8</v>
      </c>
      <c r="K53" s="95"/>
      <c r="O53" s="108"/>
      <c r="P53" s="37"/>
      <c r="Q53" s="32"/>
      <c r="R53" s="32"/>
      <c r="S53" s="32"/>
      <c r="U53" s="154"/>
      <c r="V53" s="155"/>
      <c r="AA53" s="86" t="s">
        <v>94</v>
      </c>
      <c r="AB53" s="87">
        <f t="shared" si="13"/>
        <v>31</v>
      </c>
      <c r="AC53" s="161">
        <f t="shared" si="13"/>
        <v>55.15</v>
      </c>
    </row>
    <row r="54" spans="2:29" x14ac:dyDescent="0.2">
      <c r="B54" s="14">
        <f t="shared" si="6"/>
        <v>22</v>
      </c>
      <c r="C54" s="203" t="s">
        <v>185</v>
      </c>
      <c r="D54" s="204">
        <v>8</v>
      </c>
      <c r="E54" s="15">
        <f>SUM(D$33:D54)/SUM($D$33:$D$62)</f>
        <v>0.97533401849948609</v>
      </c>
      <c r="F54" s="40">
        <f t="shared" si="10"/>
        <v>8.2219938335046372E-3</v>
      </c>
      <c r="G54" s="213">
        <v>34.58</v>
      </c>
      <c r="H54" s="16" t="str">
        <f t="shared" ca="1" si="7"/>
        <v/>
      </c>
      <c r="I54" s="17">
        <f t="shared" ca="1" si="8"/>
        <v>8</v>
      </c>
      <c r="J54" s="18">
        <f t="shared" si="9"/>
        <v>0.8</v>
      </c>
      <c r="K54" s="95"/>
      <c r="O54" s="108"/>
      <c r="P54" s="36">
        <f>RANK(R54,$Q$54:$R$93,0)+COUNTIF($Q54:R$93,R54)-1</f>
        <v>19</v>
      </c>
      <c r="Q54" s="111" t="str">
        <f>Q3</f>
        <v>Auxiliary Systems (Compressed Air)</v>
      </c>
      <c r="R54" s="112">
        <f>X3</f>
        <v>12</v>
      </c>
      <c r="S54" s="165">
        <f>Y3</f>
        <v>12.270000000000001</v>
      </c>
      <c r="AA54" s="86" t="s">
        <v>95</v>
      </c>
      <c r="AB54" s="87">
        <f t="shared" si="13"/>
        <v>11</v>
      </c>
      <c r="AC54" s="161">
        <f t="shared" si="13"/>
        <v>71.84277777771932</v>
      </c>
    </row>
    <row r="55" spans="2:29" x14ac:dyDescent="0.2">
      <c r="B55" s="14">
        <f t="shared" si="6"/>
        <v>23</v>
      </c>
      <c r="C55" s="203" t="s">
        <v>98</v>
      </c>
      <c r="D55" s="204">
        <v>7</v>
      </c>
      <c r="E55" s="15">
        <f>SUM(D$33:D55)/SUM($D$33:$D$62)</f>
        <v>0.9825282631038027</v>
      </c>
      <c r="F55" s="40">
        <f t="shared" si="10"/>
        <v>7.1942446043166131E-3</v>
      </c>
      <c r="G55" s="213">
        <v>13.07</v>
      </c>
      <c r="H55" s="16" t="str">
        <f t="shared" ca="1" si="7"/>
        <v/>
      </c>
      <c r="I55" s="17">
        <f t="shared" ca="1" si="8"/>
        <v>7</v>
      </c>
      <c r="J55" s="18">
        <f t="shared" si="9"/>
        <v>0.8</v>
      </c>
      <c r="K55" s="95"/>
      <c r="O55" s="108"/>
      <c r="P55" s="36">
        <f>RANK(R55,$Q$54:$R$93,0)+COUNTIF($Q55:R$93,R55)-1</f>
        <v>26</v>
      </c>
      <c r="Q55" s="111" t="str">
        <f t="shared" ref="Q55:Q93" si="14">Q4</f>
        <v>Auxiliary Systems (Deck Crane)</v>
      </c>
      <c r="R55" s="112">
        <f t="shared" ref="R55:S55" si="15">X4</f>
        <v>4</v>
      </c>
      <c r="S55" s="165">
        <f t="shared" si="15"/>
        <v>3.16</v>
      </c>
      <c r="AA55" s="86" t="s">
        <v>96</v>
      </c>
      <c r="AB55" s="87">
        <f t="shared" si="13"/>
        <v>24</v>
      </c>
      <c r="AC55" s="161">
        <f t="shared" si="13"/>
        <v>76.235000000176939</v>
      </c>
    </row>
    <row r="56" spans="2:29" x14ac:dyDescent="0.2">
      <c r="B56" s="14">
        <f t="shared" si="6"/>
        <v>24</v>
      </c>
      <c r="C56" s="203" t="s">
        <v>79</v>
      </c>
      <c r="D56" s="204">
        <v>4</v>
      </c>
      <c r="E56" s="15">
        <f>SUM(D$33:D56)/SUM($D$33:$D$62)</f>
        <v>0.98663926002055502</v>
      </c>
      <c r="F56" s="40">
        <f t="shared" si="10"/>
        <v>4.1109969167523186E-3</v>
      </c>
      <c r="G56" s="213">
        <v>10.193888888917863</v>
      </c>
      <c r="H56" s="16" t="str">
        <f t="shared" ca="1" si="7"/>
        <v/>
      </c>
      <c r="I56" s="17">
        <f t="shared" ca="1" si="8"/>
        <v>4</v>
      </c>
      <c r="J56" s="18">
        <f t="shared" si="9"/>
        <v>0.8</v>
      </c>
      <c r="K56" s="95"/>
      <c r="O56" s="108"/>
      <c r="P56" s="36">
        <f>RANK(R56,$Q$54:$R$93,0)+COUNTIF($Q56:R$93,R56)-1</f>
        <v>40</v>
      </c>
      <c r="Q56" s="111" t="str">
        <f t="shared" si="14"/>
        <v>Auxiliary Systems (Fire Main)</v>
      </c>
      <c r="R56" s="112">
        <f t="shared" ref="R56:S56" si="16">X5</f>
        <v>0</v>
      </c>
      <c r="S56" s="165">
        <f t="shared" si="16"/>
        <v>0</v>
      </c>
    </row>
    <row r="57" spans="2:29" x14ac:dyDescent="0.2">
      <c r="B57" s="14">
        <f t="shared" si="6"/>
        <v>25</v>
      </c>
      <c r="C57" s="203" t="s">
        <v>75</v>
      </c>
      <c r="D57" s="204">
        <v>4</v>
      </c>
      <c r="E57" s="15">
        <f>SUM(D$33:D57)/SUM($D$33:$D$62)</f>
        <v>0.99075025693730734</v>
      </c>
      <c r="F57" s="40">
        <f t="shared" si="10"/>
        <v>4.1109969167523186E-3</v>
      </c>
      <c r="G57" s="213">
        <v>4.3266666666278617</v>
      </c>
      <c r="H57" s="16" t="str">
        <f t="shared" ref="H57:H62" ca="1" si="17">IF(OR(B57=1,OFFSET($E$32,B57-1,0,1,1)&lt;=$E$31),OFFSET($D$32,B57,0,1,1),"")</f>
        <v/>
      </c>
      <c r="I57" s="17">
        <f t="shared" ref="I57:I62" ca="1" si="18">IF(H57="",OFFSET($D$32,B57,0,1,1),"")</f>
        <v>4</v>
      </c>
      <c r="J57" s="18">
        <f t="shared" si="9"/>
        <v>0.8</v>
      </c>
      <c r="K57" s="95"/>
      <c r="O57" s="108"/>
      <c r="P57" s="36">
        <f>RANK(R57,$Q$54:$R$93,0)+COUNTIF($Q57:R$93,R57)-1</f>
        <v>30</v>
      </c>
      <c r="Q57" s="111" t="str">
        <f t="shared" si="14"/>
        <v>Auxiliary Systems (Fuel)</v>
      </c>
      <c r="R57" s="112">
        <f t="shared" ref="R57:S57" si="19">X6</f>
        <v>1</v>
      </c>
      <c r="S57" s="165">
        <f t="shared" si="19"/>
        <v>16.170000000000002</v>
      </c>
    </row>
    <row r="58" spans="2:29" x14ac:dyDescent="0.2">
      <c r="B58" s="14">
        <f t="shared" si="6"/>
        <v>26</v>
      </c>
      <c r="C58" s="203" t="s">
        <v>69</v>
      </c>
      <c r="D58" s="204">
        <v>4</v>
      </c>
      <c r="E58" s="15">
        <f>SUM(D$33:D58)/SUM($D$33:$D$62)</f>
        <v>0.99486125385405966</v>
      </c>
      <c r="F58" s="40">
        <f t="shared" si="10"/>
        <v>4.1109969167523186E-3</v>
      </c>
      <c r="G58" s="213">
        <v>3.16</v>
      </c>
      <c r="H58" s="16" t="str">
        <f t="shared" ca="1" si="17"/>
        <v/>
      </c>
      <c r="I58" s="17">
        <f t="shared" ca="1" si="18"/>
        <v>4</v>
      </c>
      <c r="J58" s="18">
        <f t="shared" si="9"/>
        <v>0.8</v>
      </c>
      <c r="K58" s="95"/>
      <c r="O58" s="108"/>
      <c r="P58" s="36">
        <f>RANK(R58,$Q$54:$R$93,0)+COUNTIF($Q58:R$93,R58)-1</f>
        <v>29</v>
      </c>
      <c r="Q58" s="111" t="str">
        <f t="shared" si="14"/>
        <v>Auxiliary Systems (Heating, Ventilation, A/C)</v>
      </c>
      <c r="R58" s="112">
        <f t="shared" ref="R58:S58" si="20">X7</f>
        <v>1</v>
      </c>
      <c r="S58" s="165">
        <f t="shared" si="20"/>
        <v>0.36</v>
      </c>
      <c r="AA58" s="86" t="s">
        <v>130</v>
      </c>
      <c r="AB58" s="87">
        <f t="shared" ref="AB58:AC60" si="21">X38</f>
        <v>0</v>
      </c>
      <c r="AC58" s="161">
        <f t="shared" si="21"/>
        <v>0</v>
      </c>
    </row>
    <row r="59" spans="2:29" x14ac:dyDescent="0.2">
      <c r="B59" s="14">
        <f t="shared" si="6"/>
        <v>27</v>
      </c>
      <c r="C59" s="203" t="s">
        <v>77</v>
      </c>
      <c r="D59" s="204">
        <v>2</v>
      </c>
      <c r="E59" s="15">
        <f>SUM(D$33:D59)/SUM($D$33:$D$62)</f>
        <v>0.99691675231243582</v>
      </c>
      <c r="F59" s="40">
        <f t="shared" si="10"/>
        <v>2.0554984583761593E-3</v>
      </c>
      <c r="G59" s="213">
        <v>3</v>
      </c>
      <c r="H59" s="16" t="str">
        <f t="shared" ca="1" si="17"/>
        <v/>
      </c>
      <c r="I59" s="17">
        <f t="shared" ca="1" si="18"/>
        <v>2</v>
      </c>
      <c r="J59" s="18">
        <f t="shared" si="9"/>
        <v>0.8</v>
      </c>
      <c r="K59" s="95"/>
      <c r="O59" s="108"/>
      <c r="P59" s="36">
        <f>RANK(R59,$Q$54:$R$93,0)+COUNTIF($Q59:R$93,R59)-1</f>
        <v>39</v>
      </c>
      <c r="Q59" s="111" t="str">
        <f t="shared" si="14"/>
        <v>Auxiliary Systems (Potable Water)</v>
      </c>
      <c r="R59" s="112">
        <f t="shared" ref="R59:S59" si="22">X8</f>
        <v>0</v>
      </c>
      <c r="S59" s="165">
        <f t="shared" si="22"/>
        <v>0</v>
      </c>
      <c r="AA59" s="86" t="s">
        <v>131</v>
      </c>
      <c r="AB59" s="87">
        <f t="shared" si="21"/>
        <v>22</v>
      </c>
      <c r="AC59" s="161">
        <f t="shared" si="21"/>
        <v>28.66999999994179</v>
      </c>
    </row>
    <row r="60" spans="2:29" x14ac:dyDescent="0.2">
      <c r="B60" s="14">
        <f t="shared" si="6"/>
        <v>28</v>
      </c>
      <c r="C60" s="203" t="s">
        <v>92</v>
      </c>
      <c r="D60" s="204">
        <v>1</v>
      </c>
      <c r="E60" s="15">
        <f>SUM(D$33:D60)/SUM($D$33:$D$62)</f>
        <v>0.99794450154162384</v>
      </c>
      <c r="F60" s="40">
        <f t="shared" si="10"/>
        <v>1.0277492291880241E-3</v>
      </c>
      <c r="G60" s="213">
        <v>0.25</v>
      </c>
      <c r="H60" s="16" t="str">
        <f t="shared" ca="1" si="17"/>
        <v/>
      </c>
      <c r="I60" s="17">
        <f t="shared" ca="1" si="18"/>
        <v>1</v>
      </c>
      <c r="J60" s="18">
        <f t="shared" si="9"/>
        <v>0.8</v>
      </c>
      <c r="K60" s="95"/>
      <c r="O60" s="108"/>
      <c r="P60" s="61">
        <f>RANK(R60,$Q$54:$R$93,0)+COUNTIF($Q60:R$93,R60)-1</f>
        <v>38</v>
      </c>
      <c r="Q60" s="189" t="str">
        <f t="shared" si="14"/>
        <v>Auxiliary Systems (Sanitary System)</v>
      </c>
      <c r="R60" s="190">
        <f t="shared" ref="R60:S60" si="23">X9</f>
        <v>0</v>
      </c>
      <c r="S60" s="191">
        <f t="shared" si="23"/>
        <v>0</v>
      </c>
      <c r="AA60" s="86" t="s">
        <v>132</v>
      </c>
      <c r="AB60" s="87">
        <f t="shared" si="21"/>
        <v>50</v>
      </c>
      <c r="AC60" s="161">
        <f t="shared" si="21"/>
        <v>41.579444444531106</v>
      </c>
    </row>
    <row r="61" spans="2:29" x14ac:dyDescent="0.2">
      <c r="B61" s="14">
        <f t="shared" si="6"/>
        <v>29</v>
      </c>
      <c r="C61" s="203" t="s">
        <v>183</v>
      </c>
      <c r="D61" s="204">
        <v>1</v>
      </c>
      <c r="E61" s="15">
        <f>SUM(D$33:D61)/SUM($D$33:$D$62)</f>
        <v>0.99897225077081198</v>
      </c>
      <c r="F61" s="40">
        <f t="shared" si="10"/>
        <v>1.0277492291881352E-3</v>
      </c>
      <c r="G61" s="213">
        <v>0.36</v>
      </c>
      <c r="H61" s="16" t="str">
        <f t="shared" ca="1" si="17"/>
        <v/>
      </c>
      <c r="I61" s="17">
        <f t="shared" ca="1" si="18"/>
        <v>1</v>
      </c>
      <c r="J61" s="18">
        <f t="shared" si="9"/>
        <v>0.8</v>
      </c>
      <c r="K61" s="95"/>
      <c r="O61" s="108"/>
      <c r="P61" s="61">
        <f>RANK(R61,$Q$54:$R$93,0)+COUNTIF($Q61:R$93,R61)-1</f>
        <v>2</v>
      </c>
      <c r="Q61" s="189" t="str">
        <f t="shared" si="14"/>
        <v>Buckets (Weld / Repair Bucket)</v>
      </c>
      <c r="R61" s="190">
        <f t="shared" ref="R61:S61" si="24">X10</f>
        <v>105</v>
      </c>
      <c r="S61" s="191">
        <f t="shared" si="24"/>
        <v>199.31472222228069</v>
      </c>
    </row>
    <row r="62" spans="2:29" x14ac:dyDescent="0.2">
      <c r="B62" s="14">
        <f t="shared" si="6"/>
        <v>30</v>
      </c>
      <c r="C62" s="203" t="s">
        <v>28</v>
      </c>
      <c r="D62" s="204">
        <v>1</v>
      </c>
      <c r="E62" s="15">
        <f>SUM(D$33:D62)/SUM($D$33:$D$62)</f>
        <v>1</v>
      </c>
      <c r="F62" s="40">
        <f t="shared" si="10"/>
        <v>1.0277492291880241E-3</v>
      </c>
      <c r="G62" s="213">
        <v>16.170000000000002</v>
      </c>
      <c r="H62" s="16" t="str">
        <f t="shared" ca="1" si="17"/>
        <v/>
      </c>
      <c r="I62" s="17">
        <f t="shared" ca="1" si="18"/>
        <v>1</v>
      </c>
      <c r="J62" s="18">
        <f t="shared" si="9"/>
        <v>0.8</v>
      </c>
      <c r="K62" s="95"/>
      <c r="O62" s="108"/>
      <c r="P62" s="36">
        <f>RANK(R62,$Q$54:$R$93,0)+COUNTIF($Q62:R$93,R62)-1</f>
        <v>37</v>
      </c>
      <c r="Q62" s="111" t="str">
        <f t="shared" si="14"/>
        <v>Crane Boom (Boom / Gantry Sheaves)</v>
      </c>
      <c r="R62" s="112">
        <f t="shared" ref="R62:S62" si="25">X11</f>
        <v>0</v>
      </c>
      <c r="S62" s="165">
        <f t="shared" si="25"/>
        <v>0</v>
      </c>
    </row>
    <row r="63" spans="2:29" x14ac:dyDescent="0.2">
      <c r="B63" s="19" t="s">
        <v>12</v>
      </c>
      <c r="C63" s="1"/>
      <c r="D63" s="1"/>
      <c r="E63" s="1"/>
      <c r="F63" s="1"/>
      <c r="G63" s="1"/>
      <c r="H63" s="1"/>
      <c r="I63" s="1"/>
      <c r="J63" s="1"/>
      <c r="K63" s="95"/>
      <c r="O63" s="108"/>
      <c r="P63" s="36">
        <f>RANK(R63,$Q$54:$R$93,0)+COUNTIF($Q63:R$93,R63)-1</f>
        <v>25</v>
      </c>
      <c r="Q63" s="111" t="str">
        <f t="shared" si="14"/>
        <v>Crane Boom (Boom / Gantry Structure)</v>
      </c>
      <c r="R63" s="112">
        <f t="shared" ref="R63:S63" si="26">X12</f>
        <v>4</v>
      </c>
      <c r="S63" s="165">
        <f t="shared" si="26"/>
        <v>4.3266666666278617</v>
      </c>
      <c r="AA63" s="86" t="s">
        <v>97</v>
      </c>
      <c r="AB63" s="87">
        <f>X41</f>
        <v>57</v>
      </c>
      <c r="AC63" s="161">
        <f>Y41</f>
        <v>132.47499999981142</v>
      </c>
    </row>
    <row r="64" spans="2:29" x14ac:dyDescent="0.2">
      <c r="K64" s="95"/>
      <c r="O64" s="108"/>
      <c r="P64" s="36">
        <f>RANK(R64,$Q$54:$R$93,0)+COUNTIF($Q64:R$93,R64)-1</f>
        <v>9</v>
      </c>
      <c r="Q64" s="111" t="str">
        <f t="shared" si="14"/>
        <v>Crane Boom (Boom Winch)</v>
      </c>
      <c r="R64" s="112">
        <f t="shared" ref="R64:S64" si="27">X13</f>
        <v>49</v>
      </c>
      <c r="S64" s="165">
        <f t="shared" si="27"/>
        <v>122.53722222222713</v>
      </c>
      <c r="AA64" s="86" t="s">
        <v>98</v>
      </c>
      <c r="AB64" s="87">
        <f>X42</f>
        <v>7</v>
      </c>
      <c r="AC64" s="161">
        <f>Y42</f>
        <v>13.07</v>
      </c>
    </row>
    <row r="65" spans="2:19" x14ac:dyDescent="0.2">
      <c r="K65" s="95"/>
      <c r="O65" s="108"/>
      <c r="P65" s="36">
        <f>RANK(R65,$Q$54:$R$93,0)+COUNTIF($Q65:R$93,R65)-1</f>
        <v>27</v>
      </c>
      <c r="Q65" s="111" t="str">
        <f t="shared" si="14"/>
        <v>Crane Boom (Boom Wires)</v>
      </c>
      <c r="R65" s="112">
        <f t="shared" ref="R65:S65" si="28">X14</f>
        <v>2</v>
      </c>
      <c r="S65" s="165">
        <f t="shared" si="28"/>
        <v>3</v>
      </c>
    </row>
    <row r="66" spans="2:19" x14ac:dyDescent="0.2">
      <c r="K66" s="95"/>
      <c r="O66" s="108"/>
      <c r="P66" s="61">
        <f>RANK(R66,$Q$54:$R$93,0)+COUNTIF($Q66:R$93,R66)-1</f>
        <v>36</v>
      </c>
      <c r="Q66" s="189" t="str">
        <f t="shared" si="14"/>
        <v>Crane Boom (Penant Wire)</v>
      </c>
      <c r="R66" s="190">
        <f t="shared" ref="R66:S66" si="29">X15</f>
        <v>0</v>
      </c>
      <c r="S66" s="191">
        <f t="shared" si="29"/>
        <v>0</v>
      </c>
    </row>
    <row r="67" spans="2:19" x14ac:dyDescent="0.2">
      <c r="K67" s="95"/>
      <c r="O67" s="108"/>
      <c r="P67" s="36">
        <f>RANK(R67,$Q$54:$R$93,0)+COUNTIF($Q67:R$93,R67)-1</f>
        <v>6</v>
      </c>
      <c r="Q67" s="111" t="str">
        <f t="shared" si="14"/>
        <v>Crane Swing (Drive (motor, gear box, etc.))</v>
      </c>
      <c r="R67" s="112">
        <f t="shared" ref="R67:S67" si="30">X16</f>
        <v>62</v>
      </c>
      <c r="S67" s="165">
        <f t="shared" si="30"/>
        <v>364.68722222075331</v>
      </c>
    </row>
    <row r="68" spans="2:19" x14ac:dyDescent="0.2">
      <c r="B68" s="114" t="s">
        <v>3</v>
      </c>
      <c r="C68" s="115" t="s">
        <v>136</v>
      </c>
      <c r="D68" s="115"/>
      <c r="E68" s="116" t="s">
        <v>137</v>
      </c>
      <c r="K68" s="95"/>
      <c r="O68" s="108"/>
      <c r="P68" s="61">
        <f>RANK(R68,$Q$54:$R$93,0)+COUNTIF($Q68:R$93,R68)-1</f>
        <v>11</v>
      </c>
      <c r="Q68" s="189" t="str">
        <f t="shared" si="14"/>
        <v>Crane Swing (Swing Circle (rollers, etc.))</v>
      </c>
      <c r="R68" s="190">
        <f t="shared" ref="R68:S68" si="31">X17</f>
        <v>38</v>
      </c>
      <c r="S68" s="191">
        <f t="shared" si="31"/>
        <v>101.14944444441703</v>
      </c>
    </row>
    <row r="69" spans="2:19" x14ac:dyDescent="0.2">
      <c r="B69" s="32"/>
      <c r="C69" s="32"/>
      <c r="D69" s="32"/>
      <c r="E69" s="32"/>
      <c r="K69" s="95"/>
      <c r="O69" s="108"/>
      <c r="P69" s="36">
        <f>RANK(R69,$Q$54:$R$93,0)+COUNTIF($Q69:R$93,R69)-1</f>
        <v>24</v>
      </c>
      <c r="Q69" s="111" t="str">
        <f t="shared" si="14"/>
        <v>Deck Winch (Fairleads)</v>
      </c>
      <c r="R69" s="112">
        <f t="shared" ref="R69:S69" si="32">X18</f>
        <v>4</v>
      </c>
      <c r="S69" s="165">
        <f t="shared" si="32"/>
        <v>10.193888888917863</v>
      </c>
    </row>
    <row r="70" spans="2:19" x14ac:dyDescent="0.2">
      <c r="B70" s="114">
        <v>1</v>
      </c>
      <c r="C70" s="32" t="str">
        <f>VLOOKUP(B70,$P$4:$S$93,2,0)</f>
        <v>Main / Aux. Generators (Main Generator Engine)</v>
      </c>
      <c r="D70" s="114">
        <f>VLOOKUP(B70,$P$4:$S$93,3,0)</f>
        <v>112</v>
      </c>
      <c r="E70" s="166">
        <f>VLOOKUP(B70,$P$4:$S$93,4,0)</f>
        <v>114.47999999999999</v>
      </c>
      <c r="K70" s="95"/>
      <c r="O70" s="108"/>
      <c r="P70" s="61">
        <f>RANK(R70,$Q$54:$R$93,0)+COUNTIF($Q70:R$93,R70)-1</f>
        <v>15</v>
      </c>
      <c r="Q70" s="189" t="str">
        <f t="shared" si="14"/>
        <v>Deck Winch (Winch)</v>
      </c>
      <c r="R70" s="190">
        <f t="shared" ref="R70:S70" si="33">X19</f>
        <v>28</v>
      </c>
      <c r="S70" s="191">
        <f t="shared" si="33"/>
        <v>21.969999999976718</v>
      </c>
    </row>
    <row r="71" spans="2:19" x14ac:dyDescent="0.2">
      <c r="B71" s="114">
        <v>2</v>
      </c>
      <c r="C71" s="32" t="str">
        <f t="shared" ref="C71:C109" si="34">VLOOKUP(B71,$P$4:$S$93,2,0)</f>
        <v>Buckets (Weld / Repair Bucket)</v>
      </c>
      <c r="D71" s="114">
        <f t="shared" ref="D71:D106" si="35">VLOOKUP(B71,$P$4:$S$93,3,0)</f>
        <v>105</v>
      </c>
      <c r="E71" s="166">
        <f t="shared" ref="E71:E106" si="36">VLOOKUP(B71,$P$4:$S$93,4,0)</f>
        <v>199.31472222228069</v>
      </c>
      <c r="K71" s="95"/>
      <c r="O71" s="108"/>
      <c r="P71" s="36">
        <f>RANK(R71,$Q$54:$R$93,0)+COUNTIF($Q71:R$93,R71)-1</f>
        <v>12</v>
      </c>
      <c r="Q71" s="111" t="str">
        <f t="shared" si="14"/>
        <v>Electrical/Electronics (MCC / Switch Gear)</v>
      </c>
      <c r="R71" s="112">
        <f t="shared" ref="R71:S71" si="37">X20</f>
        <v>34</v>
      </c>
      <c r="S71" s="165">
        <f t="shared" si="37"/>
        <v>30.685555555645841</v>
      </c>
    </row>
    <row r="72" spans="2:19" x14ac:dyDescent="0.2">
      <c r="B72" s="114">
        <v>3</v>
      </c>
      <c r="C72" s="32" t="str">
        <f t="shared" si="34"/>
        <v>Main Hoist (Holder)</v>
      </c>
      <c r="D72" s="114">
        <f t="shared" si="35"/>
        <v>65</v>
      </c>
      <c r="E72" s="166">
        <f t="shared" si="36"/>
        <v>362.12249999986727</v>
      </c>
      <c r="K72" s="95"/>
      <c r="O72" s="108"/>
      <c r="P72" s="36">
        <f>RANK(R72,$Q$54:$R$93,0)+COUNTIF($Q72:R$93,R72)-1</f>
        <v>35</v>
      </c>
      <c r="Q72" s="111" t="str">
        <f t="shared" si="14"/>
        <v>Electrical/Electronics (Navigation Lights)</v>
      </c>
      <c r="R72" s="112">
        <f t="shared" ref="R72:S72" si="38">X21</f>
        <v>0</v>
      </c>
      <c r="S72" s="165">
        <f t="shared" si="38"/>
        <v>0</v>
      </c>
    </row>
    <row r="73" spans="2:19" x14ac:dyDescent="0.2">
      <c r="B73" s="114">
        <v>4</v>
      </c>
      <c r="C73" s="32" t="str">
        <f t="shared" si="34"/>
        <v>Main Hoist (Closer)</v>
      </c>
      <c r="D73" s="114">
        <f t="shared" si="35"/>
        <v>65</v>
      </c>
      <c r="E73" s="166">
        <f t="shared" si="36"/>
        <v>33.793888888799117</v>
      </c>
      <c r="K73" s="1"/>
      <c r="O73" s="108"/>
      <c r="P73" s="36">
        <f>RANK(R73,$Q$54:$R$93,0)+COUNTIF($Q73:R$93,R73)-1</f>
        <v>14</v>
      </c>
      <c r="Q73" s="111" t="str">
        <f t="shared" si="14"/>
        <v>Electrical/Electronics (PLC)</v>
      </c>
      <c r="R73" s="112">
        <f t="shared" ref="R73:S73" si="39">X22</f>
        <v>30</v>
      </c>
      <c r="S73" s="165">
        <f t="shared" si="39"/>
        <v>45.625277777682058</v>
      </c>
    </row>
    <row r="74" spans="2:19" x14ac:dyDescent="0.2">
      <c r="B74" s="114">
        <v>5</v>
      </c>
      <c r="C74" s="32" t="str">
        <f t="shared" si="34"/>
        <v>Main / Aux. Generators (Main Generator)</v>
      </c>
      <c r="D74" s="114">
        <f t="shared" si="35"/>
        <v>65</v>
      </c>
      <c r="E74" s="166">
        <f t="shared" si="36"/>
        <v>196.53777777785433</v>
      </c>
      <c r="O74" s="108"/>
      <c r="P74" s="61">
        <f>RANK(R74,$Q$54:$R$93,0)+COUNTIF($Q74:R$93,R74)-1</f>
        <v>22</v>
      </c>
      <c r="Q74" s="189" t="str">
        <f t="shared" si="14"/>
        <v>Electrical/Electronics (Transformers)</v>
      </c>
      <c r="R74" s="190">
        <f t="shared" ref="R74:S74" si="40">X23</f>
        <v>8</v>
      </c>
      <c r="S74" s="191">
        <f t="shared" si="40"/>
        <v>34.58</v>
      </c>
    </row>
    <row r="75" spans="2:19" x14ac:dyDescent="0.2">
      <c r="B75" s="114">
        <v>6</v>
      </c>
      <c r="C75" s="32" t="str">
        <f t="shared" si="34"/>
        <v>Crane Swing (Drive (motor, gear box, etc.))</v>
      </c>
      <c r="D75" s="114">
        <f t="shared" si="35"/>
        <v>62</v>
      </c>
      <c r="E75" s="166">
        <f t="shared" si="36"/>
        <v>364.68722222075331</v>
      </c>
      <c r="O75" s="108"/>
      <c r="P75" s="36">
        <f>RANK(R75,$Q$54:$R$93,0)+COUNTIF($Q75:R$93,R75)-1</f>
        <v>34</v>
      </c>
      <c r="Q75" s="111" t="str">
        <f t="shared" si="14"/>
        <v>Hull (Deck Fittings (cleats, timbers, etc.))</v>
      </c>
      <c r="R75" s="112">
        <f t="shared" ref="R75:S75" si="41">X24</f>
        <v>0</v>
      </c>
      <c r="S75" s="165">
        <f t="shared" si="41"/>
        <v>0</v>
      </c>
    </row>
    <row r="76" spans="2:19" x14ac:dyDescent="0.2">
      <c r="B76" s="114">
        <v>7</v>
      </c>
      <c r="C76" s="32" t="str">
        <f t="shared" si="34"/>
        <v>Tugs and Scows (Scow Repair)</v>
      </c>
      <c r="D76" s="114">
        <f t="shared" si="35"/>
        <v>57</v>
      </c>
      <c r="E76" s="166">
        <f t="shared" si="36"/>
        <v>132.47499999981142</v>
      </c>
      <c r="O76" s="108"/>
      <c r="P76" s="61">
        <f>RANK(R76,$Q$54:$R$93,0)+COUNTIF($Q76:R$93,R76)-1</f>
        <v>33</v>
      </c>
      <c r="Q76" s="189" t="str">
        <f t="shared" si="14"/>
        <v>Hull (Hull / House Repair)</v>
      </c>
      <c r="R76" s="190">
        <f t="shared" ref="R76:S76" si="42">X25</f>
        <v>0</v>
      </c>
      <c r="S76" s="191">
        <f t="shared" si="42"/>
        <v>0</v>
      </c>
    </row>
    <row r="77" spans="2:19" x14ac:dyDescent="0.2">
      <c r="B77" s="114">
        <v>8</v>
      </c>
      <c r="C77" s="32" t="str">
        <f t="shared" si="34"/>
        <v>Tagline (Tagline Wire)</v>
      </c>
      <c r="D77" s="114">
        <f t="shared" si="35"/>
        <v>50</v>
      </c>
      <c r="E77" s="166">
        <f t="shared" si="36"/>
        <v>41.579444444531106</v>
      </c>
      <c r="O77" s="108"/>
      <c r="P77" s="36">
        <f>RANK(R77,$Q$54:$R$93,0)+COUNTIF($Q77:R$93,R77)-1</f>
        <v>32</v>
      </c>
      <c r="Q77" s="111" t="str">
        <f t="shared" si="14"/>
        <v>Main / Aux. Generators (Auxiliary Generator)</v>
      </c>
      <c r="R77" s="112">
        <f t="shared" ref="R77:S77" si="43">X26</f>
        <v>0</v>
      </c>
      <c r="S77" s="165">
        <f t="shared" si="43"/>
        <v>0</v>
      </c>
    </row>
    <row r="78" spans="2:19" x14ac:dyDescent="0.2">
      <c r="B78" s="114">
        <v>9</v>
      </c>
      <c r="C78" s="32" t="str">
        <f t="shared" si="34"/>
        <v>Crane Boom (Boom Winch)</v>
      </c>
      <c r="D78" s="114">
        <f t="shared" si="35"/>
        <v>49</v>
      </c>
      <c r="E78" s="166">
        <f t="shared" si="36"/>
        <v>122.53722222222713</v>
      </c>
      <c r="O78" s="108"/>
      <c r="P78" s="36">
        <f>RANK(R78,$Q$54:$R$93,0)+COUNTIF($Q78:R$93,R78)-1</f>
        <v>5</v>
      </c>
      <c r="Q78" s="111" t="str">
        <f t="shared" si="14"/>
        <v>Main / Aux. Generators (Main Generator)</v>
      </c>
      <c r="R78" s="112">
        <f t="shared" ref="R78:S78" si="44">X27</f>
        <v>65</v>
      </c>
      <c r="S78" s="165">
        <f t="shared" si="44"/>
        <v>196.53777777785433</v>
      </c>
    </row>
    <row r="79" spans="2:19" x14ac:dyDescent="0.2">
      <c r="B79" s="114">
        <v>10</v>
      </c>
      <c r="C79" s="32" t="str">
        <f t="shared" si="34"/>
        <v>Main Hoist (Closer Wire)</v>
      </c>
      <c r="D79" s="114">
        <f t="shared" si="35"/>
        <v>47</v>
      </c>
      <c r="E79" s="166">
        <f t="shared" si="36"/>
        <v>116.56027777804528</v>
      </c>
      <c r="O79" s="108"/>
      <c r="P79" s="61">
        <f>RANK(R79,$Q$54:$R$93,0)+COUNTIF($Q79:R$93,R79)-1</f>
        <v>1</v>
      </c>
      <c r="Q79" s="189" t="str">
        <f t="shared" si="14"/>
        <v>Main / Aux. Generators (Main Generator Engine)</v>
      </c>
      <c r="R79" s="190">
        <f t="shared" ref="R79:S79" si="45">X28</f>
        <v>112</v>
      </c>
      <c r="S79" s="191">
        <f t="shared" si="45"/>
        <v>114.47999999999999</v>
      </c>
    </row>
    <row r="80" spans="2:19" x14ac:dyDescent="0.2">
      <c r="B80" s="114">
        <v>11</v>
      </c>
      <c r="C80" s="32" t="str">
        <f t="shared" si="34"/>
        <v>Crane Swing (Swing Circle (rollers, etc.))</v>
      </c>
      <c r="D80" s="114">
        <f t="shared" si="35"/>
        <v>38</v>
      </c>
      <c r="E80" s="166">
        <f t="shared" si="36"/>
        <v>101.14944444441703</v>
      </c>
      <c r="O80" s="108"/>
      <c r="P80" s="36">
        <f>RANK(R80,$Q$54:$R$93,0)+COUNTIF($Q80:R$93,R80)-1</f>
        <v>4</v>
      </c>
      <c r="Q80" s="111" t="str">
        <f t="shared" si="14"/>
        <v>Main Hoist (Closer)</v>
      </c>
      <c r="R80" s="112">
        <f t="shared" ref="R80:S80" si="46">X29</f>
        <v>65</v>
      </c>
      <c r="S80" s="165">
        <f t="shared" si="46"/>
        <v>33.793888888799117</v>
      </c>
    </row>
    <row r="81" spans="2:19" x14ac:dyDescent="0.2">
      <c r="B81" s="114">
        <v>12</v>
      </c>
      <c r="C81" s="32" t="str">
        <f t="shared" si="34"/>
        <v>Electrical/Electronics (MCC / Switch Gear)</v>
      </c>
      <c r="D81" s="114">
        <f t="shared" si="35"/>
        <v>34</v>
      </c>
      <c r="E81" s="166">
        <f t="shared" si="36"/>
        <v>30.685555555645841</v>
      </c>
      <c r="O81" s="108"/>
      <c r="P81" s="36">
        <f>RANK(R81,$Q$54:$R$93,0)+COUNTIF($Q81:R$93,R81)-1</f>
        <v>10</v>
      </c>
      <c r="Q81" s="111" t="str">
        <f t="shared" si="14"/>
        <v>Main Hoist (Closer Wire)</v>
      </c>
      <c r="R81" s="112">
        <f t="shared" ref="R81:S81" si="47">X30</f>
        <v>47</v>
      </c>
      <c r="S81" s="165">
        <f t="shared" si="47"/>
        <v>116.56027777804528</v>
      </c>
    </row>
    <row r="82" spans="2:19" x14ac:dyDescent="0.2">
      <c r="B82" s="114">
        <v>13</v>
      </c>
      <c r="C82" s="32" t="str">
        <f t="shared" si="34"/>
        <v>Spud System (Spud Winch)</v>
      </c>
      <c r="D82" s="114">
        <f t="shared" si="35"/>
        <v>31</v>
      </c>
      <c r="E82" s="166">
        <f t="shared" si="36"/>
        <v>55.15</v>
      </c>
      <c r="O82" s="108"/>
      <c r="P82" s="58">
        <f>RANK(R82,$Q$54:$R$93,0)+COUNTIF($Q82:R$93,R82)-1</f>
        <v>3</v>
      </c>
      <c r="Q82" s="192" t="str">
        <f t="shared" si="14"/>
        <v>Main Hoist (Holder)</v>
      </c>
      <c r="R82" s="193">
        <f t="shared" ref="R82:S82" si="48">X31</f>
        <v>65</v>
      </c>
      <c r="S82" s="194">
        <f t="shared" si="48"/>
        <v>362.12249999986727</v>
      </c>
    </row>
    <row r="83" spans="2:19" x14ac:dyDescent="0.2">
      <c r="B83" s="114">
        <v>14</v>
      </c>
      <c r="C83" s="32" t="str">
        <f t="shared" si="34"/>
        <v>Electrical/Electronics (PLC)</v>
      </c>
      <c r="D83" s="114">
        <f t="shared" si="35"/>
        <v>30</v>
      </c>
      <c r="E83" s="166">
        <f t="shared" si="36"/>
        <v>45.625277777682058</v>
      </c>
      <c r="O83" s="108"/>
      <c r="P83" s="61">
        <f>RANK(R83,$Q$54:$R$93,0)+COUNTIF($Q83:R$93,R83)-1</f>
        <v>16</v>
      </c>
      <c r="Q83" s="189" t="str">
        <f t="shared" si="14"/>
        <v>Main Hoist (Holder Wire)</v>
      </c>
      <c r="R83" s="190">
        <f t="shared" ref="R83:S83" si="49">X32</f>
        <v>25</v>
      </c>
      <c r="S83" s="191">
        <f t="shared" si="49"/>
        <v>46.349166666711682</v>
      </c>
    </row>
    <row r="84" spans="2:19" x14ac:dyDescent="0.2">
      <c r="B84" s="114">
        <v>15</v>
      </c>
      <c r="C84" s="32" t="str">
        <f t="shared" si="34"/>
        <v>Deck Winch (Winch)</v>
      </c>
      <c r="D84" s="114">
        <f t="shared" si="35"/>
        <v>28</v>
      </c>
      <c r="E84" s="166">
        <f t="shared" si="36"/>
        <v>21.969999999976718</v>
      </c>
      <c r="O84" s="108"/>
      <c r="P84" s="36">
        <f>RANK(R84,$Q$54:$R$93,0)+COUNTIF($Q84:R$93,R84)-1</f>
        <v>28</v>
      </c>
      <c r="Q84" s="111" t="str">
        <f t="shared" si="14"/>
        <v>Spud System (Spud Sheaves)</v>
      </c>
      <c r="R84" s="112">
        <f t="shared" ref="R84:S84" si="50">X33</f>
        <v>1</v>
      </c>
      <c r="S84" s="165">
        <f t="shared" si="50"/>
        <v>0.25</v>
      </c>
    </row>
    <row r="85" spans="2:19" x14ac:dyDescent="0.2">
      <c r="B85" s="114">
        <v>16</v>
      </c>
      <c r="C85" s="32" t="str">
        <f t="shared" si="34"/>
        <v>Main Hoist (Holder Wire)</v>
      </c>
      <c r="D85" s="114">
        <f t="shared" si="35"/>
        <v>25</v>
      </c>
      <c r="E85" s="166">
        <f t="shared" si="36"/>
        <v>46.349166666711682</v>
      </c>
      <c r="O85" s="108"/>
      <c r="P85" s="36">
        <f>RANK(R85,$Q$54:$R$93,0)+COUNTIF($Q85:R$93,R85)-1</f>
        <v>21</v>
      </c>
      <c r="Q85" s="111" t="str">
        <f t="shared" si="14"/>
        <v>Spud System (Spud Structure)</v>
      </c>
      <c r="R85" s="112">
        <f t="shared" ref="R85:S85" si="51">X34</f>
        <v>9</v>
      </c>
      <c r="S85" s="165">
        <f t="shared" si="51"/>
        <v>82.18666666660458</v>
      </c>
    </row>
    <row r="86" spans="2:19" x14ac:dyDescent="0.2">
      <c r="B86" s="114">
        <v>17</v>
      </c>
      <c r="C86" s="32" t="str">
        <f t="shared" si="34"/>
        <v>Spud System (Walking Mechanisms (Carriage / Travel))</v>
      </c>
      <c r="D86" s="114">
        <f t="shared" si="35"/>
        <v>24</v>
      </c>
      <c r="E86" s="166">
        <f t="shared" si="36"/>
        <v>76.235000000176939</v>
      </c>
      <c r="O86" s="108"/>
      <c r="P86" s="36">
        <f>RANK(R86,$Q$54:$R$93,0)+COUNTIF($Q86:R$93,R86)-1</f>
        <v>13</v>
      </c>
      <c r="Q86" s="111" t="str">
        <f t="shared" si="14"/>
        <v>Spud System (Spud Winch)</v>
      </c>
      <c r="R86" s="112">
        <f t="shared" ref="R86:S86" si="52">X35</f>
        <v>31</v>
      </c>
      <c r="S86" s="165">
        <f t="shared" si="52"/>
        <v>55.15</v>
      </c>
    </row>
    <row r="87" spans="2:19" x14ac:dyDescent="0.2">
      <c r="B87" s="114">
        <v>18</v>
      </c>
      <c r="C87" s="32" t="str">
        <f t="shared" si="34"/>
        <v>Tagline (Tagline Winch (motor, gearbox, etc.))</v>
      </c>
      <c r="D87" s="114">
        <f t="shared" si="35"/>
        <v>22</v>
      </c>
      <c r="E87" s="166">
        <f t="shared" si="36"/>
        <v>28.66999999994179</v>
      </c>
      <c r="O87" s="108"/>
      <c r="P87" s="36">
        <f>RANK(R87,$Q$54:$R$93,0)+COUNTIF($Q87:R$93,R87)-1</f>
        <v>20</v>
      </c>
      <c r="Q87" s="111" t="str">
        <f t="shared" si="14"/>
        <v>Spud System (Spud Wires)</v>
      </c>
      <c r="R87" s="112">
        <f t="shared" ref="R87:S87" si="53">X36</f>
        <v>11</v>
      </c>
      <c r="S87" s="165">
        <f t="shared" si="53"/>
        <v>71.84277777771932</v>
      </c>
    </row>
    <row r="88" spans="2:19" x14ac:dyDescent="0.2">
      <c r="B88" s="114">
        <v>19</v>
      </c>
      <c r="C88" s="32" t="str">
        <f t="shared" si="34"/>
        <v>Auxiliary Systems (Compressed Air)</v>
      </c>
      <c r="D88" s="114">
        <f t="shared" si="35"/>
        <v>12</v>
      </c>
      <c r="E88" s="166">
        <f t="shared" si="36"/>
        <v>12.270000000000001</v>
      </c>
      <c r="O88" s="108"/>
      <c r="P88" s="61">
        <f>RANK(R88,$Q$54:$R$93,0)+COUNTIF($Q88:R$93,R88)-1</f>
        <v>17</v>
      </c>
      <c r="Q88" s="189" t="str">
        <f t="shared" si="14"/>
        <v>Spud System (Walking Mechanisms (Carriage / Travel))</v>
      </c>
      <c r="R88" s="190">
        <f t="shared" ref="R88:S88" si="54">X37</f>
        <v>24</v>
      </c>
      <c r="S88" s="191">
        <f t="shared" si="54"/>
        <v>76.235000000176939</v>
      </c>
    </row>
    <row r="89" spans="2:19" x14ac:dyDescent="0.2">
      <c r="B89" s="114">
        <v>20</v>
      </c>
      <c r="C89" s="32" t="str">
        <f t="shared" si="34"/>
        <v>Spud System (Spud Wires)</v>
      </c>
      <c r="D89" s="114">
        <f t="shared" si="35"/>
        <v>11</v>
      </c>
      <c r="E89" s="166">
        <f t="shared" si="36"/>
        <v>71.84277777771932</v>
      </c>
      <c r="O89" s="108"/>
      <c r="P89" s="36">
        <f>RANK(R89,$Q$54:$R$93,0)+COUNTIF($Q89:R$93,R89)-1</f>
        <v>31</v>
      </c>
      <c r="Q89" s="111" t="str">
        <f t="shared" si="14"/>
        <v>Tagline (Tagline Sheaves)</v>
      </c>
      <c r="R89" s="112">
        <f t="shared" ref="R89:S89" si="55">X38</f>
        <v>0</v>
      </c>
      <c r="S89" s="165">
        <f t="shared" si="55"/>
        <v>0</v>
      </c>
    </row>
    <row r="90" spans="2:19" x14ac:dyDescent="0.2">
      <c r="B90" s="114">
        <v>21</v>
      </c>
      <c r="C90" s="32" t="str">
        <f t="shared" si="34"/>
        <v>Spud System (Spud Structure)</v>
      </c>
      <c r="D90" s="114">
        <f t="shared" si="35"/>
        <v>9</v>
      </c>
      <c r="E90" s="166">
        <f t="shared" si="36"/>
        <v>82.18666666660458</v>
      </c>
      <c r="O90" s="108"/>
      <c r="P90" s="36">
        <f>RANK(R90,$Q$54:$R$93,0)+COUNTIF($Q90:R$93,R90)-1</f>
        <v>18</v>
      </c>
      <c r="Q90" s="111" t="str">
        <f t="shared" si="14"/>
        <v>Tagline (Tagline Winch (motor, gearbox, etc.))</v>
      </c>
      <c r="R90" s="112">
        <f t="shared" ref="R90:S90" si="56">X39</f>
        <v>22</v>
      </c>
      <c r="S90" s="165">
        <f t="shared" si="56"/>
        <v>28.66999999994179</v>
      </c>
    </row>
    <row r="91" spans="2:19" x14ac:dyDescent="0.2">
      <c r="B91" s="114">
        <v>22</v>
      </c>
      <c r="C91" s="32" t="str">
        <f t="shared" si="34"/>
        <v>Electrical/Electronics (Transformers)</v>
      </c>
      <c r="D91" s="114">
        <f t="shared" si="35"/>
        <v>8</v>
      </c>
      <c r="E91" s="166">
        <f t="shared" si="36"/>
        <v>34.58</v>
      </c>
      <c r="O91" s="108"/>
      <c r="P91" s="61">
        <f>RANK(R91,$Q$54:$R$93,0)+COUNTIF($Q91:R$93,R91)-1</f>
        <v>8</v>
      </c>
      <c r="Q91" s="189" t="str">
        <f t="shared" si="14"/>
        <v>Tagline (Tagline Wire)</v>
      </c>
      <c r="R91" s="190">
        <f t="shared" ref="R91:S91" si="57">X40</f>
        <v>50</v>
      </c>
      <c r="S91" s="191">
        <f t="shared" si="57"/>
        <v>41.579444444531106</v>
      </c>
    </row>
    <row r="92" spans="2:19" x14ac:dyDescent="0.2">
      <c r="B92" s="114">
        <v>23</v>
      </c>
      <c r="C92" s="32" t="str">
        <f t="shared" si="34"/>
        <v>Tugs and Scows (Tug Repair)</v>
      </c>
      <c r="D92" s="114">
        <f t="shared" si="35"/>
        <v>7</v>
      </c>
      <c r="E92" s="166">
        <f t="shared" si="36"/>
        <v>13.07</v>
      </c>
      <c r="O92" s="108"/>
      <c r="P92" s="36">
        <f>RANK(R92,$Q$54:$R$93,0)+COUNTIF($Q92:R$93,R92)-1</f>
        <v>7</v>
      </c>
      <c r="Q92" s="111" t="str">
        <f t="shared" si="14"/>
        <v>Tugs and Scows (Scow Repair)</v>
      </c>
      <c r="R92" s="112">
        <f t="shared" ref="R92:S92" si="58">X41</f>
        <v>57</v>
      </c>
      <c r="S92" s="165">
        <f t="shared" si="58"/>
        <v>132.47499999981142</v>
      </c>
    </row>
    <row r="93" spans="2:19" x14ac:dyDescent="0.2">
      <c r="B93" s="114">
        <v>24</v>
      </c>
      <c r="C93" s="32" t="str">
        <f t="shared" si="34"/>
        <v>Deck Winch (Fairleads)</v>
      </c>
      <c r="D93" s="114">
        <f t="shared" si="35"/>
        <v>4</v>
      </c>
      <c r="E93" s="166">
        <f t="shared" si="36"/>
        <v>10.193888888917863</v>
      </c>
      <c r="O93" s="108"/>
      <c r="P93" s="36">
        <f>RANK(R93,$Q$54:$R$93,0)+COUNTIF($Q93:R$93,R93)-1</f>
        <v>23</v>
      </c>
      <c r="Q93" s="111" t="str">
        <f t="shared" si="14"/>
        <v>Tugs and Scows (Tug Repair)</v>
      </c>
      <c r="R93" s="112">
        <f t="shared" ref="R93:S93" si="59">X42</f>
        <v>7</v>
      </c>
      <c r="S93" s="165">
        <f t="shared" si="59"/>
        <v>13.07</v>
      </c>
    </row>
    <row r="94" spans="2:19" x14ac:dyDescent="0.2">
      <c r="B94" s="114">
        <v>25</v>
      </c>
      <c r="C94" s="32" t="str">
        <f t="shared" si="34"/>
        <v>Crane Boom (Boom / Gantry Structure)</v>
      </c>
      <c r="D94" s="114">
        <f t="shared" si="35"/>
        <v>4</v>
      </c>
      <c r="E94" s="166">
        <f t="shared" si="36"/>
        <v>4.3266666666278617</v>
      </c>
      <c r="O94" s="108"/>
      <c r="P94" s="36"/>
      <c r="Q94" s="113"/>
      <c r="R94" s="107"/>
      <c r="S94" s="107"/>
    </row>
    <row r="95" spans="2:19" x14ac:dyDescent="0.2">
      <c r="B95" s="114">
        <v>26</v>
      </c>
      <c r="C95" s="32" t="str">
        <f t="shared" si="34"/>
        <v>Auxiliary Systems (Deck Crane)</v>
      </c>
      <c r="D95" s="114">
        <f t="shared" si="35"/>
        <v>4</v>
      </c>
      <c r="E95" s="166">
        <f t="shared" si="36"/>
        <v>3.16</v>
      </c>
      <c r="O95" s="108"/>
      <c r="P95" s="36"/>
      <c r="Q95" s="113"/>
      <c r="R95" s="107"/>
      <c r="S95" s="107"/>
    </row>
    <row r="96" spans="2:19" x14ac:dyDescent="0.2">
      <c r="B96" s="114">
        <v>27</v>
      </c>
      <c r="C96" s="32" t="str">
        <f t="shared" si="34"/>
        <v>Crane Boom (Boom Wires)</v>
      </c>
      <c r="D96" s="114">
        <f t="shared" si="35"/>
        <v>2</v>
      </c>
      <c r="E96" s="166">
        <f t="shared" si="36"/>
        <v>3</v>
      </c>
      <c r="O96" s="108"/>
      <c r="P96" s="108"/>
      <c r="Q96" s="113"/>
      <c r="R96" s="107"/>
      <c r="S96" s="107"/>
    </row>
    <row r="97" spans="2:19" x14ac:dyDescent="0.2">
      <c r="B97" s="114">
        <v>28</v>
      </c>
      <c r="C97" s="32" t="str">
        <f t="shared" si="34"/>
        <v>Spud System (Spud Sheaves)</v>
      </c>
      <c r="D97" s="114">
        <f t="shared" si="35"/>
        <v>1</v>
      </c>
      <c r="E97" s="166">
        <f t="shared" si="36"/>
        <v>0.25</v>
      </c>
      <c r="O97" s="108"/>
      <c r="P97" s="108"/>
      <c r="Q97" s="113"/>
      <c r="R97" s="107"/>
      <c r="S97" s="107"/>
    </row>
    <row r="98" spans="2:19" x14ac:dyDescent="0.2">
      <c r="B98" s="114">
        <v>29</v>
      </c>
      <c r="C98" s="32" t="str">
        <f t="shared" si="34"/>
        <v>Auxiliary Systems (Heating, Ventilation, A/C)</v>
      </c>
      <c r="D98" s="114">
        <f t="shared" si="35"/>
        <v>1</v>
      </c>
      <c r="E98" s="166">
        <f t="shared" si="36"/>
        <v>0.36</v>
      </c>
      <c r="O98" s="108"/>
      <c r="P98" s="108"/>
      <c r="Q98" s="113"/>
      <c r="R98" s="107"/>
      <c r="S98" s="107"/>
    </row>
    <row r="99" spans="2:19" x14ac:dyDescent="0.2">
      <c r="B99" s="114">
        <v>30</v>
      </c>
      <c r="C99" s="32" t="str">
        <f t="shared" si="34"/>
        <v>Auxiliary Systems (Fuel)</v>
      </c>
      <c r="D99" s="114">
        <f t="shared" si="35"/>
        <v>1</v>
      </c>
      <c r="E99" s="166">
        <f t="shared" si="36"/>
        <v>16.170000000000002</v>
      </c>
      <c r="O99" s="108"/>
      <c r="P99" s="108"/>
      <c r="Q99" s="113"/>
      <c r="R99" s="107"/>
      <c r="S99" s="107"/>
    </row>
    <row r="100" spans="2:19" x14ac:dyDescent="0.2">
      <c r="B100" s="114">
        <v>31</v>
      </c>
      <c r="C100" s="32" t="str">
        <f t="shared" si="34"/>
        <v>Tagline (Tagline Sheaves)</v>
      </c>
      <c r="D100" s="114">
        <f t="shared" si="35"/>
        <v>0</v>
      </c>
      <c r="E100" s="166">
        <f t="shared" si="36"/>
        <v>0</v>
      </c>
      <c r="O100" s="108"/>
      <c r="P100" s="108"/>
      <c r="Q100" s="113"/>
      <c r="R100" s="107"/>
      <c r="S100" s="107"/>
    </row>
    <row r="101" spans="2:19" x14ac:dyDescent="0.2">
      <c r="B101" s="114">
        <v>32</v>
      </c>
      <c r="C101" s="32" t="str">
        <f t="shared" si="34"/>
        <v>Main / Aux. Generators (Auxiliary Generator)</v>
      </c>
      <c r="D101" s="114">
        <f t="shared" si="35"/>
        <v>0</v>
      </c>
      <c r="E101" s="166">
        <f t="shared" si="36"/>
        <v>0</v>
      </c>
      <c r="O101" s="108"/>
      <c r="P101" s="108"/>
      <c r="Q101" s="113"/>
      <c r="R101" s="107"/>
      <c r="S101" s="107"/>
    </row>
    <row r="102" spans="2:19" x14ac:dyDescent="0.2">
      <c r="B102" s="114">
        <v>33</v>
      </c>
      <c r="C102" s="32" t="str">
        <f t="shared" si="34"/>
        <v>Hull (Hull / House Repair)</v>
      </c>
      <c r="D102" s="114">
        <f t="shared" si="35"/>
        <v>0</v>
      </c>
      <c r="E102" s="166">
        <f t="shared" si="36"/>
        <v>0</v>
      </c>
      <c r="O102" s="108"/>
      <c r="P102" s="108"/>
      <c r="Q102" s="113"/>
      <c r="R102" s="107"/>
      <c r="S102" s="107"/>
    </row>
    <row r="103" spans="2:19" x14ac:dyDescent="0.2">
      <c r="B103" s="114">
        <v>34</v>
      </c>
      <c r="C103" s="32" t="str">
        <f t="shared" si="34"/>
        <v>Hull (Deck Fittings (cleats, timbers, etc.))</v>
      </c>
      <c r="D103" s="114">
        <f t="shared" si="35"/>
        <v>0</v>
      </c>
      <c r="E103" s="166">
        <f t="shared" si="36"/>
        <v>0</v>
      </c>
      <c r="O103" s="32"/>
      <c r="P103" s="108"/>
      <c r="Q103" s="113"/>
      <c r="R103" s="107"/>
      <c r="S103" s="107"/>
    </row>
    <row r="104" spans="2:19" x14ac:dyDescent="0.2">
      <c r="B104" s="114">
        <v>35</v>
      </c>
      <c r="C104" s="32" t="str">
        <f t="shared" si="34"/>
        <v>Electrical/Electronics (Navigation Lights)</v>
      </c>
      <c r="D104" s="114">
        <f t="shared" si="35"/>
        <v>0</v>
      </c>
      <c r="E104" s="166">
        <f t="shared" si="36"/>
        <v>0</v>
      </c>
      <c r="O104" s="32"/>
      <c r="P104" s="108"/>
      <c r="Q104" s="113"/>
      <c r="R104" s="107"/>
      <c r="S104" s="107"/>
    </row>
    <row r="105" spans="2:19" x14ac:dyDescent="0.2">
      <c r="B105" s="114">
        <v>36</v>
      </c>
      <c r="C105" s="32" t="str">
        <f t="shared" si="34"/>
        <v>Crane Boom (Penant Wire)</v>
      </c>
      <c r="D105" s="114">
        <f t="shared" si="35"/>
        <v>0</v>
      </c>
      <c r="E105" s="166">
        <f t="shared" si="36"/>
        <v>0</v>
      </c>
      <c r="O105" s="32"/>
      <c r="P105" s="108"/>
      <c r="Q105" s="113"/>
      <c r="R105" s="107"/>
      <c r="S105" s="107"/>
    </row>
    <row r="106" spans="2:19" x14ac:dyDescent="0.2">
      <c r="B106" s="114">
        <v>37</v>
      </c>
      <c r="C106" s="32" t="str">
        <f t="shared" si="34"/>
        <v>Crane Boom (Boom / Gantry Sheaves)</v>
      </c>
      <c r="D106" s="114">
        <f t="shared" si="35"/>
        <v>0</v>
      </c>
      <c r="E106" s="166">
        <f t="shared" si="36"/>
        <v>0</v>
      </c>
      <c r="O106" s="32"/>
      <c r="P106" s="113"/>
      <c r="Q106" s="113"/>
      <c r="R106" s="113"/>
      <c r="S106" s="113"/>
    </row>
    <row r="107" spans="2:19" x14ac:dyDescent="0.2">
      <c r="B107" s="114">
        <v>38</v>
      </c>
      <c r="C107" s="32" t="str">
        <f t="shared" si="34"/>
        <v>Auxiliary Systems (Sanitary System)</v>
      </c>
      <c r="D107" s="114">
        <f t="shared" ref="D107:D109" si="60">VLOOKUP(B107,$P$4:$S$93,3,0)</f>
        <v>0</v>
      </c>
      <c r="E107" s="166">
        <f t="shared" ref="E107:E109" si="61">VLOOKUP(B107,$P$4:$S$93,4,0)</f>
        <v>0</v>
      </c>
      <c r="O107" s="32"/>
      <c r="P107" s="113"/>
      <c r="Q107" s="113"/>
      <c r="R107" s="113"/>
      <c r="S107" s="113"/>
    </row>
    <row r="108" spans="2:19" x14ac:dyDescent="0.2">
      <c r="B108" s="114">
        <v>39</v>
      </c>
      <c r="C108" s="32" t="str">
        <f t="shared" si="34"/>
        <v>Auxiliary Systems (Potable Water)</v>
      </c>
      <c r="D108" s="114">
        <f t="shared" si="60"/>
        <v>0</v>
      </c>
      <c r="E108" s="166">
        <f t="shared" si="61"/>
        <v>0</v>
      </c>
    </row>
    <row r="109" spans="2:19" x14ac:dyDescent="0.2">
      <c r="B109" s="114">
        <v>40</v>
      </c>
      <c r="C109" s="32" t="str">
        <f t="shared" si="34"/>
        <v>Auxiliary Systems (Fire Main)</v>
      </c>
      <c r="D109" s="114">
        <f t="shared" si="60"/>
        <v>0</v>
      </c>
      <c r="E109" s="166">
        <f t="shared" si="61"/>
        <v>0</v>
      </c>
    </row>
    <row r="110" spans="2:19" x14ac:dyDescent="0.2">
      <c r="B110" s="114"/>
      <c r="C110" s="32"/>
      <c r="D110" s="114"/>
      <c r="E110" s="114"/>
    </row>
    <row r="111" spans="2:19" x14ac:dyDescent="0.2">
      <c r="B111" s="114"/>
      <c r="C111" s="32"/>
      <c r="D111" s="114"/>
      <c r="E111" s="114"/>
    </row>
    <row r="112" spans="2:19" x14ac:dyDescent="0.2">
      <c r="B112" s="114"/>
      <c r="C112" s="32"/>
      <c r="D112" s="114"/>
      <c r="E112" s="114"/>
    </row>
    <row r="113" spans="2:5" x14ac:dyDescent="0.2">
      <c r="B113" s="114"/>
      <c r="C113" s="32"/>
      <c r="D113" s="114"/>
      <c r="E113" s="114"/>
    </row>
    <row r="114" spans="2:5" x14ac:dyDescent="0.2">
      <c r="B114" s="114"/>
      <c r="C114" s="32"/>
      <c r="D114" s="114"/>
      <c r="E114" s="114"/>
    </row>
    <row r="115" spans="2:5" x14ac:dyDescent="0.2">
      <c r="B115" s="114"/>
      <c r="C115" s="32"/>
      <c r="D115" s="114"/>
      <c r="E115" s="114"/>
    </row>
  </sheetData>
  <sortState ref="C72:E111">
    <sortCondition descending="1" ref="D72:D111"/>
  </sortState>
  <mergeCells count="7">
    <mergeCell ref="Q52:S52"/>
    <mergeCell ref="X1:Y1"/>
    <mergeCell ref="AB1:AC1"/>
    <mergeCell ref="O46:Q46"/>
    <mergeCell ref="O1:Q1"/>
    <mergeCell ref="R1:S1"/>
    <mergeCell ref="U1:V1"/>
  </mergeCells>
  <pageMargins left="0.75" right="0.75" top="0.5" bottom="0.5" header="0.5" footer="0.25"/>
  <pageSetup scale="64"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9"/>
  <sheetViews>
    <sheetView showGridLines="0" topLeftCell="A31" zoomScaleNormal="100" workbookViewId="0">
      <selection activeCell="L58" sqref="L58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35" bestFit="1" customWidth="1"/>
    <col min="7" max="7" width="7.5703125" style="2" bestFit="1" customWidth="1"/>
    <col min="8" max="10" width="13.42578125" style="2" customWidth="1"/>
    <col min="11" max="11" width="9.140625" style="2"/>
    <col min="12" max="12" width="10.42578125" style="2" bestFit="1" customWidth="1"/>
    <col min="13" max="13" width="39.7109375" style="2" customWidth="1"/>
    <col min="14" max="14" width="4.7109375" style="2" bestFit="1" customWidth="1"/>
    <col min="15" max="15" width="8.140625" style="162" bestFit="1" customWidth="1"/>
    <col min="16" max="16384" width="9.140625" style="2"/>
  </cols>
  <sheetData>
    <row r="1" spans="1:15" s="22" customFormat="1" ht="30" customHeight="1" x14ac:dyDescent="0.2">
      <c r="A1" s="27" t="s">
        <v>2</v>
      </c>
      <c r="B1" s="20"/>
      <c r="C1" s="21"/>
      <c r="D1" s="21"/>
      <c r="E1" s="21"/>
      <c r="F1" s="41"/>
      <c r="O1" s="167"/>
    </row>
    <row r="2" spans="1:15" ht="15.75" x14ac:dyDescent="0.25">
      <c r="A2" s="3"/>
      <c r="C2" s="4"/>
      <c r="D2" s="4"/>
      <c r="E2" s="4"/>
      <c r="H2" s="30"/>
    </row>
    <row r="3" spans="1:15" ht="15.75" x14ac:dyDescent="0.25">
      <c r="A3" s="5" t="s">
        <v>0</v>
      </c>
      <c r="C3" s="6"/>
      <c r="D3" s="7"/>
      <c r="E3" s="7"/>
      <c r="H3" s="8"/>
      <c r="L3" s="106" t="s">
        <v>135</v>
      </c>
      <c r="M3" s="241" t="s">
        <v>134</v>
      </c>
      <c r="N3" s="241"/>
      <c r="O3" s="241"/>
    </row>
    <row r="4" spans="1:15" x14ac:dyDescent="0.2">
      <c r="A4" s="9" t="s">
        <v>8</v>
      </c>
      <c r="C4" s="6"/>
      <c r="D4" s="7"/>
      <c r="E4" s="7"/>
      <c r="L4" s="114">
        <f>RANK(O4,$O$4:$O$43,0)+COUNTIF($O$4:O4,O4)-1</f>
        <v>24</v>
      </c>
      <c r="M4" s="111" t="str">
        <f>'53 count'!Q54</f>
        <v>Auxiliary Systems (Compressed Air)</v>
      </c>
      <c r="N4" s="111">
        <f>'53 count'!R54</f>
        <v>12</v>
      </c>
      <c r="O4" s="168">
        <f>'53 count'!S54</f>
        <v>12.270000000000001</v>
      </c>
    </row>
    <row r="5" spans="1:15" x14ac:dyDescent="0.2">
      <c r="A5" s="10" t="s">
        <v>1</v>
      </c>
      <c r="C5" s="6"/>
      <c r="D5" s="7"/>
      <c r="E5" s="7"/>
      <c r="L5" s="114">
        <f>RANK(O5,$O$4:$O$43,0)+COUNTIF($O$4:O5,O5)-1</f>
        <v>27</v>
      </c>
      <c r="M5" s="111" t="str">
        <f>'53 count'!Q55</f>
        <v>Auxiliary Systems (Deck Crane)</v>
      </c>
      <c r="N5" s="111">
        <f>'53 count'!R55</f>
        <v>4</v>
      </c>
      <c r="O5" s="168">
        <f>'53 count'!S55</f>
        <v>3.16</v>
      </c>
    </row>
    <row r="6" spans="1:15" x14ac:dyDescent="0.2">
      <c r="L6" s="114">
        <f>RANK(O6,$O$4:$O$43,0)+COUNTIF($O$4:O6,O6)-1</f>
        <v>31</v>
      </c>
      <c r="M6" s="111" t="str">
        <f>'53 count'!Q56</f>
        <v>Auxiliary Systems (Fire Main)</v>
      </c>
      <c r="N6" s="111">
        <f>'53 count'!R56</f>
        <v>0</v>
      </c>
      <c r="O6" s="168">
        <f>'53 count'!S56</f>
        <v>0</v>
      </c>
    </row>
    <row r="7" spans="1:15" x14ac:dyDescent="0.2">
      <c r="L7" s="114">
        <f>RANK(O7,$O$4:$O$43,0)+COUNTIF($O$4:O7,O7)-1</f>
        <v>22</v>
      </c>
      <c r="M7" s="111" t="str">
        <f>'53 count'!Q57</f>
        <v>Auxiliary Systems (Fuel)</v>
      </c>
      <c r="N7" s="111">
        <f>'53 count'!R57</f>
        <v>1</v>
      </c>
      <c r="O7" s="168">
        <f>'53 count'!S57</f>
        <v>16.170000000000002</v>
      </c>
    </row>
    <row r="8" spans="1:15" x14ac:dyDescent="0.2">
      <c r="L8" s="114">
        <f>RANK(O8,$O$4:$O$43,0)+COUNTIF($O$4:O8,O8)-1</f>
        <v>29</v>
      </c>
      <c r="M8" s="111" t="str">
        <f>'53 count'!Q58</f>
        <v>Auxiliary Systems (Heating, Ventilation, A/C)</v>
      </c>
      <c r="N8" s="111">
        <f>'53 count'!R58</f>
        <v>1</v>
      </c>
      <c r="O8" s="168">
        <f>'53 count'!S58</f>
        <v>0.36</v>
      </c>
    </row>
    <row r="9" spans="1:15" x14ac:dyDescent="0.2">
      <c r="L9" s="114">
        <f>RANK(O9,$O$4:$O$43,0)+COUNTIF($O$4:O9,O9)-1</f>
        <v>32</v>
      </c>
      <c r="M9" s="111" t="str">
        <f>'53 count'!Q59</f>
        <v>Auxiliary Systems (Potable Water)</v>
      </c>
      <c r="N9" s="111">
        <f>'53 count'!R59</f>
        <v>0</v>
      </c>
      <c r="O9" s="168">
        <f>'53 count'!S59</f>
        <v>0</v>
      </c>
    </row>
    <row r="10" spans="1:15" x14ac:dyDescent="0.2">
      <c r="L10" s="198">
        <f>RANK(O10,$O$4:$O$43,0)+COUNTIF($O$4:O10,O10)-1</f>
        <v>33</v>
      </c>
      <c r="M10" s="189" t="str">
        <f>'53 count'!Q60</f>
        <v>Auxiliary Systems (Sanitary System)</v>
      </c>
      <c r="N10" s="189">
        <f>'53 count'!R60</f>
        <v>0</v>
      </c>
      <c r="O10" s="199">
        <f>'53 count'!S60</f>
        <v>0</v>
      </c>
    </row>
    <row r="11" spans="1:15" x14ac:dyDescent="0.2">
      <c r="L11" s="198">
        <f>RANK(O11,$O$4:$O$43,0)+COUNTIF($O$4:O11,O11)-1</f>
        <v>3</v>
      </c>
      <c r="M11" s="189" t="str">
        <f>'53 count'!Q61</f>
        <v>Buckets (Weld / Repair Bucket)</v>
      </c>
      <c r="N11" s="189">
        <f>'53 count'!R61</f>
        <v>105</v>
      </c>
      <c r="O11" s="199">
        <f>'53 count'!S61</f>
        <v>199.31472222228069</v>
      </c>
    </row>
    <row r="12" spans="1:15" x14ac:dyDescent="0.2">
      <c r="L12" s="114">
        <f>RANK(O12,$O$4:$O$43,0)+COUNTIF($O$4:O12,O12)-1</f>
        <v>34</v>
      </c>
      <c r="M12" s="111" t="str">
        <f>'53 count'!Q62</f>
        <v>Crane Boom (Boom / Gantry Sheaves)</v>
      </c>
      <c r="N12" s="111">
        <f>'53 count'!R62</f>
        <v>0</v>
      </c>
      <c r="O12" s="168">
        <f>'53 count'!S62</f>
        <v>0</v>
      </c>
    </row>
    <row r="13" spans="1:15" x14ac:dyDescent="0.2">
      <c r="L13" s="114">
        <f>RANK(O13,$O$4:$O$43,0)+COUNTIF($O$4:O13,O13)-1</f>
        <v>26</v>
      </c>
      <c r="M13" s="111" t="str">
        <f>'53 count'!Q63</f>
        <v>Crane Boom (Boom / Gantry Structure)</v>
      </c>
      <c r="N13" s="111">
        <f>'53 count'!R63</f>
        <v>4</v>
      </c>
      <c r="O13" s="168">
        <f>'53 count'!S63</f>
        <v>4.3266666666278617</v>
      </c>
    </row>
    <row r="14" spans="1:15" x14ac:dyDescent="0.2">
      <c r="L14" s="114">
        <f>RANK(O14,$O$4:$O$43,0)+COUNTIF($O$4:O14,O14)-1</f>
        <v>6</v>
      </c>
      <c r="M14" s="111" t="str">
        <f>'53 count'!Q64</f>
        <v>Crane Boom (Boom Winch)</v>
      </c>
      <c r="N14" s="111">
        <f>'53 count'!R64</f>
        <v>49</v>
      </c>
      <c r="O14" s="168">
        <f>'53 count'!S64</f>
        <v>122.53722222222713</v>
      </c>
    </row>
    <row r="15" spans="1:15" x14ac:dyDescent="0.2">
      <c r="L15" s="114">
        <f>RANK(O15,$O$4:$O$43,0)+COUNTIF($O$4:O15,O15)-1</f>
        <v>28</v>
      </c>
      <c r="M15" s="111" t="str">
        <f>'53 count'!Q65</f>
        <v>Crane Boom (Boom Wires)</v>
      </c>
      <c r="N15" s="111">
        <f>'53 count'!R65</f>
        <v>2</v>
      </c>
      <c r="O15" s="168">
        <f>'53 count'!S65</f>
        <v>3</v>
      </c>
    </row>
    <row r="16" spans="1:15" x14ac:dyDescent="0.2">
      <c r="L16" s="198">
        <f>RANK(O16,$O$4:$O$43,0)+COUNTIF($O$4:O16,O16)-1</f>
        <v>35</v>
      </c>
      <c r="M16" s="189" t="str">
        <f>'53 count'!Q66</f>
        <v>Crane Boom (Penant Wire)</v>
      </c>
      <c r="N16" s="189">
        <f>'53 count'!R66</f>
        <v>0</v>
      </c>
      <c r="O16" s="199">
        <f>'53 count'!S66</f>
        <v>0</v>
      </c>
    </row>
    <row r="17" spans="2:15" x14ac:dyDescent="0.2">
      <c r="L17" s="114">
        <f>RANK(O17,$O$4:$O$43,0)+COUNTIF($O$4:O17,O17)-1</f>
        <v>1</v>
      </c>
      <c r="M17" s="111" t="str">
        <f>'53 count'!Q67</f>
        <v>Crane Swing (Drive (motor, gear box, etc.))</v>
      </c>
      <c r="N17" s="111">
        <f>'53 count'!R67</f>
        <v>62</v>
      </c>
      <c r="O17" s="168">
        <f>'53 count'!S67</f>
        <v>364.68722222075331</v>
      </c>
    </row>
    <row r="18" spans="2:15" x14ac:dyDescent="0.2">
      <c r="L18" s="198">
        <f>RANK(O18,$O$4:$O$43,0)+COUNTIF($O$4:O18,O18)-1</f>
        <v>9</v>
      </c>
      <c r="M18" s="189" t="str">
        <f>'53 count'!Q68</f>
        <v>Crane Swing (Swing Circle (rollers, etc.))</v>
      </c>
      <c r="N18" s="189">
        <f>'53 count'!R68</f>
        <v>38</v>
      </c>
      <c r="O18" s="199">
        <f>'53 count'!S68</f>
        <v>101.14944444441703</v>
      </c>
    </row>
    <row r="19" spans="2:15" x14ac:dyDescent="0.2">
      <c r="L19" s="114">
        <f>RANK(O19,$O$4:$O$43,0)+COUNTIF($O$4:O19,O19)-1</f>
        <v>25</v>
      </c>
      <c r="M19" s="111" t="str">
        <f>'53 count'!Q69</f>
        <v>Deck Winch (Fairleads)</v>
      </c>
      <c r="N19" s="111">
        <f>'53 count'!R69</f>
        <v>4</v>
      </c>
      <c r="O19" s="168">
        <f>'53 count'!S69</f>
        <v>10.193888888917863</v>
      </c>
    </row>
    <row r="20" spans="2:15" x14ac:dyDescent="0.2">
      <c r="L20" s="198">
        <f>RANK(O20,$O$4:$O$43,0)+COUNTIF($O$4:O20,O20)-1</f>
        <v>21</v>
      </c>
      <c r="M20" s="189" t="str">
        <f>'53 count'!Q70</f>
        <v>Deck Winch (Winch)</v>
      </c>
      <c r="N20" s="189">
        <f>'53 count'!R70</f>
        <v>28</v>
      </c>
      <c r="O20" s="199">
        <f>'53 count'!S70</f>
        <v>21.969999999976718</v>
      </c>
    </row>
    <row r="21" spans="2:15" x14ac:dyDescent="0.2">
      <c r="L21" s="114">
        <f>RANK(O21,$O$4:$O$43,0)+COUNTIF($O$4:O21,O21)-1</f>
        <v>19</v>
      </c>
      <c r="M21" s="111" t="str">
        <f>'53 count'!Q71</f>
        <v>Electrical/Electronics (MCC / Switch Gear)</v>
      </c>
      <c r="N21" s="111">
        <f>'53 count'!R71</f>
        <v>34</v>
      </c>
      <c r="O21" s="168">
        <f>'53 count'!S71</f>
        <v>30.685555555645841</v>
      </c>
    </row>
    <row r="22" spans="2:15" x14ac:dyDescent="0.2">
      <c r="L22" s="114">
        <f>RANK(O22,$O$4:$O$43,0)+COUNTIF($O$4:O22,O22)-1</f>
        <v>36</v>
      </c>
      <c r="M22" s="111" t="str">
        <f>'53 count'!Q72</f>
        <v>Electrical/Electronics (Navigation Lights)</v>
      </c>
      <c r="N22" s="111">
        <f>'53 count'!R72</f>
        <v>0</v>
      </c>
      <c r="O22" s="168">
        <f>'53 count'!S72</f>
        <v>0</v>
      </c>
    </row>
    <row r="23" spans="2:15" x14ac:dyDescent="0.2">
      <c r="B23" s="11" t="s">
        <v>11</v>
      </c>
      <c r="L23" s="114">
        <f>RANK(O23,$O$4:$O$43,0)+COUNTIF($O$4:O23,O23)-1</f>
        <v>15</v>
      </c>
      <c r="M23" s="111" t="str">
        <f>'53 count'!Q73</f>
        <v>Electrical/Electronics (PLC)</v>
      </c>
      <c r="N23" s="111">
        <f>'53 count'!R73</f>
        <v>30</v>
      </c>
      <c r="O23" s="168">
        <f>'53 count'!S73</f>
        <v>45.625277777682058</v>
      </c>
    </row>
    <row r="24" spans="2:15" x14ac:dyDescent="0.2">
      <c r="L24" s="198">
        <f>RANK(O24,$O$4:$O$43,0)+COUNTIF($O$4:O24,O24)-1</f>
        <v>17</v>
      </c>
      <c r="M24" s="189" t="str">
        <f>'53 count'!Q74</f>
        <v>Electrical/Electronics (Transformers)</v>
      </c>
      <c r="N24" s="189">
        <f>'53 count'!R74</f>
        <v>8</v>
      </c>
      <c r="O24" s="199">
        <f>'53 count'!S74</f>
        <v>34.58</v>
      </c>
    </row>
    <row r="25" spans="2:15" x14ac:dyDescent="0.2">
      <c r="L25" s="114">
        <f>RANK(O25,$O$4:$O$43,0)+COUNTIF($O$4:O25,O25)-1</f>
        <v>37</v>
      </c>
      <c r="M25" s="111" t="str">
        <f>'53 count'!Q75</f>
        <v>Hull (Deck Fittings (cleats, timbers, etc.))</v>
      </c>
      <c r="N25" s="111">
        <f>'53 count'!R75</f>
        <v>0</v>
      </c>
      <c r="O25" s="168">
        <f>'53 count'!S75</f>
        <v>0</v>
      </c>
    </row>
    <row r="26" spans="2:15" x14ac:dyDescent="0.2">
      <c r="L26" s="198">
        <f>RANK(O26,$O$4:$O$43,0)+COUNTIF($O$4:O26,O26)-1</f>
        <v>38</v>
      </c>
      <c r="M26" s="189" t="str">
        <f>'53 count'!Q76</f>
        <v>Hull (Hull / House Repair)</v>
      </c>
      <c r="N26" s="189">
        <f>'53 count'!R76</f>
        <v>0</v>
      </c>
      <c r="O26" s="199">
        <f>'53 count'!S76</f>
        <v>0</v>
      </c>
    </row>
    <row r="27" spans="2:15" x14ac:dyDescent="0.2">
      <c r="L27" s="114">
        <f>RANK(O27,$O$4:$O$43,0)+COUNTIF($O$4:O27,O27)-1</f>
        <v>39</v>
      </c>
      <c r="M27" s="111" t="str">
        <f>'53 count'!Q77</f>
        <v>Main / Aux. Generators (Auxiliary Generator)</v>
      </c>
      <c r="N27" s="111">
        <f>'53 count'!R77</f>
        <v>0</v>
      </c>
      <c r="O27" s="168">
        <f>'53 count'!S77</f>
        <v>0</v>
      </c>
    </row>
    <row r="28" spans="2:15" ht="15.75" x14ac:dyDescent="0.25">
      <c r="B28" s="28" t="str">
        <f ca="1">"The first "&amp;COUNT(H33:H62)&amp;" "&amp;C32&amp;" cover "&amp;TEXT(OFFSET(E32,COUNT(H33:H62),0,1,1),"0.??%")&amp;" of the Total "&amp;D32</f>
        <v>The first 12 Causes cover 82.86% of the Total Hours</v>
      </c>
      <c r="C28" s="7"/>
      <c r="L28" s="114">
        <f>RANK(O28,$O$4:$O$43,0)+COUNTIF($O$4:O28,O28)-1</f>
        <v>4</v>
      </c>
      <c r="M28" s="111" t="str">
        <f>'53 count'!Q78</f>
        <v>Main / Aux. Generators (Main Generator)</v>
      </c>
      <c r="N28" s="111">
        <f>'53 count'!R78</f>
        <v>65</v>
      </c>
      <c r="O28" s="168">
        <f>'53 count'!S78</f>
        <v>196.53777777785433</v>
      </c>
    </row>
    <row r="29" spans="2:15" x14ac:dyDescent="0.2">
      <c r="L29" s="198">
        <f>RANK(O29,$O$4:$O$43,0)+COUNTIF($O$4:O29,O29)-1</f>
        <v>8</v>
      </c>
      <c r="M29" s="189" t="str">
        <f>'53 count'!Q79</f>
        <v>Main / Aux. Generators (Main Generator Engine)</v>
      </c>
      <c r="N29" s="189">
        <f>'53 count'!R79</f>
        <v>112</v>
      </c>
      <c r="O29" s="199">
        <f>'53 count'!S79</f>
        <v>114.47999999999999</v>
      </c>
    </row>
    <row r="30" spans="2:15" x14ac:dyDescent="0.2">
      <c r="L30" s="114">
        <f>RANK(O30,$O$4:$O$43,0)+COUNTIF($O$4:O30,O30)-1</f>
        <v>18</v>
      </c>
      <c r="M30" s="111" t="str">
        <f>'53 count'!Q80</f>
        <v>Main Hoist (Closer)</v>
      </c>
      <c r="N30" s="111">
        <f>'53 count'!R80</f>
        <v>65</v>
      </c>
      <c r="O30" s="168">
        <f>'53 count'!S80</f>
        <v>33.793888888799117</v>
      </c>
    </row>
    <row r="31" spans="2:15" x14ac:dyDescent="0.2">
      <c r="D31" s="12" t="s">
        <v>9</v>
      </c>
      <c r="E31" s="29">
        <v>0.8</v>
      </c>
      <c r="L31" s="114">
        <f>RANK(O31,$O$4:$O$43,0)+COUNTIF($O$4:O31,O31)-1</f>
        <v>7</v>
      </c>
      <c r="M31" s="111" t="str">
        <f>'53 count'!Q81</f>
        <v>Main Hoist (Closer Wire)</v>
      </c>
      <c r="N31" s="111">
        <f>'53 count'!R81</f>
        <v>47</v>
      </c>
      <c r="O31" s="168">
        <f>'53 count'!S81</f>
        <v>116.56027777804528</v>
      </c>
    </row>
    <row r="32" spans="2:15" ht="15.75" x14ac:dyDescent="0.25">
      <c r="B32" s="24" t="s">
        <v>3</v>
      </c>
      <c r="C32" s="25" t="s">
        <v>5</v>
      </c>
      <c r="D32" s="26" t="s">
        <v>13</v>
      </c>
      <c r="E32" s="24" t="s">
        <v>4</v>
      </c>
      <c r="F32" s="38" t="s">
        <v>31</v>
      </c>
      <c r="G32" s="38" t="s">
        <v>14</v>
      </c>
      <c r="H32" s="13" t="s">
        <v>6</v>
      </c>
      <c r="I32" s="13" t="s">
        <v>7</v>
      </c>
      <c r="J32" s="13" t="s">
        <v>10</v>
      </c>
      <c r="L32" s="200">
        <f>RANK(O32,$O$4:$O$43,0)+COUNTIF($O$4:O32,O32)-1</f>
        <v>2</v>
      </c>
      <c r="M32" s="111" t="str">
        <f>'53 count'!Q82</f>
        <v>Main Hoist (Holder)</v>
      </c>
      <c r="N32" s="111">
        <f>'53 count'!R82</f>
        <v>65</v>
      </c>
      <c r="O32" s="168">
        <f>'53 count'!S82</f>
        <v>362.12249999986727</v>
      </c>
    </row>
    <row r="33" spans="2:15" x14ac:dyDescent="0.2">
      <c r="B33" s="216">
        <f t="shared" ref="B33:B62" si="0">ROW(B33)-ROW($B$32)</f>
        <v>1</v>
      </c>
      <c r="C33" s="220" t="s">
        <v>173</v>
      </c>
      <c r="D33" s="221">
        <v>364.68722222075331</v>
      </c>
      <c r="E33" s="217">
        <f>SUM(D33:D$33)/SUM($D$33:$D$62)</f>
        <v>0.15576054328933317</v>
      </c>
      <c r="F33" s="218">
        <f>E33</f>
        <v>0.15576054328933317</v>
      </c>
      <c r="G33" s="202">
        <v>62</v>
      </c>
      <c r="H33" s="16">
        <f t="shared" ref="H33:H62" ca="1" si="1">IF(OR(B33=1,OFFSET($E$32,B33-1,0,1,1)&lt;=$E$31),OFFSET($D$32,B33,0,1,1),"")</f>
        <v>364.68722222075331</v>
      </c>
      <c r="I33" s="17" t="str">
        <f t="shared" ref="I33:I62" ca="1" si="2">IF(H33="",OFFSET($D$32,B33,0,1,1),"")</f>
        <v/>
      </c>
      <c r="J33" s="18">
        <f t="shared" ref="J33:J62" si="3">$E$31</f>
        <v>0.8</v>
      </c>
      <c r="L33" s="198">
        <f>RANK(O33,$O$4:$O$43,0)+COUNTIF($O$4:O33,O33)-1</f>
        <v>14</v>
      </c>
      <c r="M33" s="189" t="str">
        <f>'53 count'!Q83</f>
        <v>Main Hoist (Holder Wire)</v>
      </c>
      <c r="N33" s="189">
        <f>'53 count'!R83</f>
        <v>25</v>
      </c>
      <c r="O33" s="199">
        <f>'53 count'!S83</f>
        <v>46.349166666711682</v>
      </c>
    </row>
    <row r="34" spans="2:15" x14ac:dyDescent="0.2">
      <c r="B34" s="216">
        <f t="shared" si="0"/>
        <v>2</v>
      </c>
      <c r="C34" s="220" t="s">
        <v>90</v>
      </c>
      <c r="D34" s="221">
        <v>362.12249999986727</v>
      </c>
      <c r="E34" s="217">
        <f>SUM(D$33:D34)/SUM($D$33:$D$62)</f>
        <v>0.31042567521744896</v>
      </c>
      <c r="F34" s="218">
        <f>E34-E33</f>
        <v>0.15466513192811579</v>
      </c>
      <c r="G34" s="202">
        <v>65</v>
      </c>
      <c r="H34" s="16">
        <f t="shared" ref="H34:H54" ca="1" si="4">IF(OR(B34=1,OFFSET($E$32,B34-1,0,1,1)&lt;=$E$31),OFFSET($D$32,B34,0,1,1),"")</f>
        <v>362.12249999986727</v>
      </c>
      <c r="I34" s="17" t="str">
        <f t="shared" ref="I34:I54" ca="1" si="5">IF(H34="",OFFSET($D$32,B34,0,1,1),"")</f>
        <v/>
      </c>
      <c r="J34" s="18">
        <f t="shared" si="3"/>
        <v>0.8</v>
      </c>
      <c r="L34" s="114">
        <f>RANK(O34,$O$4:$O$43,0)+COUNTIF($O$4:O34,O34)-1</f>
        <v>30</v>
      </c>
      <c r="M34" s="111" t="str">
        <f>'53 count'!Q84</f>
        <v>Spud System (Spud Sheaves)</v>
      </c>
      <c r="N34" s="111">
        <f>'53 count'!R84</f>
        <v>1</v>
      </c>
      <c r="O34" s="168">
        <f>'53 count'!S84</f>
        <v>0.25</v>
      </c>
    </row>
    <row r="35" spans="2:15" x14ac:dyDescent="0.2">
      <c r="B35" s="216">
        <f t="shared" si="0"/>
        <v>3</v>
      </c>
      <c r="C35" s="220" t="s">
        <v>175</v>
      </c>
      <c r="D35" s="221">
        <v>199.31472222228069</v>
      </c>
      <c r="E35" s="217">
        <f>SUM(D$33:D35)/SUM($D$33:$D$62)</f>
        <v>0.39555443083947217</v>
      </c>
      <c r="F35" s="218">
        <f t="shared" ref="F35:F36" si="6">E35-E34</f>
        <v>8.5128755622023211E-2</v>
      </c>
      <c r="G35" s="202">
        <v>105</v>
      </c>
      <c r="H35" s="16">
        <f t="shared" ca="1" si="4"/>
        <v>199.31472222228069</v>
      </c>
      <c r="I35" s="17" t="str">
        <f t="shared" ca="1" si="5"/>
        <v/>
      </c>
      <c r="J35" s="18">
        <f t="shared" si="3"/>
        <v>0.8</v>
      </c>
      <c r="L35" s="114">
        <f>RANK(O35,$O$4:$O$43,0)+COUNTIF($O$4:O35,O35)-1</f>
        <v>10</v>
      </c>
      <c r="M35" s="111" t="str">
        <f>'53 count'!Q85</f>
        <v>Spud System (Spud Structure)</v>
      </c>
      <c r="N35" s="111">
        <f>'53 count'!R85</f>
        <v>9</v>
      </c>
      <c r="O35" s="168">
        <f>'53 count'!S85</f>
        <v>82.18666666660458</v>
      </c>
    </row>
    <row r="36" spans="2:15" x14ac:dyDescent="0.2">
      <c r="B36" s="216">
        <f t="shared" si="0"/>
        <v>4</v>
      </c>
      <c r="C36" s="220" t="s">
        <v>177</v>
      </c>
      <c r="D36" s="221">
        <v>196.53777777785433</v>
      </c>
      <c r="E36" s="217">
        <f>SUM(D$33:D36)/SUM($D$33:$D$62)</f>
        <v>0.47949713345773443</v>
      </c>
      <c r="F36" s="218">
        <f t="shared" si="6"/>
        <v>8.3942702618262255E-2</v>
      </c>
      <c r="G36" s="202">
        <v>65</v>
      </c>
      <c r="H36" s="16">
        <f t="shared" ca="1" si="4"/>
        <v>196.53777777785433</v>
      </c>
      <c r="I36" s="17" t="str">
        <f t="shared" ca="1" si="5"/>
        <v/>
      </c>
      <c r="J36" s="18">
        <f t="shared" si="3"/>
        <v>0.8</v>
      </c>
      <c r="L36" s="114">
        <f>RANK(O36,$O$4:$O$43,0)+COUNTIF($O$4:O36,O36)-1</f>
        <v>13</v>
      </c>
      <c r="M36" s="111" t="str">
        <f>'53 count'!Q86</f>
        <v>Spud System (Spud Winch)</v>
      </c>
      <c r="N36" s="111">
        <f>'53 count'!R86</f>
        <v>31</v>
      </c>
      <c r="O36" s="168">
        <f>'53 count'!S86</f>
        <v>55.15</v>
      </c>
    </row>
    <row r="37" spans="2:15" x14ac:dyDescent="0.2">
      <c r="B37" s="216">
        <f t="shared" si="0"/>
        <v>5</v>
      </c>
      <c r="C37" s="220" t="s">
        <v>97</v>
      </c>
      <c r="D37" s="221">
        <v>132.47499999981142</v>
      </c>
      <c r="E37" s="217">
        <f>SUM(D$33:D37)/SUM($D$33:$D$62)</f>
        <v>0.53607816156881694</v>
      </c>
      <c r="F37" s="218">
        <f t="shared" ref="F37:F62" si="7">E37-E36</f>
        <v>5.658102811108251E-2</v>
      </c>
      <c r="G37" s="202">
        <v>57</v>
      </c>
      <c r="H37" s="16">
        <f t="shared" ca="1" si="4"/>
        <v>132.47499999981142</v>
      </c>
      <c r="I37" s="17" t="str">
        <f t="shared" ca="1" si="5"/>
        <v/>
      </c>
      <c r="J37" s="18">
        <f t="shared" si="3"/>
        <v>0.8</v>
      </c>
      <c r="L37" s="114">
        <f>RANK(O37,$O$4:$O$43,0)+COUNTIF($O$4:O37,O37)-1</f>
        <v>12</v>
      </c>
      <c r="M37" s="111" t="str">
        <f>'53 count'!Q87</f>
        <v>Spud System (Spud Wires)</v>
      </c>
      <c r="N37" s="111">
        <f>'53 count'!R87</f>
        <v>11</v>
      </c>
      <c r="O37" s="168">
        <f>'53 count'!S87</f>
        <v>71.84277777771932</v>
      </c>
    </row>
    <row r="38" spans="2:15" x14ac:dyDescent="0.2">
      <c r="B38" s="216">
        <f t="shared" si="0"/>
        <v>6</v>
      </c>
      <c r="C38" s="220" t="s">
        <v>76</v>
      </c>
      <c r="D38" s="221">
        <v>122.53722222222713</v>
      </c>
      <c r="E38" s="217">
        <f>SUM(D$33:D38)/SUM($D$33:$D$62)</f>
        <v>0.58841469310472694</v>
      </c>
      <c r="F38" s="218">
        <f t="shared" si="7"/>
        <v>5.2336531535910003E-2</v>
      </c>
      <c r="G38" s="202">
        <v>49</v>
      </c>
      <c r="H38" s="16">
        <f t="shared" ca="1" si="4"/>
        <v>122.53722222222713</v>
      </c>
      <c r="I38" s="17" t="str">
        <f t="shared" ca="1" si="5"/>
        <v/>
      </c>
      <c r="J38" s="18">
        <f t="shared" si="3"/>
        <v>0.8</v>
      </c>
      <c r="L38" s="198">
        <f>RANK(O38,$O$4:$O$43,0)+COUNTIF($O$4:O38,O38)-1</f>
        <v>11</v>
      </c>
      <c r="M38" s="189" t="str">
        <f>'53 count'!Q88</f>
        <v>Spud System (Walking Mechanisms (Carriage / Travel))</v>
      </c>
      <c r="N38" s="189">
        <f>'53 count'!R88</f>
        <v>24</v>
      </c>
      <c r="O38" s="199">
        <f>'53 count'!S88</f>
        <v>76.235000000176939</v>
      </c>
    </row>
    <row r="39" spans="2:15" x14ac:dyDescent="0.2">
      <c r="B39" s="216">
        <f t="shared" si="0"/>
        <v>7</v>
      </c>
      <c r="C39" s="220" t="s">
        <v>89</v>
      </c>
      <c r="D39" s="221">
        <v>116.56027777804528</v>
      </c>
      <c r="E39" s="217">
        <f>SUM(D$33:D39)/SUM($D$33:$D$62)</f>
        <v>0.63819842855371389</v>
      </c>
      <c r="F39" s="218">
        <f t="shared" si="7"/>
        <v>4.9783735448986954E-2</v>
      </c>
      <c r="G39" s="202">
        <v>47</v>
      </c>
      <c r="H39" s="16">
        <f t="shared" ca="1" si="4"/>
        <v>116.56027777804528</v>
      </c>
      <c r="I39" s="17" t="str">
        <f t="shared" ca="1" si="5"/>
        <v/>
      </c>
      <c r="J39" s="18">
        <f t="shared" si="3"/>
        <v>0.8</v>
      </c>
      <c r="L39" s="114">
        <f>RANK(O39,$O$4:$O$43,0)+COUNTIF($O$4:O39,O39)-1</f>
        <v>40</v>
      </c>
      <c r="M39" s="111" t="str">
        <f>'53 count'!Q89</f>
        <v>Tagline (Tagline Sheaves)</v>
      </c>
      <c r="N39" s="111">
        <f>'53 count'!R89</f>
        <v>0</v>
      </c>
      <c r="O39" s="168">
        <f>'53 count'!S89</f>
        <v>0</v>
      </c>
    </row>
    <row r="40" spans="2:15" x14ac:dyDescent="0.2">
      <c r="B40" s="216">
        <f t="shared" si="0"/>
        <v>8</v>
      </c>
      <c r="C40" s="220" t="s">
        <v>176</v>
      </c>
      <c r="D40" s="221">
        <v>114.47999999999999</v>
      </c>
      <c r="E40" s="217">
        <f>SUM(D$33:D40)/SUM($D$33:$D$62)</f>
        <v>0.68709366235757086</v>
      </c>
      <c r="F40" s="218">
        <f t="shared" si="7"/>
        <v>4.8895233803856963E-2</v>
      </c>
      <c r="G40" s="202">
        <v>112</v>
      </c>
      <c r="H40" s="16">
        <f t="shared" ca="1" si="4"/>
        <v>114.47999999999999</v>
      </c>
      <c r="I40" s="17" t="str">
        <f t="shared" ca="1" si="5"/>
        <v/>
      </c>
      <c r="J40" s="18">
        <f t="shared" si="3"/>
        <v>0.8</v>
      </c>
      <c r="L40" s="114">
        <f>RANK(O40,$O$4:$O$43,0)+COUNTIF($O$4:O40,O40)-1</f>
        <v>20</v>
      </c>
      <c r="M40" s="111" t="str">
        <f>'53 count'!Q90</f>
        <v>Tagline (Tagline Winch (motor, gearbox, etc.))</v>
      </c>
      <c r="N40" s="111">
        <f>'53 count'!R90</f>
        <v>22</v>
      </c>
      <c r="O40" s="168">
        <f>'53 count'!S90</f>
        <v>28.66999999994179</v>
      </c>
    </row>
    <row r="41" spans="2:15" x14ac:dyDescent="0.2">
      <c r="B41" s="216">
        <f t="shared" si="0"/>
        <v>9</v>
      </c>
      <c r="C41" s="220" t="s">
        <v>182</v>
      </c>
      <c r="D41" s="221">
        <v>101.14944444441703</v>
      </c>
      <c r="E41" s="217">
        <f>SUM(D$33:D41)/SUM($D$33:$D$62)</f>
        <v>0.73029531972339901</v>
      </c>
      <c r="F41" s="218">
        <f t="shared" si="7"/>
        <v>4.320165736582815E-2</v>
      </c>
      <c r="G41" s="202">
        <v>38</v>
      </c>
      <c r="H41" s="16">
        <f t="shared" ca="1" si="4"/>
        <v>101.14944444441703</v>
      </c>
      <c r="I41" s="17" t="str">
        <f t="shared" ca="1" si="5"/>
        <v/>
      </c>
      <c r="J41" s="18">
        <f t="shared" si="3"/>
        <v>0.8</v>
      </c>
      <c r="L41" s="198">
        <f>RANK(O41,$O$4:$O$43,0)+COUNTIF($O$4:O41,O41)-1</f>
        <v>16</v>
      </c>
      <c r="M41" s="189" t="str">
        <f>'53 count'!Q91</f>
        <v>Tagline (Tagline Wire)</v>
      </c>
      <c r="N41" s="189">
        <f>'53 count'!R91</f>
        <v>50</v>
      </c>
      <c r="O41" s="199">
        <f>'53 count'!S91</f>
        <v>41.579444444531106</v>
      </c>
    </row>
    <row r="42" spans="2:15" x14ac:dyDescent="0.2">
      <c r="B42" s="216">
        <f t="shared" si="0"/>
        <v>10</v>
      </c>
      <c r="C42" s="220" t="s">
        <v>93</v>
      </c>
      <c r="D42" s="221">
        <v>82.18666666660458</v>
      </c>
      <c r="E42" s="217">
        <f>SUM(D$33:D42)/SUM($D$33:$D$62)</f>
        <v>0.76539783791193228</v>
      </c>
      <c r="F42" s="218">
        <f t="shared" si="7"/>
        <v>3.5102518188533272E-2</v>
      </c>
      <c r="G42" s="219">
        <v>9</v>
      </c>
      <c r="H42" s="16">
        <f t="shared" ca="1" si="4"/>
        <v>82.18666666660458</v>
      </c>
      <c r="I42" s="17" t="str">
        <f t="shared" ca="1" si="5"/>
        <v/>
      </c>
      <c r="J42" s="18">
        <f t="shared" si="3"/>
        <v>0.8</v>
      </c>
      <c r="L42" s="114">
        <f>RANK(O42,$O$4:$O$43,0)+COUNTIF($O$4:O42,O42)-1</f>
        <v>5</v>
      </c>
      <c r="M42" s="111" t="str">
        <f>'53 count'!Q92</f>
        <v>Tugs and Scows (Scow Repair)</v>
      </c>
      <c r="N42" s="111">
        <f>'53 count'!R92</f>
        <v>57</v>
      </c>
      <c r="O42" s="168">
        <f>'53 count'!S92</f>
        <v>132.47499999981142</v>
      </c>
    </row>
    <row r="43" spans="2:15" x14ac:dyDescent="0.2">
      <c r="B43" s="216">
        <f t="shared" si="0"/>
        <v>11</v>
      </c>
      <c r="C43" s="220" t="s">
        <v>174</v>
      </c>
      <c r="D43" s="221">
        <v>76.235000000176939</v>
      </c>
      <c r="E43" s="217">
        <f>SUM(D$33:D43)/SUM($D$33:$D$62)</f>
        <v>0.7979583563347632</v>
      </c>
      <c r="F43" s="218">
        <f t="shared" si="7"/>
        <v>3.256051842283092E-2</v>
      </c>
      <c r="G43" s="219">
        <v>24</v>
      </c>
      <c r="H43" s="16">
        <f t="shared" ca="1" si="4"/>
        <v>76.235000000176939</v>
      </c>
      <c r="I43" s="17" t="str">
        <f t="shared" ca="1" si="5"/>
        <v/>
      </c>
      <c r="J43" s="18">
        <f t="shared" si="3"/>
        <v>0.8</v>
      </c>
      <c r="L43" s="114">
        <f>RANK(O43,$O$4:$O$43,0)+COUNTIF($O$4:O43,O43)-1</f>
        <v>23</v>
      </c>
      <c r="M43" s="111" t="str">
        <f>'53 count'!Q93</f>
        <v>Tugs and Scows (Tug Repair)</v>
      </c>
      <c r="N43" s="111">
        <f>'53 count'!R93</f>
        <v>7</v>
      </c>
      <c r="O43" s="168">
        <f>'53 count'!S93</f>
        <v>13.07</v>
      </c>
    </row>
    <row r="44" spans="2:15" x14ac:dyDescent="0.2">
      <c r="B44" s="216">
        <f t="shared" si="0"/>
        <v>12</v>
      </c>
      <c r="C44" s="220" t="s">
        <v>95</v>
      </c>
      <c r="D44" s="221">
        <v>71.84277777771932</v>
      </c>
      <c r="E44" s="217">
        <f>SUM(D$33:D44)/SUM($D$33:$D$62)</f>
        <v>0.8286429249629963</v>
      </c>
      <c r="F44" s="218">
        <f t="shared" si="7"/>
        <v>3.06845686282331E-2</v>
      </c>
      <c r="G44" s="219">
        <v>11</v>
      </c>
      <c r="H44" s="16">
        <f t="shared" ca="1" si="4"/>
        <v>71.84277777771932</v>
      </c>
      <c r="I44" s="17" t="str">
        <f t="shared" ca="1" si="5"/>
        <v/>
      </c>
      <c r="J44" s="18">
        <f t="shared" si="3"/>
        <v>0.8</v>
      </c>
      <c r="L44" s="107"/>
      <c r="M44" s="113"/>
      <c r="N44" s="113"/>
      <c r="O44" s="169"/>
    </row>
    <row r="45" spans="2:15" x14ac:dyDescent="0.2">
      <c r="B45" s="216">
        <f t="shared" si="0"/>
        <v>13</v>
      </c>
      <c r="C45" s="205" t="s">
        <v>94</v>
      </c>
      <c r="D45" s="206">
        <v>55.15</v>
      </c>
      <c r="E45" s="217">
        <f>SUM(D$33:D45)/SUM($D$33:$D$62)</f>
        <v>0.85219788778866634</v>
      </c>
      <c r="F45" s="218">
        <f t="shared" si="7"/>
        <v>2.3554962825670045E-2</v>
      </c>
      <c r="G45" s="202">
        <v>31</v>
      </c>
      <c r="H45" s="16" t="str">
        <f t="shared" ca="1" si="4"/>
        <v/>
      </c>
      <c r="I45" s="17">
        <f t="shared" ca="1" si="5"/>
        <v>55.15</v>
      </c>
      <c r="J45" s="18">
        <f t="shared" si="3"/>
        <v>0.8</v>
      </c>
      <c r="L45" s="107"/>
      <c r="M45" s="113"/>
      <c r="N45" s="113"/>
      <c r="O45" s="169"/>
    </row>
    <row r="46" spans="2:15" x14ac:dyDescent="0.2">
      <c r="B46" s="216">
        <f t="shared" si="0"/>
        <v>14</v>
      </c>
      <c r="C46" s="205" t="s">
        <v>91</v>
      </c>
      <c r="D46" s="206">
        <v>46.349166666711682</v>
      </c>
      <c r="E46" s="217">
        <f>SUM(D$33:D46)/SUM($D$33:$D$62)</f>
        <v>0.87199395121269507</v>
      </c>
      <c r="F46" s="218">
        <f t="shared" si="7"/>
        <v>1.9796063424028731E-2</v>
      </c>
      <c r="G46" s="219">
        <v>25</v>
      </c>
      <c r="H46" s="16" t="str">
        <f t="shared" ca="1" si="4"/>
        <v/>
      </c>
      <c r="I46" s="17">
        <f t="shared" ca="1" si="5"/>
        <v>46.349166666711682</v>
      </c>
      <c r="J46" s="18">
        <f t="shared" si="3"/>
        <v>0.8</v>
      </c>
      <c r="L46" s="107"/>
      <c r="M46" s="113"/>
      <c r="N46" s="113"/>
      <c r="O46" s="169"/>
    </row>
    <row r="47" spans="2:15" x14ac:dyDescent="0.2">
      <c r="B47" s="216">
        <f t="shared" si="0"/>
        <v>15</v>
      </c>
      <c r="C47" s="205" t="s">
        <v>178</v>
      </c>
      <c r="D47" s="206">
        <v>45.625277777682058</v>
      </c>
      <c r="E47" s="217">
        <f>SUM(D$33:D47)/SUM($D$33:$D$62)</f>
        <v>0.89148083647043153</v>
      </c>
      <c r="F47" s="218">
        <f t="shared" si="7"/>
        <v>1.9486885257736453E-2</v>
      </c>
      <c r="G47" s="219">
        <v>30</v>
      </c>
      <c r="H47" s="16" t="str">
        <f t="shared" ca="1" si="4"/>
        <v/>
      </c>
      <c r="I47" s="17">
        <f t="shared" ca="1" si="5"/>
        <v>45.625277777682058</v>
      </c>
      <c r="J47" s="18">
        <f t="shared" si="3"/>
        <v>0.8</v>
      </c>
      <c r="L47" s="107"/>
      <c r="M47" s="113"/>
      <c r="N47" s="113"/>
      <c r="O47" s="169"/>
    </row>
    <row r="48" spans="2:15" x14ac:dyDescent="0.2">
      <c r="B48" s="216">
        <f t="shared" si="0"/>
        <v>16</v>
      </c>
      <c r="C48" s="205" t="s">
        <v>163</v>
      </c>
      <c r="D48" s="206">
        <v>41.579444444531106</v>
      </c>
      <c r="E48" s="217">
        <f>SUM(D$33:D48)/SUM($D$33:$D$62)</f>
        <v>0.90923971712687657</v>
      </c>
      <c r="F48" s="218">
        <f t="shared" si="7"/>
        <v>1.7758880656445042E-2</v>
      </c>
      <c r="G48" s="202">
        <v>50</v>
      </c>
      <c r="H48" s="16" t="str">
        <f t="shared" ca="1" si="4"/>
        <v/>
      </c>
      <c r="I48" s="17">
        <f t="shared" ca="1" si="5"/>
        <v>41.579444444531106</v>
      </c>
      <c r="J48" s="18">
        <f t="shared" si="3"/>
        <v>0.8</v>
      </c>
      <c r="L48" s="107"/>
      <c r="M48" s="113"/>
      <c r="N48" s="113"/>
      <c r="O48" s="169"/>
    </row>
    <row r="49" spans="2:15" x14ac:dyDescent="0.2">
      <c r="B49" s="216">
        <f t="shared" si="0"/>
        <v>17</v>
      </c>
      <c r="C49" s="205" t="s">
        <v>185</v>
      </c>
      <c r="D49" s="206">
        <v>34.58</v>
      </c>
      <c r="E49" s="217">
        <f>SUM(D$33:D49)/SUM($D$33:$D$62)</f>
        <v>0.92400908457042452</v>
      </c>
      <c r="F49" s="218">
        <f t="shared" si="7"/>
        <v>1.4769367443547954E-2</v>
      </c>
      <c r="G49" s="219">
        <v>8</v>
      </c>
      <c r="H49" s="16" t="str">
        <f t="shared" ca="1" si="4"/>
        <v/>
      </c>
      <c r="I49" s="17">
        <f t="shared" ca="1" si="5"/>
        <v>34.58</v>
      </c>
      <c r="J49" s="18">
        <f t="shared" si="3"/>
        <v>0.8</v>
      </c>
      <c r="L49" s="107"/>
      <c r="M49" s="113"/>
      <c r="N49" s="113"/>
      <c r="O49" s="169"/>
    </row>
    <row r="50" spans="2:15" x14ac:dyDescent="0.2">
      <c r="B50" s="216">
        <f t="shared" si="0"/>
        <v>18</v>
      </c>
      <c r="C50" s="205" t="s">
        <v>88</v>
      </c>
      <c r="D50" s="206">
        <v>33.793888888799117</v>
      </c>
      <c r="E50" s="217">
        <f>SUM(D$33:D50)/SUM($D$33:$D$62)</f>
        <v>0.93844269828774984</v>
      </c>
      <c r="F50" s="218">
        <f t="shared" si="7"/>
        <v>1.4433613717325322E-2</v>
      </c>
      <c r="G50" s="202">
        <v>65</v>
      </c>
      <c r="H50" s="16" t="str">
        <f t="shared" ca="1" si="4"/>
        <v/>
      </c>
      <c r="I50" s="17">
        <f t="shared" ca="1" si="5"/>
        <v>33.793888888799117</v>
      </c>
      <c r="J50" s="18">
        <f t="shared" si="3"/>
        <v>0.8</v>
      </c>
      <c r="L50" s="107"/>
      <c r="M50" s="113"/>
      <c r="N50" s="113"/>
      <c r="O50" s="169"/>
    </row>
    <row r="51" spans="2:15" x14ac:dyDescent="0.2">
      <c r="B51" s="216">
        <f t="shared" si="0"/>
        <v>19</v>
      </c>
      <c r="C51" s="205" t="s">
        <v>181</v>
      </c>
      <c r="D51" s="206">
        <v>30.685555555645841</v>
      </c>
      <c r="E51" s="217">
        <f>SUM(D$33:D51)/SUM($D$33:$D$62)</f>
        <v>0.95154872041645833</v>
      </c>
      <c r="F51" s="218">
        <f t="shared" si="7"/>
        <v>1.3106022128708483E-2</v>
      </c>
      <c r="G51" s="219">
        <v>34</v>
      </c>
      <c r="H51" s="16" t="str">
        <f t="shared" ca="1" si="4"/>
        <v/>
      </c>
      <c r="I51" s="17">
        <f t="shared" ca="1" si="5"/>
        <v>30.685555555645841</v>
      </c>
      <c r="J51" s="18">
        <f t="shared" si="3"/>
        <v>0.8</v>
      </c>
      <c r="L51" s="107"/>
      <c r="M51" s="113"/>
      <c r="N51" s="113"/>
      <c r="O51" s="169"/>
    </row>
    <row r="52" spans="2:15" x14ac:dyDescent="0.2">
      <c r="B52" s="216">
        <f t="shared" si="0"/>
        <v>20</v>
      </c>
      <c r="C52" s="205" t="s">
        <v>180</v>
      </c>
      <c r="D52" s="206">
        <v>28.66999999994179</v>
      </c>
      <c r="E52" s="217">
        <f>SUM(D$33:D52)/SUM($D$33:$D$62)</f>
        <v>0.96379388422807366</v>
      </c>
      <c r="F52" s="218">
        <f t="shared" si="7"/>
        <v>1.2245163811615334E-2</v>
      </c>
      <c r="G52" s="219">
        <v>22</v>
      </c>
      <c r="H52" s="16" t="str">
        <f t="shared" ca="1" si="4"/>
        <v/>
      </c>
      <c r="I52" s="17">
        <f t="shared" ca="1" si="5"/>
        <v>28.66999999994179</v>
      </c>
      <c r="J52" s="18">
        <f t="shared" si="3"/>
        <v>0.8</v>
      </c>
      <c r="L52" s="107"/>
      <c r="M52" s="113"/>
      <c r="N52" s="113"/>
      <c r="O52" s="169"/>
    </row>
    <row r="53" spans="2:15" x14ac:dyDescent="0.2">
      <c r="B53" s="216">
        <f t="shared" si="0"/>
        <v>21</v>
      </c>
      <c r="C53" s="205" t="s">
        <v>80</v>
      </c>
      <c r="D53" s="206">
        <v>21.969999999976718</v>
      </c>
      <c r="E53" s="217">
        <f>SUM(D$33:D53)/SUM($D$33:$D$62)</f>
        <v>0.97317742970911492</v>
      </c>
      <c r="F53" s="218">
        <f t="shared" si="7"/>
        <v>9.3835454810412555E-3</v>
      </c>
      <c r="G53" s="219">
        <v>28</v>
      </c>
      <c r="H53" s="16" t="str">
        <f t="shared" ca="1" si="4"/>
        <v/>
      </c>
      <c r="I53" s="17">
        <f t="shared" ca="1" si="5"/>
        <v>21.969999999976718</v>
      </c>
      <c r="J53" s="18">
        <f t="shared" si="3"/>
        <v>0.8</v>
      </c>
      <c r="L53" s="107"/>
      <c r="M53" s="113"/>
      <c r="N53" s="113"/>
      <c r="O53" s="169"/>
    </row>
    <row r="54" spans="2:15" x14ac:dyDescent="0.2">
      <c r="B54" s="216">
        <f t="shared" si="0"/>
        <v>22</v>
      </c>
      <c r="C54" s="205" t="s">
        <v>28</v>
      </c>
      <c r="D54" s="206">
        <v>16.170000000000002</v>
      </c>
      <c r="E54" s="217">
        <f>SUM(D$33:D54)/SUM($D$33:$D$62)</f>
        <v>0.98008375335174569</v>
      </c>
      <c r="F54" s="218">
        <f t="shared" si="7"/>
        <v>6.9063236426307739E-3</v>
      </c>
      <c r="G54" s="219">
        <v>1</v>
      </c>
      <c r="H54" s="16" t="str">
        <f t="shared" ca="1" si="4"/>
        <v/>
      </c>
      <c r="I54" s="17">
        <f t="shared" ca="1" si="5"/>
        <v>16.170000000000002</v>
      </c>
      <c r="J54" s="18">
        <f t="shared" si="3"/>
        <v>0.8</v>
      </c>
      <c r="L54" s="107"/>
      <c r="M54" s="113"/>
      <c r="N54" s="113"/>
      <c r="O54" s="169"/>
    </row>
    <row r="55" spans="2:15" x14ac:dyDescent="0.2">
      <c r="B55" s="216">
        <f t="shared" si="0"/>
        <v>23</v>
      </c>
      <c r="C55" s="205" t="s">
        <v>98</v>
      </c>
      <c r="D55" s="206">
        <v>13.07</v>
      </c>
      <c r="E55" s="217">
        <f>SUM(D$33:D55)/SUM($D$33:$D$62)</f>
        <v>0.9856660446324621</v>
      </c>
      <c r="F55" s="218">
        <f t="shared" si="7"/>
        <v>5.5822912807164116E-3</v>
      </c>
      <c r="G55" s="219">
        <v>7</v>
      </c>
      <c r="H55" s="16" t="str">
        <f t="shared" ca="1" si="1"/>
        <v/>
      </c>
      <c r="I55" s="17">
        <f t="shared" ca="1" si="2"/>
        <v>13.07</v>
      </c>
      <c r="J55" s="18">
        <f t="shared" si="3"/>
        <v>0.8</v>
      </c>
      <c r="L55" s="107"/>
      <c r="M55" s="113"/>
      <c r="N55" s="113"/>
      <c r="O55" s="169"/>
    </row>
    <row r="56" spans="2:15" x14ac:dyDescent="0.2">
      <c r="B56" s="216">
        <f t="shared" si="0"/>
        <v>24</v>
      </c>
      <c r="C56" s="205" t="s">
        <v>27</v>
      </c>
      <c r="D56" s="206">
        <v>12.270000000000001</v>
      </c>
      <c r="E56" s="217">
        <f>SUM(D$33:D56)/SUM($D$33:$D$62)</f>
        <v>0.9909066501423619</v>
      </c>
      <c r="F56" s="218">
        <f t="shared" si="7"/>
        <v>5.2406055098997983E-3</v>
      </c>
      <c r="G56" s="219">
        <v>12</v>
      </c>
      <c r="H56" s="16" t="str">
        <f t="shared" ca="1" si="1"/>
        <v/>
      </c>
      <c r="I56" s="17">
        <f t="shared" ca="1" si="2"/>
        <v>12.270000000000001</v>
      </c>
      <c r="J56" s="18">
        <f t="shared" si="3"/>
        <v>0.8</v>
      </c>
    </row>
    <row r="57" spans="2:15" x14ac:dyDescent="0.2">
      <c r="B57" s="216">
        <f t="shared" si="0"/>
        <v>25</v>
      </c>
      <c r="C57" s="205" t="s">
        <v>79</v>
      </c>
      <c r="D57" s="206">
        <v>10.193888888917863</v>
      </c>
      <c r="E57" s="217">
        <f>SUM(D$33:D57)/SUM($D$33:$D$62)</f>
        <v>0.99526053362064792</v>
      </c>
      <c r="F57" s="218">
        <f t="shared" si="7"/>
        <v>4.3538834782860247E-3</v>
      </c>
      <c r="G57" s="219">
        <v>4</v>
      </c>
      <c r="H57" s="16" t="str">
        <f t="shared" ca="1" si="1"/>
        <v/>
      </c>
      <c r="I57" s="17">
        <f t="shared" ca="1" si="2"/>
        <v>10.193888888917863</v>
      </c>
      <c r="J57" s="18">
        <f t="shared" si="3"/>
        <v>0.8</v>
      </c>
    </row>
    <row r="58" spans="2:15" x14ac:dyDescent="0.2">
      <c r="B58" s="216">
        <f t="shared" si="0"/>
        <v>26</v>
      </c>
      <c r="C58" s="205" t="s">
        <v>75</v>
      </c>
      <c r="D58" s="206">
        <v>4.3266666666278617</v>
      </c>
      <c r="E58" s="217">
        <f>SUM(D$33:D58)/SUM($D$33:$D$62)</f>
        <v>0.9971084841644644</v>
      </c>
      <c r="F58" s="218">
        <f t="shared" si="7"/>
        <v>1.8479505438164789E-3</v>
      </c>
      <c r="G58" s="219">
        <v>4</v>
      </c>
      <c r="H58" s="16" t="str">
        <f t="shared" ca="1" si="1"/>
        <v/>
      </c>
      <c r="I58" s="17">
        <f t="shared" ca="1" si="2"/>
        <v>4.3266666666278617</v>
      </c>
      <c r="J58" s="18">
        <f t="shared" si="3"/>
        <v>0.8</v>
      </c>
    </row>
    <row r="59" spans="2:15" x14ac:dyDescent="0.2">
      <c r="B59" s="14">
        <f t="shared" si="0"/>
        <v>27</v>
      </c>
      <c r="C59" s="205" t="s">
        <v>69</v>
      </c>
      <c r="D59" s="206">
        <v>3.16</v>
      </c>
      <c r="E59" s="217">
        <f>SUM(D$33:D59)/SUM($D$33:$D$62)</f>
        <v>0.99845814295919</v>
      </c>
      <c r="F59" s="218">
        <f t="shared" si="7"/>
        <v>1.3496587947255945E-3</v>
      </c>
      <c r="G59" s="35">
        <v>4</v>
      </c>
      <c r="H59" s="16" t="str">
        <f t="shared" ca="1" si="1"/>
        <v/>
      </c>
      <c r="I59" s="17">
        <f t="shared" ca="1" si="2"/>
        <v>3.16</v>
      </c>
      <c r="J59" s="18">
        <f t="shared" si="3"/>
        <v>0.8</v>
      </c>
    </row>
    <row r="60" spans="2:15" x14ac:dyDescent="0.2">
      <c r="B60" s="14">
        <f t="shared" si="0"/>
        <v>28</v>
      </c>
      <c r="C60" s="205" t="s">
        <v>77</v>
      </c>
      <c r="D60" s="206">
        <v>3</v>
      </c>
      <c r="E60" s="217">
        <f>SUM(D$33:D60)/SUM($D$33:$D$62)</f>
        <v>0.99973946459975227</v>
      </c>
      <c r="F60" s="218">
        <f t="shared" si="7"/>
        <v>1.2813216405622718E-3</v>
      </c>
      <c r="G60" s="35">
        <v>2</v>
      </c>
      <c r="H60" s="16" t="str">
        <f t="shared" ca="1" si="1"/>
        <v/>
      </c>
      <c r="I60" s="17">
        <f t="shared" ca="1" si="2"/>
        <v>3</v>
      </c>
      <c r="J60" s="18">
        <f t="shared" si="3"/>
        <v>0.8</v>
      </c>
    </row>
    <row r="61" spans="2:15" x14ac:dyDescent="0.2">
      <c r="B61" s="14">
        <f t="shared" si="0"/>
        <v>29</v>
      </c>
      <c r="C61" s="31" t="s">
        <v>183</v>
      </c>
      <c r="D61" s="137">
        <v>0.36</v>
      </c>
      <c r="E61" s="217">
        <f>SUM(D$33:D61)/SUM($D$33:$D$62)</f>
        <v>0.99989322319661977</v>
      </c>
      <c r="F61" s="218">
        <f t="shared" si="7"/>
        <v>1.5375859686750371E-4</v>
      </c>
      <c r="G61" s="35">
        <v>1</v>
      </c>
      <c r="H61" s="16" t="str">
        <f t="shared" ca="1" si="1"/>
        <v/>
      </c>
      <c r="I61" s="17">
        <f t="shared" ca="1" si="2"/>
        <v>0.36</v>
      </c>
      <c r="J61" s="18">
        <f t="shared" si="3"/>
        <v>0.8</v>
      </c>
    </row>
    <row r="62" spans="2:15" x14ac:dyDescent="0.2">
      <c r="B62" s="14">
        <f t="shared" si="0"/>
        <v>30</v>
      </c>
      <c r="C62" s="31" t="s">
        <v>92</v>
      </c>
      <c r="D62" s="137">
        <v>0.25</v>
      </c>
      <c r="E62" s="217">
        <f>SUM(D$33:D62)/SUM($D$33:$D$62)</f>
        <v>1</v>
      </c>
      <c r="F62" s="218">
        <f t="shared" si="7"/>
        <v>1.0677680338022633E-4</v>
      </c>
      <c r="G62" s="35">
        <v>1</v>
      </c>
      <c r="H62" s="16" t="str">
        <f t="shared" ca="1" si="1"/>
        <v/>
      </c>
      <c r="I62" s="17">
        <f t="shared" ca="1" si="2"/>
        <v>0.25</v>
      </c>
      <c r="J62" s="18">
        <f t="shared" si="3"/>
        <v>0.8</v>
      </c>
    </row>
    <row r="63" spans="2:15" x14ac:dyDescent="0.2">
      <c r="B63" s="19" t="s">
        <v>12</v>
      </c>
      <c r="C63" s="1"/>
      <c r="D63" s="1"/>
      <c r="E63" s="1"/>
      <c r="F63" s="1"/>
      <c r="G63" s="1"/>
      <c r="H63" s="1"/>
      <c r="I63" s="1"/>
      <c r="J63" s="1"/>
    </row>
    <row r="68" spans="2:5" x14ac:dyDescent="0.2">
      <c r="B68" s="114" t="s">
        <v>3</v>
      </c>
      <c r="C68" s="115" t="s">
        <v>136</v>
      </c>
      <c r="D68" s="115"/>
      <c r="E68" s="116" t="s">
        <v>137</v>
      </c>
    </row>
    <row r="69" spans="2:5" x14ac:dyDescent="0.2">
      <c r="B69" s="32"/>
      <c r="C69" s="32"/>
      <c r="D69" s="32"/>
      <c r="E69" s="32"/>
    </row>
    <row r="70" spans="2:5" x14ac:dyDescent="0.2">
      <c r="B70" s="114">
        <v>1</v>
      </c>
      <c r="C70" s="32" t="str">
        <f>VLOOKUP(B70,$L$4:$O$43,2,0)</f>
        <v>Crane Swing (Drive (motor, gear box, etc.))</v>
      </c>
      <c r="D70" s="166">
        <f>VLOOKUP(B70,$L$4:$O$43,4,0)</f>
        <v>364.68722222075331</v>
      </c>
      <c r="E70" s="114">
        <f>VLOOKUP(B70,$L$4:$O$43,3,0)</f>
        <v>62</v>
      </c>
    </row>
    <row r="71" spans="2:5" x14ac:dyDescent="0.2">
      <c r="B71" s="114">
        <v>2</v>
      </c>
      <c r="C71" s="32" t="str">
        <f t="shared" ref="C71:C109" si="8">VLOOKUP(B71,$L$4:$O$43,2,0)</f>
        <v>Main Hoist (Holder)</v>
      </c>
      <c r="D71" s="166">
        <f t="shared" ref="D71:D109" si="9">VLOOKUP(B71,$L$4:$O$43,4,0)</f>
        <v>362.12249999986727</v>
      </c>
      <c r="E71" s="114">
        <f t="shared" ref="E71:E109" si="10">VLOOKUP(B71,$L$4:$O$43,3,0)</f>
        <v>65</v>
      </c>
    </row>
    <row r="72" spans="2:5" x14ac:dyDescent="0.2">
      <c r="B72" s="114">
        <v>3</v>
      </c>
      <c r="C72" s="32" t="str">
        <f t="shared" si="8"/>
        <v>Buckets (Weld / Repair Bucket)</v>
      </c>
      <c r="D72" s="166">
        <f t="shared" si="9"/>
        <v>199.31472222228069</v>
      </c>
      <c r="E72" s="114">
        <f t="shared" si="10"/>
        <v>105</v>
      </c>
    </row>
    <row r="73" spans="2:5" x14ac:dyDescent="0.2">
      <c r="B73" s="114">
        <v>4</v>
      </c>
      <c r="C73" s="32" t="str">
        <f t="shared" si="8"/>
        <v>Main / Aux. Generators (Main Generator)</v>
      </c>
      <c r="D73" s="166">
        <f t="shared" si="9"/>
        <v>196.53777777785433</v>
      </c>
      <c r="E73" s="114">
        <f t="shared" si="10"/>
        <v>65</v>
      </c>
    </row>
    <row r="74" spans="2:5" x14ac:dyDescent="0.2">
      <c r="B74" s="114">
        <v>5</v>
      </c>
      <c r="C74" s="32" t="str">
        <f t="shared" si="8"/>
        <v>Tugs and Scows (Scow Repair)</v>
      </c>
      <c r="D74" s="166">
        <f t="shared" si="9"/>
        <v>132.47499999981142</v>
      </c>
      <c r="E74" s="114">
        <f t="shared" si="10"/>
        <v>57</v>
      </c>
    </row>
    <row r="75" spans="2:5" x14ac:dyDescent="0.2">
      <c r="B75" s="114">
        <v>6</v>
      </c>
      <c r="C75" s="32" t="str">
        <f t="shared" si="8"/>
        <v>Crane Boom (Boom Winch)</v>
      </c>
      <c r="D75" s="166">
        <f t="shared" si="9"/>
        <v>122.53722222222713</v>
      </c>
      <c r="E75" s="114">
        <f t="shared" si="10"/>
        <v>49</v>
      </c>
    </row>
    <row r="76" spans="2:5" x14ac:dyDescent="0.2">
      <c r="B76" s="114">
        <v>7</v>
      </c>
      <c r="C76" s="32" t="str">
        <f t="shared" si="8"/>
        <v>Main Hoist (Closer Wire)</v>
      </c>
      <c r="D76" s="166">
        <f t="shared" si="9"/>
        <v>116.56027777804528</v>
      </c>
      <c r="E76" s="114">
        <f t="shared" si="10"/>
        <v>47</v>
      </c>
    </row>
    <row r="77" spans="2:5" x14ac:dyDescent="0.2">
      <c r="B77" s="114">
        <v>8</v>
      </c>
      <c r="C77" s="32" t="str">
        <f t="shared" si="8"/>
        <v>Main / Aux. Generators (Main Generator Engine)</v>
      </c>
      <c r="D77" s="166">
        <f t="shared" si="9"/>
        <v>114.47999999999999</v>
      </c>
      <c r="E77" s="114">
        <f t="shared" si="10"/>
        <v>112</v>
      </c>
    </row>
    <row r="78" spans="2:5" x14ac:dyDescent="0.2">
      <c r="B78" s="114">
        <v>9</v>
      </c>
      <c r="C78" s="32" t="str">
        <f t="shared" si="8"/>
        <v>Crane Swing (Swing Circle (rollers, etc.))</v>
      </c>
      <c r="D78" s="166">
        <f t="shared" si="9"/>
        <v>101.14944444441703</v>
      </c>
      <c r="E78" s="114">
        <f t="shared" si="10"/>
        <v>38</v>
      </c>
    </row>
    <row r="79" spans="2:5" x14ac:dyDescent="0.2">
      <c r="B79" s="114">
        <v>10</v>
      </c>
      <c r="C79" s="32" t="str">
        <f t="shared" si="8"/>
        <v>Spud System (Spud Structure)</v>
      </c>
      <c r="D79" s="166">
        <f t="shared" si="9"/>
        <v>82.18666666660458</v>
      </c>
      <c r="E79" s="114">
        <f t="shared" si="10"/>
        <v>9</v>
      </c>
    </row>
    <row r="80" spans="2:5" x14ac:dyDescent="0.2">
      <c r="B80" s="114">
        <v>11</v>
      </c>
      <c r="C80" s="32" t="str">
        <f t="shared" si="8"/>
        <v>Spud System (Walking Mechanisms (Carriage / Travel))</v>
      </c>
      <c r="D80" s="166">
        <f t="shared" si="9"/>
        <v>76.235000000176939</v>
      </c>
      <c r="E80" s="114">
        <f t="shared" si="10"/>
        <v>24</v>
      </c>
    </row>
    <row r="81" spans="2:5" x14ac:dyDescent="0.2">
      <c r="B81" s="114">
        <v>12</v>
      </c>
      <c r="C81" s="32" t="str">
        <f t="shared" si="8"/>
        <v>Spud System (Spud Wires)</v>
      </c>
      <c r="D81" s="166">
        <f t="shared" si="9"/>
        <v>71.84277777771932</v>
      </c>
      <c r="E81" s="114">
        <f t="shared" si="10"/>
        <v>11</v>
      </c>
    </row>
    <row r="82" spans="2:5" x14ac:dyDescent="0.2">
      <c r="B82" s="114">
        <v>13</v>
      </c>
      <c r="C82" s="32" t="str">
        <f t="shared" si="8"/>
        <v>Spud System (Spud Winch)</v>
      </c>
      <c r="D82" s="166">
        <f t="shared" si="9"/>
        <v>55.15</v>
      </c>
      <c r="E82" s="114">
        <f t="shared" si="10"/>
        <v>31</v>
      </c>
    </row>
    <row r="83" spans="2:5" x14ac:dyDescent="0.2">
      <c r="B83" s="114">
        <v>14</v>
      </c>
      <c r="C83" s="32" t="str">
        <f t="shared" si="8"/>
        <v>Main Hoist (Holder Wire)</v>
      </c>
      <c r="D83" s="166">
        <f t="shared" si="9"/>
        <v>46.349166666711682</v>
      </c>
      <c r="E83" s="114">
        <f t="shared" si="10"/>
        <v>25</v>
      </c>
    </row>
    <row r="84" spans="2:5" x14ac:dyDescent="0.2">
      <c r="B84" s="114">
        <v>15</v>
      </c>
      <c r="C84" s="32" t="str">
        <f t="shared" si="8"/>
        <v>Electrical/Electronics (PLC)</v>
      </c>
      <c r="D84" s="166">
        <f t="shared" si="9"/>
        <v>45.625277777682058</v>
      </c>
      <c r="E84" s="114">
        <f t="shared" si="10"/>
        <v>30</v>
      </c>
    </row>
    <row r="85" spans="2:5" x14ac:dyDescent="0.2">
      <c r="B85" s="114">
        <v>16</v>
      </c>
      <c r="C85" s="32" t="str">
        <f t="shared" si="8"/>
        <v>Tagline (Tagline Wire)</v>
      </c>
      <c r="D85" s="166">
        <f t="shared" si="9"/>
        <v>41.579444444531106</v>
      </c>
      <c r="E85" s="114">
        <f t="shared" si="10"/>
        <v>50</v>
      </c>
    </row>
    <row r="86" spans="2:5" x14ac:dyDescent="0.2">
      <c r="B86" s="114">
        <v>17</v>
      </c>
      <c r="C86" s="32" t="str">
        <f t="shared" si="8"/>
        <v>Electrical/Electronics (Transformers)</v>
      </c>
      <c r="D86" s="166">
        <f t="shared" si="9"/>
        <v>34.58</v>
      </c>
      <c r="E86" s="114">
        <f t="shared" si="10"/>
        <v>8</v>
      </c>
    </row>
    <row r="87" spans="2:5" x14ac:dyDescent="0.2">
      <c r="B87" s="114">
        <v>18</v>
      </c>
      <c r="C87" s="32" t="str">
        <f t="shared" si="8"/>
        <v>Main Hoist (Closer)</v>
      </c>
      <c r="D87" s="166">
        <f t="shared" si="9"/>
        <v>33.793888888799117</v>
      </c>
      <c r="E87" s="114">
        <f t="shared" si="10"/>
        <v>65</v>
      </c>
    </row>
    <row r="88" spans="2:5" x14ac:dyDescent="0.2">
      <c r="B88" s="114">
        <v>19</v>
      </c>
      <c r="C88" s="32" t="str">
        <f t="shared" si="8"/>
        <v>Electrical/Electronics (MCC / Switch Gear)</v>
      </c>
      <c r="D88" s="166">
        <f t="shared" si="9"/>
        <v>30.685555555645841</v>
      </c>
      <c r="E88" s="114">
        <f t="shared" si="10"/>
        <v>34</v>
      </c>
    </row>
    <row r="89" spans="2:5" x14ac:dyDescent="0.2">
      <c r="B89" s="114">
        <v>20</v>
      </c>
      <c r="C89" s="32" t="str">
        <f t="shared" si="8"/>
        <v>Tagline (Tagline Winch (motor, gearbox, etc.))</v>
      </c>
      <c r="D89" s="166">
        <f t="shared" si="9"/>
        <v>28.66999999994179</v>
      </c>
      <c r="E89" s="114">
        <f t="shared" si="10"/>
        <v>22</v>
      </c>
    </row>
    <row r="90" spans="2:5" x14ac:dyDescent="0.2">
      <c r="B90" s="114">
        <v>21</v>
      </c>
      <c r="C90" s="32" t="str">
        <f t="shared" si="8"/>
        <v>Deck Winch (Winch)</v>
      </c>
      <c r="D90" s="166">
        <f t="shared" si="9"/>
        <v>21.969999999976718</v>
      </c>
      <c r="E90" s="114">
        <f t="shared" si="10"/>
        <v>28</v>
      </c>
    </row>
    <row r="91" spans="2:5" x14ac:dyDescent="0.2">
      <c r="B91" s="114">
        <v>22</v>
      </c>
      <c r="C91" s="32" t="str">
        <f t="shared" si="8"/>
        <v>Auxiliary Systems (Fuel)</v>
      </c>
      <c r="D91" s="166">
        <f t="shared" si="9"/>
        <v>16.170000000000002</v>
      </c>
      <c r="E91" s="114">
        <f t="shared" si="10"/>
        <v>1</v>
      </c>
    </row>
    <row r="92" spans="2:5" x14ac:dyDescent="0.2">
      <c r="B92" s="114">
        <v>23</v>
      </c>
      <c r="C92" s="32" t="str">
        <f t="shared" si="8"/>
        <v>Tugs and Scows (Tug Repair)</v>
      </c>
      <c r="D92" s="166">
        <f t="shared" si="9"/>
        <v>13.07</v>
      </c>
      <c r="E92" s="114">
        <f t="shared" si="10"/>
        <v>7</v>
      </c>
    </row>
    <row r="93" spans="2:5" x14ac:dyDescent="0.2">
      <c r="B93" s="114">
        <v>24</v>
      </c>
      <c r="C93" s="32" t="str">
        <f t="shared" si="8"/>
        <v>Auxiliary Systems (Compressed Air)</v>
      </c>
      <c r="D93" s="166">
        <f t="shared" si="9"/>
        <v>12.270000000000001</v>
      </c>
      <c r="E93" s="114">
        <f t="shared" si="10"/>
        <v>12</v>
      </c>
    </row>
    <row r="94" spans="2:5" x14ac:dyDescent="0.2">
      <c r="B94" s="114">
        <v>25</v>
      </c>
      <c r="C94" s="32" t="str">
        <f t="shared" si="8"/>
        <v>Deck Winch (Fairleads)</v>
      </c>
      <c r="D94" s="166">
        <f t="shared" si="9"/>
        <v>10.193888888917863</v>
      </c>
      <c r="E94" s="114">
        <f t="shared" si="10"/>
        <v>4</v>
      </c>
    </row>
    <row r="95" spans="2:5" x14ac:dyDescent="0.2">
      <c r="B95" s="114">
        <v>26</v>
      </c>
      <c r="C95" s="32" t="str">
        <f t="shared" si="8"/>
        <v>Crane Boom (Boom / Gantry Structure)</v>
      </c>
      <c r="D95" s="166">
        <f t="shared" si="9"/>
        <v>4.3266666666278617</v>
      </c>
      <c r="E95" s="114">
        <f t="shared" si="10"/>
        <v>4</v>
      </c>
    </row>
    <row r="96" spans="2:5" x14ac:dyDescent="0.2">
      <c r="B96" s="114">
        <v>27</v>
      </c>
      <c r="C96" s="32" t="str">
        <f t="shared" si="8"/>
        <v>Auxiliary Systems (Deck Crane)</v>
      </c>
      <c r="D96" s="166">
        <f t="shared" si="9"/>
        <v>3.16</v>
      </c>
      <c r="E96" s="114">
        <f t="shared" si="10"/>
        <v>4</v>
      </c>
    </row>
    <row r="97" spans="2:5" x14ac:dyDescent="0.2">
      <c r="B97" s="114">
        <v>28</v>
      </c>
      <c r="C97" s="32" t="str">
        <f t="shared" si="8"/>
        <v>Crane Boom (Boom Wires)</v>
      </c>
      <c r="D97" s="166">
        <f t="shared" si="9"/>
        <v>3</v>
      </c>
      <c r="E97" s="114">
        <f t="shared" si="10"/>
        <v>2</v>
      </c>
    </row>
    <row r="98" spans="2:5" x14ac:dyDescent="0.2">
      <c r="B98" s="114">
        <v>29</v>
      </c>
      <c r="C98" s="32" t="str">
        <f t="shared" si="8"/>
        <v>Auxiliary Systems (Heating, Ventilation, A/C)</v>
      </c>
      <c r="D98" s="166">
        <f t="shared" si="9"/>
        <v>0.36</v>
      </c>
      <c r="E98" s="114">
        <f t="shared" si="10"/>
        <v>1</v>
      </c>
    </row>
    <row r="99" spans="2:5" x14ac:dyDescent="0.2">
      <c r="B99" s="114">
        <v>30</v>
      </c>
      <c r="C99" s="32" t="str">
        <f t="shared" si="8"/>
        <v>Spud System (Spud Sheaves)</v>
      </c>
      <c r="D99" s="166">
        <f t="shared" si="9"/>
        <v>0.25</v>
      </c>
      <c r="E99" s="114">
        <f t="shared" si="10"/>
        <v>1</v>
      </c>
    </row>
    <row r="100" spans="2:5" x14ac:dyDescent="0.2">
      <c r="B100" s="114">
        <v>31</v>
      </c>
      <c r="C100" s="32" t="str">
        <f t="shared" si="8"/>
        <v>Auxiliary Systems (Fire Main)</v>
      </c>
      <c r="D100" s="166">
        <f t="shared" si="9"/>
        <v>0</v>
      </c>
      <c r="E100" s="114">
        <f t="shared" si="10"/>
        <v>0</v>
      </c>
    </row>
    <row r="101" spans="2:5" x14ac:dyDescent="0.2">
      <c r="B101" s="114">
        <v>32</v>
      </c>
      <c r="C101" s="32" t="str">
        <f t="shared" si="8"/>
        <v>Auxiliary Systems (Potable Water)</v>
      </c>
      <c r="D101" s="166">
        <f t="shared" si="9"/>
        <v>0</v>
      </c>
      <c r="E101" s="114">
        <f t="shared" si="10"/>
        <v>0</v>
      </c>
    </row>
    <row r="102" spans="2:5" x14ac:dyDescent="0.2">
      <c r="B102" s="114">
        <v>33</v>
      </c>
      <c r="C102" s="32" t="str">
        <f t="shared" si="8"/>
        <v>Auxiliary Systems (Sanitary System)</v>
      </c>
      <c r="D102" s="166">
        <f t="shared" si="9"/>
        <v>0</v>
      </c>
      <c r="E102" s="114">
        <f t="shared" si="10"/>
        <v>0</v>
      </c>
    </row>
    <row r="103" spans="2:5" x14ac:dyDescent="0.2">
      <c r="B103" s="114">
        <v>34</v>
      </c>
      <c r="C103" s="32" t="str">
        <f t="shared" si="8"/>
        <v>Crane Boom (Boom / Gantry Sheaves)</v>
      </c>
      <c r="D103" s="166">
        <f t="shared" si="9"/>
        <v>0</v>
      </c>
      <c r="E103" s="114">
        <f t="shared" si="10"/>
        <v>0</v>
      </c>
    </row>
    <row r="104" spans="2:5" x14ac:dyDescent="0.2">
      <c r="B104" s="114">
        <v>35</v>
      </c>
      <c r="C104" s="32" t="str">
        <f t="shared" si="8"/>
        <v>Crane Boom (Penant Wire)</v>
      </c>
      <c r="D104" s="166">
        <f t="shared" si="9"/>
        <v>0</v>
      </c>
      <c r="E104" s="114">
        <f t="shared" si="10"/>
        <v>0</v>
      </c>
    </row>
    <row r="105" spans="2:5" x14ac:dyDescent="0.2">
      <c r="B105" s="114">
        <v>36</v>
      </c>
      <c r="C105" s="32" t="str">
        <f t="shared" si="8"/>
        <v>Electrical/Electronics (Navigation Lights)</v>
      </c>
      <c r="D105" s="166">
        <f t="shared" si="9"/>
        <v>0</v>
      </c>
      <c r="E105" s="114">
        <f t="shared" si="10"/>
        <v>0</v>
      </c>
    </row>
    <row r="106" spans="2:5" x14ac:dyDescent="0.2">
      <c r="B106" s="114">
        <v>37</v>
      </c>
      <c r="C106" s="32" t="str">
        <f t="shared" si="8"/>
        <v>Hull (Deck Fittings (cleats, timbers, etc.))</v>
      </c>
      <c r="D106" s="166">
        <f t="shared" si="9"/>
        <v>0</v>
      </c>
      <c r="E106" s="114">
        <f t="shared" si="10"/>
        <v>0</v>
      </c>
    </row>
    <row r="107" spans="2:5" x14ac:dyDescent="0.2">
      <c r="B107" s="114">
        <v>38</v>
      </c>
      <c r="C107" s="32" t="str">
        <f t="shared" si="8"/>
        <v>Hull (Hull / House Repair)</v>
      </c>
      <c r="D107" s="166">
        <f t="shared" si="9"/>
        <v>0</v>
      </c>
      <c r="E107" s="114">
        <f t="shared" si="10"/>
        <v>0</v>
      </c>
    </row>
    <row r="108" spans="2:5" x14ac:dyDescent="0.2">
      <c r="B108" s="114">
        <v>39</v>
      </c>
      <c r="C108" s="32" t="str">
        <f t="shared" si="8"/>
        <v>Main / Aux. Generators (Auxiliary Generator)</v>
      </c>
      <c r="D108" s="166">
        <f t="shared" si="9"/>
        <v>0</v>
      </c>
      <c r="E108" s="114">
        <f t="shared" si="10"/>
        <v>0</v>
      </c>
    </row>
    <row r="109" spans="2:5" x14ac:dyDescent="0.2">
      <c r="B109" s="114">
        <v>40</v>
      </c>
      <c r="C109" s="32" t="str">
        <f t="shared" si="8"/>
        <v>Tagline (Tagline Sheaves)</v>
      </c>
      <c r="D109" s="166">
        <f t="shared" si="9"/>
        <v>0</v>
      </c>
      <c r="E109" s="114">
        <f t="shared" si="10"/>
        <v>0</v>
      </c>
    </row>
  </sheetData>
  <sortState ref="L3:N42">
    <sortCondition descending="1" ref="M3:M42"/>
  </sortState>
  <mergeCells count="1">
    <mergeCell ref="M3:O3"/>
  </mergeCells>
  <pageMargins left="0.75" right="0.75" top="0.5" bottom="0.5" header="0.5" footer="0.25"/>
  <pageSetup scale="88"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17"/>
  <sheetViews>
    <sheetView showGridLines="0" topLeftCell="A29" zoomScaleNormal="100" workbookViewId="0">
      <selection activeCell="K52" sqref="K52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7109375" style="14" bestFit="1" customWidth="1"/>
    <col min="7" max="7" width="7.7109375" style="2" bestFit="1" customWidth="1"/>
    <col min="8" max="8" width="10.140625" style="2" bestFit="1" customWidth="1"/>
    <col min="9" max="9" width="13.140625" style="2" bestFit="1" customWidth="1"/>
    <col min="10" max="10" width="22.7109375" style="2" bestFit="1" customWidth="1"/>
    <col min="11" max="11" width="22.7109375" style="2" customWidth="1"/>
    <col min="13" max="14" width="1.7109375" style="2" bestFit="1" customWidth="1"/>
    <col min="15" max="15" width="20.85546875" style="2" bestFit="1" customWidth="1"/>
    <col min="16" max="16" width="22.5703125" style="2" bestFit="1" customWidth="1"/>
    <col min="17" max="17" width="43.140625" style="2" bestFit="1" customWidth="1"/>
    <col min="18" max="19" width="8.42578125" style="2" bestFit="1" customWidth="1"/>
    <col min="20" max="20" width="2.85546875" style="2" customWidth="1"/>
    <col min="21" max="21" width="10" style="2" bestFit="1" customWidth="1"/>
    <col min="22" max="22" width="8.140625" style="2" bestFit="1" customWidth="1"/>
    <col min="23" max="23" width="3.42578125" style="2" customWidth="1"/>
    <col min="24" max="24" width="8" style="2" bestFit="1" customWidth="1"/>
    <col min="25" max="25" width="8.140625" style="2" bestFit="1" customWidth="1"/>
    <col min="26" max="26" width="4" style="2" customWidth="1"/>
    <col min="27" max="27" width="39" style="2" bestFit="1" customWidth="1"/>
    <col min="28" max="28" width="8" style="2" bestFit="1" customWidth="1"/>
    <col min="29" max="29" width="8.140625" style="162" bestFit="1" customWidth="1"/>
    <col min="30" max="16384" width="9.140625" style="2"/>
  </cols>
  <sheetData>
    <row r="1" spans="1:29" s="22" customFormat="1" ht="30" customHeight="1" x14ac:dyDescent="0.2">
      <c r="A1" s="27" t="s">
        <v>2</v>
      </c>
      <c r="B1" s="20"/>
      <c r="C1" s="21"/>
      <c r="D1" s="21"/>
      <c r="E1" s="21"/>
      <c r="F1" s="41"/>
      <c r="M1" s="34"/>
      <c r="N1" s="34"/>
      <c r="O1" s="245" t="s">
        <v>184</v>
      </c>
      <c r="P1" s="245"/>
      <c r="Q1" s="245"/>
      <c r="R1" s="246" t="s">
        <v>122</v>
      </c>
      <c r="S1" s="246"/>
      <c r="T1" s="104"/>
      <c r="U1" s="242" t="s">
        <v>123</v>
      </c>
      <c r="V1" s="242"/>
      <c r="W1" s="152"/>
      <c r="X1" s="242" t="s">
        <v>124</v>
      </c>
      <c r="Y1" s="242"/>
      <c r="Z1" s="71"/>
      <c r="AA1" s="58"/>
      <c r="AB1" s="243"/>
      <c r="AC1" s="243"/>
    </row>
    <row r="2" spans="1:29" ht="15.75" x14ac:dyDescent="0.25">
      <c r="A2" s="3"/>
      <c r="C2" s="4"/>
      <c r="D2" s="4"/>
      <c r="E2" s="4"/>
      <c r="H2" s="30"/>
      <c r="M2" s="72"/>
      <c r="N2" s="72"/>
      <c r="O2" s="151" t="s">
        <v>15</v>
      </c>
      <c r="P2" s="151" t="s">
        <v>16</v>
      </c>
      <c r="Q2" s="151" t="s">
        <v>30</v>
      </c>
      <c r="R2" s="74" t="s">
        <v>14</v>
      </c>
      <c r="S2" s="75" t="s">
        <v>13</v>
      </c>
      <c r="T2" s="58"/>
      <c r="U2" s="74" t="s">
        <v>14</v>
      </c>
      <c r="V2" s="75" t="s">
        <v>13</v>
      </c>
      <c r="W2" s="76"/>
      <c r="X2" s="74" t="s">
        <v>14</v>
      </c>
      <c r="Y2" s="75" t="s">
        <v>13</v>
      </c>
      <c r="Z2" s="43"/>
      <c r="AA2" s="77" t="s">
        <v>125</v>
      </c>
      <c r="AB2" s="78" t="s">
        <v>14</v>
      </c>
      <c r="AC2" s="160" t="s">
        <v>13</v>
      </c>
    </row>
    <row r="3" spans="1:29" ht="15.75" x14ac:dyDescent="0.25">
      <c r="A3" s="5" t="s">
        <v>0</v>
      </c>
      <c r="C3" s="6"/>
      <c r="D3" s="7"/>
      <c r="E3" s="7"/>
      <c r="H3" s="8"/>
      <c r="M3" s="72" t="s">
        <v>25</v>
      </c>
      <c r="N3" s="72" t="s">
        <v>26</v>
      </c>
      <c r="O3" s="72" t="s">
        <v>17</v>
      </c>
      <c r="P3" s="72" t="s">
        <v>18</v>
      </c>
      <c r="Q3" s="80" t="str">
        <f t="shared" ref="Q3:Q42" si="0">O3&amp;" "&amp;M3&amp;P3&amp;N3</f>
        <v>Auxiliary Systems (Compressed Air)</v>
      </c>
      <c r="R3" s="81">
        <v>1</v>
      </c>
      <c r="S3" s="157">
        <v>0.85083333333022892</v>
      </c>
      <c r="T3" s="58"/>
      <c r="U3" s="83">
        <v>8</v>
      </c>
      <c r="V3" s="84">
        <v>7.8299999999999992</v>
      </c>
      <c r="W3" s="58"/>
      <c r="X3" s="85">
        <f>R3+U3</f>
        <v>9</v>
      </c>
      <c r="Y3" s="163">
        <f>S3+V3</f>
        <v>8.6808333333302272</v>
      </c>
      <c r="Z3" s="43"/>
      <c r="AA3" s="86" t="s">
        <v>27</v>
      </c>
      <c r="AB3" s="87">
        <f>X3</f>
        <v>9</v>
      </c>
      <c r="AC3" s="161">
        <f>Y3</f>
        <v>8.6808333333302272</v>
      </c>
    </row>
    <row r="4" spans="1:29" x14ac:dyDescent="0.2">
      <c r="A4" s="9" t="s">
        <v>8</v>
      </c>
      <c r="C4" s="6"/>
      <c r="D4" s="7"/>
      <c r="E4" s="7"/>
      <c r="M4" s="72" t="s">
        <v>25</v>
      </c>
      <c r="N4" s="72" t="s">
        <v>26</v>
      </c>
      <c r="O4" s="72" t="s">
        <v>17</v>
      </c>
      <c r="P4" s="72" t="s">
        <v>32</v>
      </c>
      <c r="Q4" s="80" t="str">
        <f t="shared" si="0"/>
        <v>Auxiliary Systems (Deck Crane)</v>
      </c>
      <c r="R4" s="81">
        <v>0</v>
      </c>
      <c r="S4" s="157">
        <v>0</v>
      </c>
      <c r="T4" s="58"/>
      <c r="U4" s="83">
        <v>2</v>
      </c>
      <c r="V4" s="84">
        <v>7.59</v>
      </c>
      <c r="W4" s="58"/>
      <c r="X4" s="85">
        <f t="shared" ref="X4:Y42" si="1">R4+U4</f>
        <v>2</v>
      </c>
      <c r="Y4" s="163">
        <f t="shared" si="1"/>
        <v>7.59</v>
      </c>
      <c r="Z4" s="43"/>
      <c r="AA4" s="86" t="s">
        <v>69</v>
      </c>
      <c r="AB4" s="87">
        <f t="shared" ref="AB4:AC9" si="2">X4</f>
        <v>2</v>
      </c>
      <c r="AC4" s="161">
        <f t="shared" si="2"/>
        <v>7.59</v>
      </c>
    </row>
    <row r="5" spans="1:29" x14ac:dyDescent="0.2">
      <c r="A5" s="10" t="s">
        <v>1</v>
      </c>
      <c r="C5" s="6"/>
      <c r="D5" s="7"/>
      <c r="E5" s="7"/>
      <c r="M5" s="72" t="s">
        <v>25</v>
      </c>
      <c r="N5" s="72" t="s">
        <v>26</v>
      </c>
      <c r="O5" s="72" t="s">
        <v>17</v>
      </c>
      <c r="P5" s="72" t="s">
        <v>33</v>
      </c>
      <c r="Q5" s="80" t="str">
        <f t="shared" si="0"/>
        <v>Auxiliary Systems (Fire Main)</v>
      </c>
      <c r="R5" s="81">
        <v>0</v>
      </c>
      <c r="S5" s="157">
        <v>0</v>
      </c>
      <c r="T5" s="58"/>
      <c r="U5" s="83">
        <v>0</v>
      </c>
      <c r="V5" s="84">
        <v>0</v>
      </c>
      <c r="W5" s="58"/>
      <c r="X5" s="85">
        <f t="shared" si="1"/>
        <v>0</v>
      </c>
      <c r="Y5" s="163">
        <f t="shared" si="1"/>
        <v>0</v>
      </c>
      <c r="Z5" s="43"/>
      <c r="AA5" s="86" t="s">
        <v>70</v>
      </c>
      <c r="AB5" s="87">
        <f t="shared" si="2"/>
        <v>0</v>
      </c>
      <c r="AC5" s="161">
        <f t="shared" si="2"/>
        <v>0</v>
      </c>
    </row>
    <row r="6" spans="1:29" x14ac:dyDescent="0.2">
      <c r="M6" s="72" t="s">
        <v>25</v>
      </c>
      <c r="N6" s="72" t="s">
        <v>26</v>
      </c>
      <c r="O6" s="72" t="s">
        <v>17</v>
      </c>
      <c r="P6" s="72" t="s">
        <v>19</v>
      </c>
      <c r="Q6" s="80" t="str">
        <f t="shared" si="0"/>
        <v>Auxiliary Systems (Fuel)</v>
      </c>
      <c r="R6" s="81">
        <v>0</v>
      </c>
      <c r="S6" s="157">
        <v>0</v>
      </c>
      <c r="T6" s="58"/>
      <c r="U6" s="83">
        <v>0</v>
      </c>
      <c r="V6" s="84">
        <v>0</v>
      </c>
      <c r="W6" s="58"/>
      <c r="X6" s="85">
        <f t="shared" si="1"/>
        <v>0</v>
      </c>
      <c r="Y6" s="163">
        <f t="shared" si="1"/>
        <v>0</v>
      </c>
      <c r="Z6" s="43"/>
      <c r="AA6" s="86" t="s">
        <v>28</v>
      </c>
      <c r="AB6" s="87">
        <f t="shared" si="2"/>
        <v>0</v>
      </c>
      <c r="AC6" s="161">
        <f t="shared" si="2"/>
        <v>0</v>
      </c>
    </row>
    <row r="7" spans="1:29" x14ac:dyDescent="0.2">
      <c r="M7" s="72" t="s">
        <v>25</v>
      </c>
      <c r="N7" s="72" t="s">
        <v>26</v>
      </c>
      <c r="O7" s="72" t="s">
        <v>17</v>
      </c>
      <c r="P7" s="72" t="s">
        <v>171</v>
      </c>
      <c r="Q7" s="80" t="str">
        <f t="shared" si="0"/>
        <v>Auxiliary Systems (Heating, Ventilation, A/C)</v>
      </c>
      <c r="R7" s="81">
        <v>0</v>
      </c>
      <c r="S7" s="157">
        <v>0</v>
      </c>
      <c r="T7" s="58"/>
      <c r="U7" s="83">
        <v>0</v>
      </c>
      <c r="V7" s="84">
        <v>0</v>
      </c>
      <c r="W7" s="58"/>
      <c r="X7" s="85">
        <f t="shared" si="1"/>
        <v>0</v>
      </c>
      <c r="Y7" s="163">
        <f t="shared" si="1"/>
        <v>0</v>
      </c>
      <c r="Z7" s="43"/>
      <c r="AA7" s="86" t="s">
        <v>29</v>
      </c>
      <c r="AB7" s="87">
        <f t="shared" si="2"/>
        <v>0</v>
      </c>
      <c r="AC7" s="161">
        <f t="shared" si="2"/>
        <v>0</v>
      </c>
    </row>
    <row r="8" spans="1:29" x14ac:dyDescent="0.2">
      <c r="M8" s="72" t="s">
        <v>25</v>
      </c>
      <c r="N8" s="72" t="s">
        <v>26</v>
      </c>
      <c r="O8" s="72" t="s">
        <v>17</v>
      </c>
      <c r="P8" s="72" t="s">
        <v>34</v>
      </c>
      <c r="Q8" s="80" t="str">
        <f t="shared" si="0"/>
        <v>Auxiliary Systems (Potable Water)</v>
      </c>
      <c r="R8" s="81">
        <v>0</v>
      </c>
      <c r="S8" s="157">
        <v>0</v>
      </c>
      <c r="T8" s="58"/>
      <c r="U8" s="83">
        <v>0</v>
      </c>
      <c r="V8" s="84">
        <v>0</v>
      </c>
      <c r="W8" s="58"/>
      <c r="X8" s="85">
        <f t="shared" si="1"/>
        <v>0</v>
      </c>
      <c r="Y8" s="163">
        <f t="shared" si="1"/>
        <v>0</v>
      </c>
      <c r="Z8" s="43"/>
      <c r="AA8" s="86" t="s">
        <v>71</v>
      </c>
      <c r="AB8" s="87">
        <f t="shared" si="2"/>
        <v>0</v>
      </c>
      <c r="AC8" s="161">
        <f t="shared" si="2"/>
        <v>0</v>
      </c>
    </row>
    <row r="9" spans="1:29" x14ac:dyDescent="0.2">
      <c r="M9" s="88" t="s">
        <v>25</v>
      </c>
      <c r="N9" s="88" t="s">
        <v>26</v>
      </c>
      <c r="O9" s="88" t="s">
        <v>17</v>
      </c>
      <c r="P9" s="88" t="s">
        <v>35</v>
      </c>
      <c r="Q9" s="89" t="str">
        <f t="shared" si="0"/>
        <v>Auxiliary Systems (Sanitary System)</v>
      </c>
      <c r="R9" s="90">
        <v>0</v>
      </c>
      <c r="S9" s="158">
        <v>0</v>
      </c>
      <c r="T9" s="61"/>
      <c r="U9" s="92">
        <v>0</v>
      </c>
      <c r="V9" s="118">
        <v>0</v>
      </c>
      <c r="W9" s="61"/>
      <c r="X9" s="119">
        <f t="shared" si="1"/>
        <v>0</v>
      </c>
      <c r="Y9" s="164">
        <f t="shared" si="1"/>
        <v>0</v>
      </c>
      <c r="Z9" s="43"/>
      <c r="AA9" s="86" t="s">
        <v>72</v>
      </c>
      <c r="AB9" s="87">
        <f t="shared" si="2"/>
        <v>0</v>
      </c>
      <c r="AC9" s="161">
        <f t="shared" si="2"/>
        <v>0</v>
      </c>
    </row>
    <row r="10" spans="1:29" x14ac:dyDescent="0.2">
      <c r="M10" s="88" t="s">
        <v>25</v>
      </c>
      <c r="N10" s="88" t="s">
        <v>26</v>
      </c>
      <c r="O10" s="88" t="s">
        <v>164</v>
      </c>
      <c r="P10" s="88" t="s">
        <v>37</v>
      </c>
      <c r="Q10" s="145" t="str">
        <f t="shared" si="0"/>
        <v>Buckets (Weld / Repair Bucket)</v>
      </c>
      <c r="R10" s="146">
        <v>1</v>
      </c>
      <c r="S10" s="159">
        <v>0.14944444445427507</v>
      </c>
      <c r="T10" s="61"/>
      <c r="U10" s="92">
        <v>212</v>
      </c>
      <c r="V10" s="118">
        <v>247.07</v>
      </c>
      <c r="W10" s="61"/>
      <c r="X10" s="119">
        <f t="shared" si="1"/>
        <v>213</v>
      </c>
      <c r="Y10" s="164">
        <f t="shared" si="1"/>
        <v>247.21944444445427</v>
      </c>
      <c r="Z10" s="43"/>
    </row>
    <row r="11" spans="1:29" x14ac:dyDescent="0.2">
      <c r="M11" s="72" t="s">
        <v>25</v>
      </c>
      <c r="N11" s="72" t="s">
        <v>26</v>
      </c>
      <c r="O11" s="72" t="s">
        <v>38</v>
      </c>
      <c r="P11" s="72" t="s">
        <v>48</v>
      </c>
      <c r="Q11" s="80" t="str">
        <f t="shared" si="0"/>
        <v>Crane Boom (Boom / Gantry Sheaves)</v>
      </c>
      <c r="R11" s="81">
        <v>0</v>
      </c>
      <c r="S11" s="157">
        <v>0</v>
      </c>
      <c r="T11" s="58"/>
      <c r="U11" s="83">
        <v>1</v>
      </c>
      <c r="V11" s="84">
        <v>1.28</v>
      </c>
      <c r="W11" s="58"/>
      <c r="X11" s="85">
        <f t="shared" si="1"/>
        <v>1</v>
      </c>
      <c r="Y11" s="163">
        <f t="shared" si="1"/>
        <v>1.28</v>
      </c>
      <c r="Z11" s="43"/>
    </row>
    <row r="12" spans="1:29" x14ac:dyDescent="0.2">
      <c r="M12" s="72" t="s">
        <v>25</v>
      </c>
      <c r="N12" s="72" t="s">
        <v>26</v>
      </c>
      <c r="O12" s="72" t="s">
        <v>38</v>
      </c>
      <c r="P12" s="72" t="s">
        <v>49</v>
      </c>
      <c r="Q12" s="80" t="str">
        <f t="shared" si="0"/>
        <v>Crane Boom (Boom / Gantry Structure)</v>
      </c>
      <c r="R12" s="81">
        <v>0</v>
      </c>
      <c r="S12" s="157">
        <v>0</v>
      </c>
      <c r="T12" s="58"/>
      <c r="U12" s="83">
        <v>3</v>
      </c>
      <c r="V12" s="84">
        <v>10.72</v>
      </c>
      <c r="W12" s="58"/>
      <c r="X12" s="85">
        <f t="shared" si="1"/>
        <v>3</v>
      </c>
      <c r="Y12" s="163">
        <f t="shared" si="1"/>
        <v>10.72</v>
      </c>
      <c r="Z12" s="43"/>
      <c r="AA12" s="86" t="s">
        <v>73</v>
      </c>
      <c r="AB12" s="87">
        <f>X10</f>
        <v>213</v>
      </c>
      <c r="AC12" s="161">
        <f>Y10</f>
        <v>247.21944444445427</v>
      </c>
    </row>
    <row r="13" spans="1:29" x14ac:dyDescent="0.2">
      <c r="M13" s="72" t="s">
        <v>25</v>
      </c>
      <c r="N13" s="72" t="s">
        <v>26</v>
      </c>
      <c r="O13" s="72" t="s">
        <v>38</v>
      </c>
      <c r="P13" s="72" t="s">
        <v>51</v>
      </c>
      <c r="Q13" s="80" t="str">
        <f t="shared" si="0"/>
        <v>Crane Boom (Boom Winch)</v>
      </c>
      <c r="R13" s="81">
        <v>0</v>
      </c>
      <c r="S13" s="157">
        <v>0</v>
      </c>
      <c r="T13" s="58"/>
      <c r="U13" s="83">
        <v>12</v>
      </c>
      <c r="V13" s="84">
        <v>32.130000000000003</v>
      </c>
      <c r="W13" s="58"/>
      <c r="X13" s="85">
        <f t="shared" si="1"/>
        <v>12</v>
      </c>
      <c r="Y13" s="163">
        <f t="shared" si="1"/>
        <v>32.130000000000003</v>
      </c>
      <c r="Z13" s="43"/>
    </row>
    <row r="14" spans="1:29" x14ac:dyDescent="0.2">
      <c r="M14" s="72" t="s">
        <v>25</v>
      </c>
      <c r="N14" s="72" t="s">
        <v>26</v>
      </c>
      <c r="O14" s="72" t="s">
        <v>38</v>
      </c>
      <c r="P14" s="72" t="s">
        <v>52</v>
      </c>
      <c r="Q14" s="80" t="str">
        <f t="shared" si="0"/>
        <v>Crane Boom (Boom Wires)</v>
      </c>
      <c r="R14" s="81">
        <v>0</v>
      </c>
      <c r="S14" s="157">
        <v>0</v>
      </c>
      <c r="T14" s="58"/>
      <c r="U14" s="83">
        <v>10</v>
      </c>
      <c r="V14" s="84">
        <v>31.34</v>
      </c>
      <c r="W14" s="58"/>
      <c r="X14" s="85">
        <f t="shared" si="1"/>
        <v>10</v>
      </c>
      <c r="Y14" s="163">
        <f t="shared" si="1"/>
        <v>31.34</v>
      </c>
      <c r="Z14" s="43"/>
    </row>
    <row r="15" spans="1:29" x14ac:dyDescent="0.2">
      <c r="M15" s="88" t="s">
        <v>25</v>
      </c>
      <c r="N15" s="88" t="s">
        <v>26</v>
      </c>
      <c r="O15" s="88" t="s">
        <v>38</v>
      </c>
      <c r="P15" s="88" t="s">
        <v>53</v>
      </c>
      <c r="Q15" s="89" t="str">
        <f t="shared" si="0"/>
        <v>Crane Boom (Penant Wire)</v>
      </c>
      <c r="R15" s="90">
        <v>0</v>
      </c>
      <c r="S15" s="158">
        <v>0</v>
      </c>
      <c r="T15" s="61"/>
      <c r="U15" s="92">
        <v>0</v>
      </c>
      <c r="V15" s="118">
        <v>0</v>
      </c>
      <c r="W15" s="61"/>
      <c r="X15" s="119">
        <f t="shared" si="1"/>
        <v>0</v>
      </c>
      <c r="Y15" s="164">
        <f t="shared" si="1"/>
        <v>0</v>
      </c>
      <c r="Z15" s="43"/>
      <c r="AA15" s="86" t="s">
        <v>74</v>
      </c>
      <c r="AB15" s="87">
        <f t="shared" ref="AB15:AC19" si="3">X11</f>
        <v>1</v>
      </c>
      <c r="AC15" s="161">
        <f t="shared" si="3"/>
        <v>1.28</v>
      </c>
    </row>
    <row r="16" spans="1:29" x14ac:dyDescent="0.2">
      <c r="M16" s="72" t="s">
        <v>25</v>
      </c>
      <c r="N16" s="72" t="s">
        <v>26</v>
      </c>
      <c r="O16" s="72" t="s">
        <v>39</v>
      </c>
      <c r="P16" s="72" t="s">
        <v>169</v>
      </c>
      <c r="Q16" s="80" t="str">
        <f t="shared" si="0"/>
        <v>Crane Swing (Drive (motor, gear box, etc.))</v>
      </c>
      <c r="R16" s="81">
        <v>0</v>
      </c>
      <c r="S16" s="157">
        <v>0</v>
      </c>
      <c r="T16" s="58"/>
      <c r="U16" s="83">
        <v>15</v>
      </c>
      <c r="V16" s="84">
        <v>10.55</v>
      </c>
      <c r="W16" s="58"/>
      <c r="X16" s="85">
        <f t="shared" si="1"/>
        <v>15</v>
      </c>
      <c r="Y16" s="163">
        <f t="shared" si="1"/>
        <v>10.55</v>
      </c>
      <c r="Z16" s="43"/>
      <c r="AA16" s="86" t="s">
        <v>75</v>
      </c>
      <c r="AB16" s="87">
        <f t="shared" si="3"/>
        <v>3</v>
      </c>
      <c r="AC16" s="161">
        <f t="shared" si="3"/>
        <v>10.72</v>
      </c>
    </row>
    <row r="17" spans="2:29" x14ac:dyDescent="0.2">
      <c r="M17" s="88" t="s">
        <v>25</v>
      </c>
      <c r="N17" s="88" t="s">
        <v>26</v>
      </c>
      <c r="O17" s="88" t="s">
        <v>39</v>
      </c>
      <c r="P17" s="88" t="s">
        <v>170</v>
      </c>
      <c r="Q17" s="89" t="str">
        <f t="shared" si="0"/>
        <v>Crane Swing (Swing Circle (rollers, etc.))</v>
      </c>
      <c r="R17" s="90">
        <v>0</v>
      </c>
      <c r="S17" s="158">
        <v>0</v>
      </c>
      <c r="T17" s="61"/>
      <c r="U17" s="92">
        <v>4</v>
      </c>
      <c r="V17" s="118">
        <v>1.1800000000000002</v>
      </c>
      <c r="W17" s="61"/>
      <c r="X17" s="119">
        <f t="shared" si="1"/>
        <v>4</v>
      </c>
      <c r="Y17" s="164">
        <f t="shared" si="1"/>
        <v>1.1800000000000002</v>
      </c>
      <c r="Z17" s="43"/>
      <c r="AA17" s="86" t="s">
        <v>76</v>
      </c>
      <c r="AB17" s="87">
        <f t="shared" si="3"/>
        <v>12</v>
      </c>
      <c r="AC17" s="161">
        <f t="shared" si="3"/>
        <v>32.130000000000003</v>
      </c>
    </row>
    <row r="18" spans="2:29" x14ac:dyDescent="0.2">
      <c r="M18" s="72" t="s">
        <v>25</v>
      </c>
      <c r="N18" s="72" t="s">
        <v>26</v>
      </c>
      <c r="O18" s="72" t="s">
        <v>40</v>
      </c>
      <c r="P18" s="72" t="s">
        <v>24</v>
      </c>
      <c r="Q18" s="80" t="str">
        <f t="shared" si="0"/>
        <v>Deck Winch (Fairleads)</v>
      </c>
      <c r="R18" s="81">
        <v>0</v>
      </c>
      <c r="S18" s="157">
        <v>0</v>
      </c>
      <c r="T18" s="58"/>
      <c r="U18" s="83">
        <v>2</v>
      </c>
      <c r="V18" s="84">
        <v>2.16</v>
      </c>
      <c r="W18" s="58"/>
      <c r="X18" s="85">
        <f t="shared" si="1"/>
        <v>2</v>
      </c>
      <c r="Y18" s="163">
        <f t="shared" si="1"/>
        <v>2.16</v>
      </c>
      <c r="Z18" s="43"/>
      <c r="AA18" s="86" t="s">
        <v>77</v>
      </c>
      <c r="AB18" s="87">
        <f t="shared" si="3"/>
        <v>10</v>
      </c>
      <c r="AC18" s="161">
        <f t="shared" si="3"/>
        <v>31.34</v>
      </c>
    </row>
    <row r="19" spans="2:29" x14ac:dyDescent="0.2">
      <c r="M19" s="88" t="s">
        <v>25</v>
      </c>
      <c r="N19" s="88" t="s">
        <v>26</v>
      </c>
      <c r="O19" s="88" t="s">
        <v>40</v>
      </c>
      <c r="P19" s="88" t="s">
        <v>50</v>
      </c>
      <c r="Q19" s="89" t="str">
        <f t="shared" si="0"/>
        <v>Deck Winch (Winch)</v>
      </c>
      <c r="R19" s="90">
        <v>1</v>
      </c>
      <c r="S19" s="158">
        <v>0.16999999992549419</v>
      </c>
      <c r="T19" s="61"/>
      <c r="U19" s="92">
        <v>14</v>
      </c>
      <c r="V19" s="118">
        <v>8.9699999999999989</v>
      </c>
      <c r="W19" s="61"/>
      <c r="X19" s="119">
        <f t="shared" si="1"/>
        <v>15</v>
      </c>
      <c r="Y19" s="164">
        <f t="shared" si="1"/>
        <v>9.1399999999254931</v>
      </c>
      <c r="Z19" s="43"/>
      <c r="AA19" s="86" t="s">
        <v>78</v>
      </c>
      <c r="AB19" s="87">
        <f t="shared" si="3"/>
        <v>0</v>
      </c>
      <c r="AC19" s="161">
        <f t="shared" si="3"/>
        <v>0</v>
      </c>
    </row>
    <row r="20" spans="2:29" x14ac:dyDescent="0.2">
      <c r="M20" s="72" t="s">
        <v>25</v>
      </c>
      <c r="N20" s="72" t="s">
        <v>26</v>
      </c>
      <c r="O20" s="72" t="s">
        <v>167</v>
      </c>
      <c r="P20" s="72" t="s">
        <v>54</v>
      </c>
      <c r="Q20" s="80" t="str">
        <f t="shared" si="0"/>
        <v>Electrical/Electronics (MCC / Switch Gear)</v>
      </c>
      <c r="R20" s="81">
        <v>0</v>
      </c>
      <c r="S20" s="157">
        <v>0</v>
      </c>
      <c r="T20" s="58"/>
      <c r="U20" s="83">
        <v>20</v>
      </c>
      <c r="V20" s="84">
        <v>24.79</v>
      </c>
      <c r="W20" s="58"/>
      <c r="X20" s="85">
        <f t="shared" si="1"/>
        <v>20</v>
      </c>
      <c r="Y20" s="163">
        <f t="shared" si="1"/>
        <v>24.79</v>
      </c>
      <c r="Z20" s="43"/>
    </row>
    <row r="21" spans="2:29" x14ac:dyDescent="0.2">
      <c r="M21" s="72" t="s">
        <v>25</v>
      </c>
      <c r="N21" s="72" t="s">
        <v>26</v>
      </c>
      <c r="O21" s="72" t="s">
        <v>167</v>
      </c>
      <c r="P21" s="72" t="s">
        <v>112</v>
      </c>
      <c r="Q21" s="80" t="str">
        <f t="shared" si="0"/>
        <v>Electrical/Electronics (Navigation Lights)</v>
      </c>
      <c r="R21" s="81">
        <v>0</v>
      </c>
      <c r="S21" s="157">
        <v>0</v>
      </c>
      <c r="T21" s="58"/>
      <c r="U21" s="83">
        <v>0</v>
      </c>
      <c r="V21" s="84">
        <v>0</v>
      </c>
      <c r="W21" s="58"/>
      <c r="X21" s="85">
        <f t="shared" si="1"/>
        <v>0</v>
      </c>
      <c r="Y21" s="163">
        <f t="shared" si="1"/>
        <v>0</v>
      </c>
      <c r="Z21" s="43"/>
    </row>
    <row r="22" spans="2:29" x14ac:dyDescent="0.2">
      <c r="M22" s="72" t="s">
        <v>25</v>
      </c>
      <c r="N22" s="72" t="s">
        <v>26</v>
      </c>
      <c r="O22" s="72" t="s">
        <v>167</v>
      </c>
      <c r="P22" s="72" t="s">
        <v>55</v>
      </c>
      <c r="Q22" s="80" t="str">
        <f t="shared" si="0"/>
        <v>Electrical/Electronics (PLC)</v>
      </c>
      <c r="R22" s="81">
        <v>1</v>
      </c>
      <c r="S22" s="157">
        <v>3.8591666666907258</v>
      </c>
      <c r="T22" s="58"/>
      <c r="U22" s="83">
        <v>26</v>
      </c>
      <c r="V22" s="84">
        <v>78.05</v>
      </c>
      <c r="W22" s="58"/>
      <c r="X22" s="85">
        <f t="shared" si="1"/>
        <v>27</v>
      </c>
      <c r="Y22" s="163">
        <f t="shared" si="1"/>
        <v>81.909166666690723</v>
      </c>
      <c r="Z22" s="43"/>
      <c r="AA22" s="86" t="s">
        <v>126</v>
      </c>
      <c r="AB22" s="87">
        <f>X16</f>
        <v>15</v>
      </c>
      <c r="AC22" s="161">
        <f>Y16</f>
        <v>10.55</v>
      </c>
    </row>
    <row r="23" spans="2:29" x14ac:dyDescent="0.2">
      <c r="B23" s="11" t="s">
        <v>11</v>
      </c>
      <c r="M23" s="88" t="s">
        <v>25</v>
      </c>
      <c r="N23" s="88" t="s">
        <v>26</v>
      </c>
      <c r="O23" s="88" t="s">
        <v>167</v>
      </c>
      <c r="P23" s="88" t="s">
        <v>56</v>
      </c>
      <c r="Q23" s="89" t="str">
        <f t="shared" si="0"/>
        <v>Electrical/Electronics (Transformers)</v>
      </c>
      <c r="R23" s="90">
        <v>0</v>
      </c>
      <c r="S23" s="158">
        <v>0</v>
      </c>
      <c r="T23" s="61"/>
      <c r="U23" s="92">
        <v>1</v>
      </c>
      <c r="V23" s="118">
        <v>20.149999999999999</v>
      </c>
      <c r="W23" s="61"/>
      <c r="X23" s="119">
        <f t="shared" si="1"/>
        <v>1</v>
      </c>
      <c r="Y23" s="164">
        <f t="shared" si="1"/>
        <v>20.149999999999999</v>
      </c>
      <c r="Z23" s="43"/>
      <c r="AA23" s="86" t="s">
        <v>127</v>
      </c>
      <c r="AB23" s="87">
        <f>X17</f>
        <v>4</v>
      </c>
      <c r="AC23" s="161">
        <f>Y17</f>
        <v>1.1800000000000002</v>
      </c>
    </row>
    <row r="24" spans="2:29" x14ac:dyDescent="0.2">
      <c r="M24" s="72" t="s">
        <v>25</v>
      </c>
      <c r="N24" s="72" t="s">
        <v>26</v>
      </c>
      <c r="O24" s="72" t="s">
        <v>42</v>
      </c>
      <c r="P24" s="72" t="s">
        <v>172</v>
      </c>
      <c r="Q24" s="80" t="str">
        <f t="shared" si="0"/>
        <v>Hull (Deck Fittings (cleats, timbers, etc.))</v>
      </c>
      <c r="R24" s="81">
        <v>0</v>
      </c>
      <c r="S24" s="157">
        <v>0</v>
      </c>
      <c r="T24" s="58"/>
      <c r="U24" s="83">
        <v>0</v>
      </c>
      <c r="V24" s="84">
        <v>0</v>
      </c>
      <c r="W24" s="58"/>
      <c r="X24" s="85">
        <f t="shared" si="1"/>
        <v>0</v>
      </c>
      <c r="Y24" s="163">
        <f t="shared" si="1"/>
        <v>0</v>
      </c>
      <c r="Z24" s="43"/>
    </row>
    <row r="25" spans="2:29" x14ac:dyDescent="0.2">
      <c r="M25" s="88" t="s">
        <v>25</v>
      </c>
      <c r="N25" s="88" t="s">
        <v>26</v>
      </c>
      <c r="O25" s="88" t="s">
        <v>42</v>
      </c>
      <c r="P25" s="88" t="s">
        <v>57</v>
      </c>
      <c r="Q25" s="89" t="str">
        <f t="shared" si="0"/>
        <v>Hull (Hull / House Repair)</v>
      </c>
      <c r="R25" s="90">
        <v>0</v>
      </c>
      <c r="S25" s="158">
        <v>0</v>
      </c>
      <c r="T25" s="61"/>
      <c r="U25" s="92">
        <v>1</v>
      </c>
      <c r="V25" s="118">
        <v>1.39</v>
      </c>
      <c r="W25" s="61"/>
      <c r="X25" s="119">
        <f t="shared" si="1"/>
        <v>1</v>
      </c>
      <c r="Y25" s="164">
        <f t="shared" si="1"/>
        <v>1.39</v>
      </c>
      <c r="Z25" s="43"/>
    </row>
    <row r="26" spans="2:29" x14ac:dyDescent="0.2">
      <c r="M26" s="72" t="s">
        <v>25</v>
      </c>
      <c r="N26" s="72" t="s">
        <v>26</v>
      </c>
      <c r="O26" s="72" t="s">
        <v>165</v>
      </c>
      <c r="P26" s="72" t="s">
        <v>21</v>
      </c>
      <c r="Q26" s="80" t="str">
        <f t="shared" si="0"/>
        <v>Main / Aux. Generators (Auxiliary Generator)</v>
      </c>
      <c r="R26" s="81">
        <v>0</v>
      </c>
      <c r="S26" s="157">
        <v>0</v>
      </c>
      <c r="T26" s="58"/>
      <c r="U26" s="83">
        <v>1</v>
      </c>
      <c r="V26" s="84">
        <v>14.26</v>
      </c>
      <c r="W26" s="58"/>
      <c r="X26" s="85">
        <f t="shared" si="1"/>
        <v>1</v>
      </c>
      <c r="Y26" s="163">
        <f t="shared" si="1"/>
        <v>14.26</v>
      </c>
      <c r="Z26" s="43"/>
      <c r="AA26" s="86" t="s">
        <v>79</v>
      </c>
      <c r="AB26" s="87">
        <f>X18</f>
        <v>2</v>
      </c>
      <c r="AC26" s="161">
        <f>Y18</f>
        <v>2.16</v>
      </c>
    </row>
    <row r="27" spans="2:29" x14ac:dyDescent="0.2">
      <c r="M27" s="72" t="s">
        <v>25</v>
      </c>
      <c r="N27" s="72" t="s">
        <v>26</v>
      </c>
      <c r="O27" s="72" t="s">
        <v>165</v>
      </c>
      <c r="P27" s="72" t="s">
        <v>22</v>
      </c>
      <c r="Q27" s="80" t="str">
        <f t="shared" si="0"/>
        <v>Main / Aux. Generators (Main Generator)</v>
      </c>
      <c r="R27" s="81">
        <v>0</v>
      </c>
      <c r="S27" s="157">
        <v>0</v>
      </c>
      <c r="T27" s="58"/>
      <c r="U27" s="83">
        <v>11</v>
      </c>
      <c r="V27" s="84">
        <v>72.570000000000007</v>
      </c>
      <c r="W27" s="58"/>
      <c r="X27" s="85">
        <f t="shared" si="1"/>
        <v>11</v>
      </c>
      <c r="Y27" s="163">
        <f t="shared" si="1"/>
        <v>72.570000000000007</v>
      </c>
      <c r="Z27" s="43"/>
      <c r="AA27" s="86" t="s">
        <v>80</v>
      </c>
      <c r="AB27" s="87">
        <f>X19</f>
        <v>15</v>
      </c>
      <c r="AC27" s="161">
        <f>Y19</f>
        <v>9.1399999999254931</v>
      </c>
    </row>
    <row r="28" spans="2:29" ht="15.75" x14ac:dyDescent="0.25">
      <c r="B28" s="28" t="str">
        <f ca="1">"The first "&amp;COUNT(H33:H64)&amp;" "&amp;C32&amp;" cover "&amp;TEXT(OFFSET(E32,COUNT(H33:H64),0,1,1),"0.??%")&amp;" of the Total "&amp;D32</f>
        <v>The first 11 Causes cover 81.59% of the Total Count</v>
      </c>
      <c r="C28" s="7"/>
      <c r="M28" s="88" t="s">
        <v>25</v>
      </c>
      <c r="N28" s="88" t="s">
        <v>26</v>
      </c>
      <c r="O28" s="88" t="s">
        <v>165</v>
      </c>
      <c r="P28" s="88" t="s">
        <v>23</v>
      </c>
      <c r="Q28" s="89" t="str">
        <f t="shared" si="0"/>
        <v>Main / Aux. Generators (Main Generator Engine)</v>
      </c>
      <c r="R28" s="90">
        <v>1</v>
      </c>
      <c r="S28" s="158">
        <v>0.1416666666045785</v>
      </c>
      <c r="T28" s="61"/>
      <c r="U28" s="92">
        <v>17</v>
      </c>
      <c r="V28" s="118">
        <v>78.139999999999986</v>
      </c>
      <c r="W28" s="61"/>
      <c r="X28" s="119">
        <f t="shared" si="1"/>
        <v>18</v>
      </c>
      <c r="Y28" s="164">
        <f t="shared" si="1"/>
        <v>78.281666666604565</v>
      </c>
      <c r="Z28" s="43"/>
    </row>
    <row r="29" spans="2:29" x14ac:dyDescent="0.2">
      <c r="M29" s="72" t="s">
        <v>25</v>
      </c>
      <c r="N29" s="72" t="s">
        <v>26</v>
      </c>
      <c r="O29" s="72" t="s">
        <v>44</v>
      </c>
      <c r="P29" s="72" t="s">
        <v>58</v>
      </c>
      <c r="Q29" s="80" t="str">
        <f t="shared" si="0"/>
        <v>Main Hoist (Closer)</v>
      </c>
      <c r="R29" s="81">
        <v>0</v>
      </c>
      <c r="S29" s="157">
        <v>0</v>
      </c>
      <c r="T29" s="58"/>
      <c r="U29" s="83">
        <v>10</v>
      </c>
      <c r="V29" s="84">
        <v>27.48</v>
      </c>
      <c r="W29" s="58"/>
      <c r="X29" s="85">
        <f t="shared" si="1"/>
        <v>10</v>
      </c>
      <c r="Y29" s="163">
        <f t="shared" si="1"/>
        <v>27.48</v>
      </c>
      <c r="Z29" s="43"/>
    </row>
    <row r="30" spans="2:29" x14ac:dyDescent="0.2">
      <c r="M30" s="72" t="s">
        <v>25</v>
      </c>
      <c r="N30" s="72" t="s">
        <v>26</v>
      </c>
      <c r="O30" s="72" t="s">
        <v>44</v>
      </c>
      <c r="P30" s="72" t="s">
        <v>59</v>
      </c>
      <c r="Q30" s="80" t="str">
        <f t="shared" si="0"/>
        <v>Main Hoist (Closer Wire)</v>
      </c>
      <c r="R30" s="81">
        <v>3</v>
      </c>
      <c r="S30" s="157">
        <v>2.4841666667489335</v>
      </c>
      <c r="T30" s="58"/>
      <c r="U30" s="83">
        <v>74</v>
      </c>
      <c r="V30" s="84">
        <v>155.06</v>
      </c>
      <c r="W30" s="58"/>
      <c r="X30" s="85">
        <f t="shared" si="1"/>
        <v>77</v>
      </c>
      <c r="Y30" s="163">
        <f t="shared" si="1"/>
        <v>157.54416666674894</v>
      </c>
      <c r="Z30" s="43"/>
      <c r="AA30" s="86" t="s">
        <v>81</v>
      </c>
      <c r="AB30" s="87">
        <f t="shared" ref="AB30:AC33" si="4">X20</f>
        <v>20</v>
      </c>
      <c r="AC30" s="161">
        <f t="shared" si="4"/>
        <v>24.79</v>
      </c>
    </row>
    <row r="31" spans="2:29" x14ac:dyDescent="0.2">
      <c r="D31" s="12" t="s">
        <v>9</v>
      </c>
      <c r="E31" s="29">
        <v>0.8</v>
      </c>
      <c r="M31" s="72" t="s">
        <v>25</v>
      </c>
      <c r="N31" s="72" t="s">
        <v>26</v>
      </c>
      <c r="O31" s="72" t="s">
        <v>44</v>
      </c>
      <c r="P31" s="72" t="s">
        <v>60</v>
      </c>
      <c r="Q31" s="80" t="str">
        <f t="shared" si="0"/>
        <v>Main Hoist (Holder)</v>
      </c>
      <c r="R31" s="81">
        <v>7</v>
      </c>
      <c r="S31" s="157">
        <v>156.19305555563187</v>
      </c>
      <c r="T31" s="58"/>
      <c r="U31" s="83">
        <v>41</v>
      </c>
      <c r="V31" s="84">
        <v>127.69</v>
      </c>
      <c r="W31" s="58"/>
      <c r="X31" s="85">
        <f t="shared" si="1"/>
        <v>48</v>
      </c>
      <c r="Y31" s="163">
        <f t="shared" si="1"/>
        <v>283.88305555563187</v>
      </c>
      <c r="Z31" s="43"/>
      <c r="AA31" s="86" t="s">
        <v>128</v>
      </c>
      <c r="AB31" s="87">
        <f t="shared" si="4"/>
        <v>0</v>
      </c>
      <c r="AC31" s="161">
        <f t="shared" si="4"/>
        <v>0</v>
      </c>
    </row>
    <row r="32" spans="2:29" ht="15.75" x14ac:dyDescent="0.25">
      <c r="B32" s="24" t="s">
        <v>3</v>
      </c>
      <c r="C32" s="25" t="s">
        <v>5</v>
      </c>
      <c r="D32" s="26" t="s">
        <v>14</v>
      </c>
      <c r="E32" s="24" t="s">
        <v>4</v>
      </c>
      <c r="F32" s="24" t="s">
        <v>31</v>
      </c>
      <c r="G32" s="24" t="s">
        <v>13</v>
      </c>
      <c r="H32" s="13" t="s">
        <v>6</v>
      </c>
      <c r="I32" s="13" t="s">
        <v>7</v>
      </c>
      <c r="J32" s="13" t="s">
        <v>10</v>
      </c>
      <c r="K32" s="13"/>
      <c r="M32" s="88" t="s">
        <v>25</v>
      </c>
      <c r="N32" s="88" t="s">
        <v>26</v>
      </c>
      <c r="O32" s="88" t="s">
        <v>44</v>
      </c>
      <c r="P32" s="88" t="s">
        <v>61</v>
      </c>
      <c r="Q32" s="89" t="str">
        <f t="shared" si="0"/>
        <v>Main Hoist (Holder Wire)</v>
      </c>
      <c r="R32" s="90">
        <v>1</v>
      </c>
      <c r="S32" s="158">
        <v>2.5152777777984738</v>
      </c>
      <c r="T32" s="61"/>
      <c r="U32" s="92">
        <v>44</v>
      </c>
      <c r="V32" s="118">
        <v>99.89</v>
      </c>
      <c r="W32" s="61"/>
      <c r="X32" s="119">
        <f t="shared" si="1"/>
        <v>45</v>
      </c>
      <c r="Y32" s="164">
        <f t="shared" si="1"/>
        <v>102.40527777779847</v>
      </c>
      <c r="Z32" s="43"/>
      <c r="AA32" s="86" t="s">
        <v>82</v>
      </c>
      <c r="AB32" s="87">
        <f t="shared" si="4"/>
        <v>27</v>
      </c>
      <c r="AC32" s="161">
        <f t="shared" si="4"/>
        <v>81.909166666690723</v>
      </c>
    </row>
    <row r="33" spans="2:29" x14ac:dyDescent="0.2">
      <c r="B33" s="14">
        <f t="shared" ref="B33:B64" si="5">ROW(B33)-ROW($B$32)</f>
        <v>1</v>
      </c>
      <c r="C33" s="139" t="s">
        <v>175</v>
      </c>
      <c r="D33" s="138">
        <v>213</v>
      </c>
      <c r="E33" s="15">
        <f>SUM(D33:D$33)/SUM($D$33:$D$64)</f>
        <v>0.25975609756097562</v>
      </c>
      <c r="F33" s="40">
        <f>E33</f>
        <v>0.25975609756097562</v>
      </c>
      <c r="G33" s="201">
        <v>247.21944444445427</v>
      </c>
      <c r="H33" s="16">
        <f t="shared" ref="H33:H56" ca="1" si="6">IF(OR(B33=1,OFFSET($E$32,B33-1,0,1,1)&lt;=$E$31),OFFSET($D$32,B33,0,1,1),"")</f>
        <v>213</v>
      </c>
      <c r="I33" s="17" t="str">
        <f t="shared" ref="I33:I56" ca="1" si="7">IF(H33="",OFFSET($D$32,B33,0,1,1),"")</f>
        <v/>
      </c>
      <c r="J33" s="18">
        <f t="shared" ref="J33:J64" si="8">$E$31</f>
        <v>0.8</v>
      </c>
      <c r="K33" s="95"/>
      <c r="M33" s="72" t="s">
        <v>25</v>
      </c>
      <c r="N33" s="72" t="s">
        <v>26</v>
      </c>
      <c r="O33" s="72" t="s">
        <v>45</v>
      </c>
      <c r="P33" s="72" t="s">
        <v>62</v>
      </c>
      <c r="Q33" s="80" t="str">
        <f t="shared" si="0"/>
        <v>Spud System (Spud Sheaves)</v>
      </c>
      <c r="R33" s="81">
        <v>0</v>
      </c>
      <c r="S33" s="157">
        <v>0</v>
      </c>
      <c r="T33" s="58"/>
      <c r="U33" s="83">
        <v>8</v>
      </c>
      <c r="V33" s="84">
        <v>6.7299999999999995</v>
      </c>
      <c r="W33" s="58"/>
      <c r="X33" s="85">
        <f t="shared" si="1"/>
        <v>8</v>
      </c>
      <c r="Y33" s="163">
        <f t="shared" si="1"/>
        <v>6.7299999999999995</v>
      </c>
      <c r="Z33" s="43"/>
      <c r="AA33" s="86" t="s">
        <v>83</v>
      </c>
      <c r="AB33" s="87">
        <f t="shared" si="4"/>
        <v>1</v>
      </c>
      <c r="AC33" s="161">
        <f t="shared" si="4"/>
        <v>20.149999999999999</v>
      </c>
    </row>
    <row r="34" spans="2:29" x14ac:dyDescent="0.2">
      <c r="B34" s="14">
        <f t="shared" si="5"/>
        <v>2</v>
      </c>
      <c r="C34" s="139" t="s">
        <v>97</v>
      </c>
      <c r="D34" s="138">
        <v>117</v>
      </c>
      <c r="E34" s="15">
        <f>SUM(D$33:D34)/SUM($D$33:$D$64)</f>
        <v>0.40243902439024393</v>
      </c>
      <c r="F34" s="40">
        <f>E34-E33</f>
        <v>0.14268292682926831</v>
      </c>
      <c r="G34" s="201">
        <v>193.46305555508937</v>
      </c>
      <c r="H34" s="16">
        <f t="shared" ca="1" si="6"/>
        <v>117</v>
      </c>
      <c r="I34" s="17" t="str">
        <f t="shared" ca="1" si="7"/>
        <v/>
      </c>
      <c r="J34" s="18">
        <f t="shared" si="8"/>
        <v>0.8</v>
      </c>
      <c r="K34" s="95"/>
      <c r="M34" s="72" t="s">
        <v>25</v>
      </c>
      <c r="N34" s="72" t="s">
        <v>26</v>
      </c>
      <c r="O34" s="72" t="s">
        <v>45</v>
      </c>
      <c r="P34" s="72" t="s">
        <v>63</v>
      </c>
      <c r="Q34" s="80" t="str">
        <f t="shared" si="0"/>
        <v>Spud System (Spud Structure)</v>
      </c>
      <c r="R34" s="81">
        <v>0</v>
      </c>
      <c r="S34" s="157">
        <v>0</v>
      </c>
      <c r="T34" s="58"/>
      <c r="U34" s="83">
        <v>6</v>
      </c>
      <c r="V34" s="84">
        <v>209.03000000000003</v>
      </c>
      <c r="W34" s="58"/>
      <c r="X34" s="85">
        <f t="shared" si="1"/>
        <v>6</v>
      </c>
      <c r="Y34" s="163">
        <f t="shared" si="1"/>
        <v>209.03000000000003</v>
      </c>
      <c r="Z34" s="43"/>
    </row>
    <row r="35" spans="2:29" x14ac:dyDescent="0.2">
      <c r="B35" s="14">
        <f t="shared" si="5"/>
        <v>3</v>
      </c>
      <c r="C35" s="139" t="s">
        <v>89</v>
      </c>
      <c r="D35" s="138">
        <v>77</v>
      </c>
      <c r="E35" s="15">
        <f>SUM(D$33:D35)/SUM($D$33:$D$64)</f>
        <v>0.49634146341463414</v>
      </c>
      <c r="F35" s="40">
        <f t="shared" ref="F35:F64" si="9">E35-E34</f>
        <v>9.3902439024390216E-2</v>
      </c>
      <c r="G35" s="201">
        <v>157.54416666674894</v>
      </c>
      <c r="H35" s="16">
        <f t="shared" ca="1" si="6"/>
        <v>77</v>
      </c>
      <c r="I35" s="17" t="str">
        <f t="shared" ca="1" si="7"/>
        <v/>
      </c>
      <c r="J35" s="18">
        <f t="shared" si="8"/>
        <v>0.8</v>
      </c>
      <c r="K35" s="95"/>
      <c r="M35" s="72" t="s">
        <v>25</v>
      </c>
      <c r="N35" s="72" t="s">
        <v>26</v>
      </c>
      <c r="O35" s="72" t="s">
        <v>45</v>
      </c>
      <c r="P35" s="72" t="s">
        <v>64</v>
      </c>
      <c r="Q35" s="80" t="str">
        <f t="shared" si="0"/>
        <v>Spud System (Spud Winch)</v>
      </c>
      <c r="R35" s="81">
        <v>5</v>
      </c>
      <c r="S35" s="157">
        <v>5.0325000001466833</v>
      </c>
      <c r="T35" s="58"/>
      <c r="U35" s="83">
        <v>36</v>
      </c>
      <c r="V35" s="84">
        <v>27.79</v>
      </c>
      <c r="W35" s="58"/>
      <c r="X35" s="85">
        <f t="shared" si="1"/>
        <v>41</v>
      </c>
      <c r="Y35" s="163">
        <f t="shared" si="1"/>
        <v>32.822500000146682</v>
      </c>
      <c r="Z35" s="43"/>
    </row>
    <row r="36" spans="2:29" x14ac:dyDescent="0.2">
      <c r="B36" s="14">
        <f t="shared" si="5"/>
        <v>4</v>
      </c>
      <c r="C36" s="139" t="s">
        <v>90</v>
      </c>
      <c r="D36" s="138">
        <v>48</v>
      </c>
      <c r="E36" s="15">
        <f>SUM(D$33:D36)/SUM($D$33:$D$64)</f>
        <v>0.55487804878048785</v>
      </c>
      <c r="F36" s="40">
        <f t="shared" si="9"/>
        <v>5.8536585365853711E-2</v>
      </c>
      <c r="G36" s="201">
        <v>283.88305555563187</v>
      </c>
      <c r="H36" s="16">
        <f t="shared" ca="1" si="6"/>
        <v>48</v>
      </c>
      <c r="I36" s="17" t="str">
        <f t="shared" ca="1" si="7"/>
        <v/>
      </c>
      <c r="J36" s="18">
        <f t="shared" si="8"/>
        <v>0.8</v>
      </c>
      <c r="K36" s="95"/>
      <c r="M36" s="72" t="s">
        <v>25</v>
      </c>
      <c r="N36" s="72" t="s">
        <v>26</v>
      </c>
      <c r="O36" s="72" t="s">
        <v>45</v>
      </c>
      <c r="P36" s="72" t="s">
        <v>65</v>
      </c>
      <c r="Q36" s="80" t="str">
        <f t="shared" si="0"/>
        <v>Spud System (Spud Wires)</v>
      </c>
      <c r="R36" s="81">
        <v>0</v>
      </c>
      <c r="S36" s="157">
        <v>0</v>
      </c>
      <c r="T36" s="58"/>
      <c r="U36" s="83">
        <v>13</v>
      </c>
      <c r="V36" s="84">
        <v>29.09</v>
      </c>
      <c r="W36" s="58"/>
      <c r="X36" s="85">
        <f t="shared" si="1"/>
        <v>13</v>
      </c>
      <c r="Y36" s="163">
        <f t="shared" si="1"/>
        <v>29.09</v>
      </c>
      <c r="Z36" s="43"/>
      <c r="AA36" s="86" t="s">
        <v>129</v>
      </c>
      <c r="AB36" s="87">
        <f>X24</f>
        <v>0</v>
      </c>
      <c r="AC36" s="161">
        <f>Y24</f>
        <v>0</v>
      </c>
    </row>
    <row r="37" spans="2:29" x14ac:dyDescent="0.2">
      <c r="B37" s="14">
        <f t="shared" si="5"/>
        <v>5</v>
      </c>
      <c r="C37" s="139" t="s">
        <v>91</v>
      </c>
      <c r="D37" s="138">
        <v>45</v>
      </c>
      <c r="E37" s="15">
        <f>SUM(D$33:D37)/SUM($D$33:$D$64)</f>
        <v>0.6097560975609756</v>
      </c>
      <c r="F37" s="40">
        <f t="shared" si="9"/>
        <v>5.4878048780487743E-2</v>
      </c>
      <c r="G37" s="201">
        <v>102.40527777779847</v>
      </c>
      <c r="H37" s="16">
        <f t="shared" ca="1" si="6"/>
        <v>45</v>
      </c>
      <c r="I37" s="17" t="str">
        <f t="shared" ca="1" si="7"/>
        <v/>
      </c>
      <c r="J37" s="18">
        <f t="shared" si="8"/>
        <v>0.8</v>
      </c>
      <c r="K37" s="95"/>
      <c r="M37" s="94" t="s">
        <v>25</v>
      </c>
      <c r="N37" s="88" t="s">
        <v>26</v>
      </c>
      <c r="O37" s="88" t="s">
        <v>45</v>
      </c>
      <c r="P37" s="88" t="s">
        <v>166</v>
      </c>
      <c r="Q37" s="89" t="str">
        <f t="shared" si="0"/>
        <v>Spud System (Walking Mechanisms (Carriage / Travel))</v>
      </c>
      <c r="R37" s="90">
        <v>1</v>
      </c>
      <c r="S37" s="158">
        <v>0.14138888893648982</v>
      </c>
      <c r="T37" s="61"/>
      <c r="U37" s="92">
        <v>20</v>
      </c>
      <c r="V37" s="118">
        <v>21.990000000000002</v>
      </c>
      <c r="W37" s="61"/>
      <c r="X37" s="119">
        <f t="shared" si="1"/>
        <v>21</v>
      </c>
      <c r="Y37" s="164">
        <f t="shared" si="1"/>
        <v>22.131388888936492</v>
      </c>
      <c r="Z37" s="43"/>
      <c r="AA37" s="86" t="s">
        <v>84</v>
      </c>
      <c r="AB37" s="87">
        <f>X25</f>
        <v>1</v>
      </c>
      <c r="AC37" s="161">
        <f>Y25</f>
        <v>1.39</v>
      </c>
    </row>
    <row r="38" spans="2:29" x14ac:dyDescent="0.2">
      <c r="B38" s="14">
        <f t="shared" si="5"/>
        <v>6</v>
      </c>
      <c r="C38" s="139" t="s">
        <v>163</v>
      </c>
      <c r="D38" s="138">
        <v>42</v>
      </c>
      <c r="E38" s="15">
        <f>SUM(D$33:D38)/SUM($D$33:$D$64)</f>
        <v>0.66097560975609759</v>
      </c>
      <c r="F38" s="40">
        <f t="shared" si="9"/>
        <v>5.1219512195121997E-2</v>
      </c>
      <c r="G38" s="183">
        <v>34.169999999999995</v>
      </c>
      <c r="H38" s="16">
        <f t="shared" ca="1" si="6"/>
        <v>42</v>
      </c>
      <c r="I38" s="17" t="str">
        <f t="shared" ca="1" si="7"/>
        <v/>
      </c>
      <c r="J38" s="18">
        <f t="shared" si="8"/>
        <v>0.8</v>
      </c>
      <c r="K38" s="95"/>
      <c r="M38" s="72" t="s">
        <v>25</v>
      </c>
      <c r="N38" s="72" t="s">
        <v>26</v>
      </c>
      <c r="O38" s="72" t="s">
        <v>46</v>
      </c>
      <c r="P38" s="72" t="s">
        <v>119</v>
      </c>
      <c r="Q38" s="80" t="str">
        <f t="shared" si="0"/>
        <v>Tagline (Tagline Sheaves)</v>
      </c>
      <c r="R38" s="81">
        <v>0</v>
      </c>
      <c r="S38" s="157">
        <v>0</v>
      </c>
      <c r="T38" s="58"/>
      <c r="U38" s="83">
        <v>2</v>
      </c>
      <c r="V38" s="84">
        <v>0.76</v>
      </c>
      <c r="W38" s="58"/>
      <c r="X38" s="85">
        <f t="shared" si="1"/>
        <v>2</v>
      </c>
      <c r="Y38" s="163">
        <f t="shared" si="1"/>
        <v>0.76</v>
      </c>
      <c r="Z38" s="43"/>
    </row>
    <row r="39" spans="2:29" x14ac:dyDescent="0.2">
      <c r="B39" s="14">
        <f t="shared" si="5"/>
        <v>7</v>
      </c>
      <c r="C39" s="139" t="s">
        <v>94</v>
      </c>
      <c r="D39" s="138">
        <v>41</v>
      </c>
      <c r="E39" s="15">
        <f>SUM(D$33:D39)/SUM($D$33:$D$64)</f>
        <v>0.71097560975609753</v>
      </c>
      <c r="F39" s="40">
        <f t="shared" si="9"/>
        <v>4.9999999999999933E-2</v>
      </c>
      <c r="G39" s="183">
        <v>32.822500000146682</v>
      </c>
      <c r="H39" s="16">
        <f t="shared" ca="1" si="6"/>
        <v>41</v>
      </c>
      <c r="I39" s="17" t="str">
        <f t="shared" ca="1" si="7"/>
        <v/>
      </c>
      <c r="J39" s="18">
        <f t="shared" si="8"/>
        <v>0.8</v>
      </c>
      <c r="K39" s="95"/>
      <c r="M39" s="72" t="s">
        <v>25</v>
      </c>
      <c r="N39" s="72" t="s">
        <v>26</v>
      </c>
      <c r="O39" s="72" t="s">
        <v>46</v>
      </c>
      <c r="P39" s="72" t="s">
        <v>168</v>
      </c>
      <c r="Q39" s="80" t="str">
        <f t="shared" si="0"/>
        <v>Tagline (Tagline Winch (motor, gearbox, etc.))</v>
      </c>
      <c r="R39" s="81">
        <v>0</v>
      </c>
      <c r="S39" s="157">
        <v>0</v>
      </c>
      <c r="T39" s="58"/>
      <c r="U39" s="83">
        <v>9</v>
      </c>
      <c r="V39" s="84">
        <v>4.54</v>
      </c>
      <c r="W39" s="58"/>
      <c r="X39" s="85">
        <f t="shared" si="1"/>
        <v>9</v>
      </c>
      <c r="Y39" s="163">
        <f t="shared" si="1"/>
        <v>4.54</v>
      </c>
      <c r="Z39" s="43"/>
    </row>
    <row r="40" spans="2:29" x14ac:dyDescent="0.2">
      <c r="B40" s="14">
        <f t="shared" si="5"/>
        <v>8</v>
      </c>
      <c r="C40" s="139" t="s">
        <v>178</v>
      </c>
      <c r="D40" s="138">
        <v>27</v>
      </c>
      <c r="E40" s="15">
        <f>SUM(D$33:D40)/SUM($D$33:$D$64)</f>
        <v>0.74390243902439024</v>
      </c>
      <c r="F40" s="40">
        <f t="shared" si="9"/>
        <v>3.2926829268292712E-2</v>
      </c>
      <c r="G40" s="201">
        <v>81.909166666690723</v>
      </c>
      <c r="H40" s="16">
        <f t="shared" ca="1" si="6"/>
        <v>27</v>
      </c>
      <c r="I40" s="17" t="str">
        <f t="shared" ca="1" si="7"/>
        <v/>
      </c>
      <c r="J40" s="18">
        <f t="shared" si="8"/>
        <v>0.8</v>
      </c>
      <c r="K40" s="95"/>
      <c r="M40" s="94" t="s">
        <v>25</v>
      </c>
      <c r="N40" s="88" t="s">
        <v>26</v>
      </c>
      <c r="O40" s="88" t="s">
        <v>46</v>
      </c>
      <c r="P40" s="88" t="s">
        <v>162</v>
      </c>
      <c r="Q40" s="89" t="str">
        <f t="shared" si="0"/>
        <v>Tagline (Tagline Wire)</v>
      </c>
      <c r="R40" s="90">
        <v>0</v>
      </c>
      <c r="S40" s="158">
        <v>0</v>
      </c>
      <c r="T40" s="61"/>
      <c r="U40" s="92">
        <v>42</v>
      </c>
      <c r="V40" s="118">
        <v>34.169999999999995</v>
      </c>
      <c r="W40" s="61"/>
      <c r="X40" s="119">
        <f t="shared" si="1"/>
        <v>42</v>
      </c>
      <c r="Y40" s="164">
        <f t="shared" si="1"/>
        <v>34.169999999999995</v>
      </c>
      <c r="Z40" s="43"/>
      <c r="AA40" s="86" t="s">
        <v>85</v>
      </c>
      <c r="AB40" s="87">
        <f t="shared" ref="AB40:AC42" si="10">X26</f>
        <v>1</v>
      </c>
      <c r="AC40" s="161">
        <f t="shared" si="10"/>
        <v>14.26</v>
      </c>
    </row>
    <row r="41" spans="2:29" x14ac:dyDescent="0.2">
      <c r="B41" s="14">
        <f t="shared" si="5"/>
        <v>9</v>
      </c>
      <c r="C41" s="139" t="s">
        <v>174</v>
      </c>
      <c r="D41" s="138">
        <v>21</v>
      </c>
      <c r="E41" s="15">
        <f>SUM(D$33:D41)/SUM($D$33:$D$64)</f>
        <v>0.76951219512195124</v>
      </c>
      <c r="F41" s="40">
        <f t="shared" si="9"/>
        <v>2.5609756097560998E-2</v>
      </c>
      <c r="G41" s="183">
        <v>22.131388888936492</v>
      </c>
      <c r="H41" s="16">
        <f t="shared" ca="1" si="6"/>
        <v>21</v>
      </c>
      <c r="I41" s="17" t="str">
        <f t="shared" ca="1" si="7"/>
        <v/>
      </c>
      <c r="J41" s="18">
        <f t="shared" si="8"/>
        <v>0.8</v>
      </c>
      <c r="K41" s="95"/>
      <c r="M41" s="72" t="s">
        <v>25</v>
      </c>
      <c r="N41" s="72" t="s">
        <v>26</v>
      </c>
      <c r="O41" s="72" t="s">
        <v>47</v>
      </c>
      <c r="P41" s="72" t="s">
        <v>67</v>
      </c>
      <c r="Q41" s="80" t="str">
        <f t="shared" si="0"/>
        <v>Tugs and Scows (Scow Repair)</v>
      </c>
      <c r="R41" s="81">
        <v>10</v>
      </c>
      <c r="S41" s="157">
        <v>13.923055555089377</v>
      </c>
      <c r="T41" s="58"/>
      <c r="U41" s="83">
        <v>107</v>
      </c>
      <c r="V41" s="84">
        <v>179.54</v>
      </c>
      <c r="W41" s="58"/>
      <c r="X41" s="85">
        <f t="shared" si="1"/>
        <v>117</v>
      </c>
      <c r="Y41" s="163">
        <f t="shared" si="1"/>
        <v>193.46305555508937</v>
      </c>
      <c r="Z41" s="43"/>
      <c r="AA41" s="86" t="s">
        <v>86</v>
      </c>
      <c r="AB41" s="87">
        <f t="shared" si="10"/>
        <v>11</v>
      </c>
      <c r="AC41" s="161">
        <f t="shared" si="10"/>
        <v>72.570000000000007</v>
      </c>
    </row>
    <row r="42" spans="2:29" x14ac:dyDescent="0.2">
      <c r="B42" s="14">
        <f t="shared" si="5"/>
        <v>10</v>
      </c>
      <c r="C42" s="139" t="s">
        <v>181</v>
      </c>
      <c r="D42" s="138">
        <v>20</v>
      </c>
      <c r="E42" s="15">
        <f>SUM(D$33:D42)/SUM($D$33:$D$64)</f>
        <v>0.79390243902439028</v>
      </c>
      <c r="F42" s="40">
        <f t="shared" si="9"/>
        <v>2.4390243902439046E-2</v>
      </c>
      <c r="G42" s="183">
        <v>24.79</v>
      </c>
      <c r="H42" s="16">
        <f t="shared" ca="1" si="6"/>
        <v>20</v>
      </c>
      <c r="I42" s="17" t="str">
        <f t="shared" ca="1" si="7"/>
        <v/>
      </c>
      <c r="J42" s="18">
        <f t="shared" si="8"/>
        <v>0.8</v>
      </c>
      <c r="K42" s="95"/>
      <c r="M42" s="72" t="s">
        <v>25</v>
      </c>
      <c r="N42" s="72" t="s">
        <v>26</v>
      </c>
      <c r="O42" s="72" t="s">
        <v>47</v>
      </c>
      <c r="P42" s="72" t="s">
        <v>68</v>
      </c>
      <c r="Q42" s="80" t="str">
        <f t="shared" si="0"/>
        <v>Tugs and Scows (Tug Repair)</v>
      </c>
      <c r="R42" s="81">
        <v>2</v>
      </c>
      <c r="S42" s="157">
        <v>2.8944444443914108</v>
      </c>
      <c r="T42" s="58"/>
      <c r="U42" s="83">
        <v>14</v>
      </c>
      <c r="V42" s="84">
        <v>36.909999999999997</v>
      </c>
      <c r="W42" s="58"/>
      <c r="X42" s="85">
        <f t="shared" si="1"/>
        <v>16</v>
      </c>
      <c r="Y42" s="163">
        <f t="shared" si="1"/>
        <v>39.804444444391407</v>
      </c>
      <c r="Z42" s="43"/>
      <c r="AA42" s="86" t="s">
        <v>87</v>
      </c>
      <c r="AB42" s="87">
        <f t="shared" si="10"/>
        <v>18</v>
      </c>
      <c r="AC42" s="161">
        <f t="shared" si="10"/>
        <v>78.281666666604565</v>
      </c>
    </row>
    <row r="43" spans="2:29" x14ac:dyDescent="0.2">
      <c r="B43" s="14">
        <f t="shared" si="5"/>
        <v>11</v>
      </c>
      <c r="C43" s="139" t="s">
        <v>176</v>
      </c>
      <c r="D43" s="138">
        <v>18</v>
      </c>
      <c r="E43" s="15">
        <f>SUM(D$33:D43)/SUM($D$33:$D$64)</f>
        <v>0.81585365853658531</v>
      </c>
      <c r="F43" s="40">
        <f t="shared" si="9"/>
        <v>2.195121951219503E-2</v>
      </c>
      <c r="G43" s="201">
        <v>78.281666666604565</v>
      </c>
      <c r="H43" s="16">
        <f t="shared" ca="1" si="6"/>
        <v>18</v>
      </c>
      <c r="I43" s="17" t="str">
        <f t="shared" ca="1" si="7"/>
        <v/>
      </c>
      <c r="J43" s="18">
        <f t="shared" si="8"/>
        <v>0.8</v>
      </c>
      <c r="K43" s="95"/>
      <c r="M43" s="37"/>
      <c r="N43" s="37"/>
      <c r="O43" s="37"/>
      <c r="P43" s="37"/>
      <c r="Q43" s="32"/>
      <c r="R43" s="36"/>
      <c r="S43" s="36"/>
      <c r="T43" s="36"/>
      <c r="U43" s="36"/>
      <c r="V43" s="36"/>
      <c r="W43" s="36"/>
      <c r="X43" s="36"/>
      <c r="Y43" s="36"/>
      <c r="Z43" s="32"/>
    </row>
    <row r="44" spans="2:29" x14ac:dyDescent="0.2">
      <c r="B44" s="14">
        <f t="shared" si="5"/>
        <v>12</v>
      </c>
      <c r="C44" s="203" t="s">
        <v>98</v>
      </c>
      <c r="D44" s="204">
        <v>16</v>
      </c>
      <c r="E44" s="15">
        <f>SUM(D$33:D44)/SUM($D$33:$D$64)</f>
        <v>0.83536585365853655</v>
      </c>
      <c r="F44" s="40">
        <f t="shared" si="9"/>
        <v>1.9512195121951237E-2</v>
      </c>
      <c r="G44" s="201">
        <v>39.804444444391407</v>
      </c>
      <c r="H44" s="16" t="str">
        <f t="shared" ca="1" si="6"/>
        <v/>
      </c>
      <c r="I44" s="17">
        <f t="shared" ca="1" si="7"/>
        <v>16</v>
      </c>
      <c r="J44" s="18">
        <f t="shared" si="8"/>
        <v>0.8</v>
      </c>
      <c r="K44" s="95"/>
    </row>
    <row r="45" spans="2:29" x14ac:dyDescent="0.2">
      <c r="B45" s="14">
        <f t="shared" si="5"/>
        <v>13</v>
      </c>
      <c r="C45" s="203" t="s">
        <v>80</v>
      </c>
      <c r="D45" s="204">
        <v>15</v>
      </c>
      <c r="E45" s="15">
        <f>SUM(D$33:D45)/SUM($D$33:$D$64)</f>
        <v>0.85365853658536583</v>
      </c>
      <c r="F45" s="40">
        <f t="shared" si="9"/>
        <v>1.8292682926829285E-2</v>
      </c>
      <c r="G45" s="183">
        <v>9.1399999999254931</v>
      </c>
      <c r="H45" s="16" t="str">
        <f t="shared" ca="1" si="6"/>
        <v/>
      </c>
      <c r="I45" s="17">
        <f t="shared" ca="1" si="7"/>
        <v>15</v>
      </c>
      <c r="J45" s="18">
        <f t="shared" si="8"/>
        <v>0.8</v>
      </c>
      <c r="K45" s="95"/>
      <c r="U45" s="154"/>
      <c r="V45" s="154"/>
      <c r="AA45" s="86" t="s">
        <v>88</v>
      </c>
      <c r="AB45" s="87">
        <f t="shared" ref="AB45:AC48" si="11">X29</f>
        <v>10</v>
      </c>
      <c r="AC45" s="161">
        <f t="shared" si="11"/>
        <v>27.48</v>
      </c>
    </row>
    <row r="46" spans="2:29" x14ac:dyDescent="0.2">
      <c r="B46" s="14">
        <f t="shared" si="5"/>
        <v>14</v>
      </c>
      <c r="C46" s="203" t="s">
        <v>173</v>
      </c>
      <c r="D46" s="204">
        <v>15</v>
      </c>
      <c r="E46" s="15">
        <f>SUM(D$33:D46)/SUM($D$33:$D$64)</f>
        <v>0.87195121951219512</v>
      </c>
      <c r="F46" s="40">
        <f t="shared" si="9"/>
        <v>1.8292682926829285E-2</v>
      </c>
      <c r="G46" s="183">
        <v>10.55</v>
      </c>
      <c r="H46" s="16" t="str">
        <f t="shared" ca="1" si="6"/>
        <v/>
      </c>
      <c r="I46" s="17">
        <f t="shared" ca="1" si="7"/>
        <v>15</v>
      </c>
      <c r="J46" s="18">
        <f t="shared" si="8"/>
        <v>0.8</v>
      </c>
      <c r="K46" s="95"/>
      <c r="O46" s="244" t="s">
        <v>133</v>
      </c>
      <c r="P46" s="244"/>
      <c r="Q46" s="244"/>
      <c r="R46" s="36"/>
      <c r="S46" s="36"/>
      <c r="U46" s="154"/>
      <c r="V46" s="154"/>
      <c r="AA46" s="86" t="s">
        <v>89</v>
      </c>
      <c r="AB46" s="87">
        <f t="shared" si="11"/>
        <v>77</v>
      </c>
      <c r="AC46" s="161">
        <f t="shared" si="11"/>
        <v>157.54416666674894</v>
      </c>
    </row>
    <row r="47" spans="2:29" x14ac:dyDescent="0.2">
      <c r="B47" s="14">
        <f t="shared" si="5"/>
        <v>15</v>
      </c>
      <c r="C47" s="203" t="s">
        <v>95</v>
      </c>
      <c r="D47" s="204">
        <v>13</v>
      </c>
      <c r="E47" s="15">
        <f>SUM(D$33:D47)/SUM($D$33:$D$64)</f>
        <v>0.8878048780487805</v>
      </c>
      <c r="F47" s="40">
        <f t="shared" si="9"/>
        <v>1.585365853658538E-2</v>
      </c>
      <c r="G47" s="183">
        <v>29.09</v>
      </c>
      <c r="H47" s="16" t="str">
        <f t="shared" ca="1" si="6"/>
        <v/>
      </c>
      <c r="I47" s="17">
        <f t="shared" ca="1" si="7"/>
        <v>13</v>
      </c>
      <c r="J47" s="18">
        <f t="shared" si="8"/>
        <v>0.8</v>
      </c>
      <c r="K47" s="95"/>
      <c r="O47" s="37"/>
      <c r="P47" s="144"/>
      <c r="Q47" s="144"/>
      <c r="R47" s="36"/>
      <c r="S47" s="36"/>
      <c r="U47" s="154"/>
      <c r="V47" s="154"/>
      <c r="AA47" s="86" t="s">
        <v>90</v>
      </c>
      <c r="AB47" s="87">
        <f t="shared" si="11"/>
        <v>48</v>
      </c>
      <c r="AC47" s="161">
        <f t="shared" si="11"/>
        <v>283.88305555563187</v>
      </c>
    </row>
    <row r="48" spans="2:29" x14ac:dyDescent="0.2">
      <c r="B48" s="14">
        <f t="shared" si="5"/>
        <v>16</v>
      </c>
      <c r="C48" s="203" t="s">
        <v>76</v>
      </c>
      <c r="D48" s="204">
        <v>12</v>
      </c>
      <c r="E48" s="15">
        <f>SUM(D$33:D48)/SUM($D$33:$D$64)</f>
        <v>0.90243902439024393</v>
      </c>
      <c r="F48" s="40">
        <f t="shared" si="9"/>
        <v>1.4634146341463428E-2</v>
      </c>
      <c r="G48" s="183">
        <v>32.130000000000003</v>
      </c>
      <c r="H48" s="16" t="str">
        <f t="shared" ca="1" si="6"/>
        <v/>
      </c>
      <c r="I48" s="17">
        <f t="shared" ca="1" si="7"/>
        <v>12</v>
      </c>
      <c r="J48" s="18">
        <f t="shared" si="8"/>
        <v>0.8</v>
      </c>
      <c r="K48" s="95"/>
      <c r="O48" s="37"/>
      <c r="P48" s="144"/>
      <c r="Q48" s="144"/>
      <c r="R48" s="36"/>
      <c r="S48" s="36"/>
      <c r="U48" s="154"/>
      <c r="V48" s="154"/>
      <c r="AA48" s="86" t="s">
        <v>91</v>
      </c>
      <c r="AB48" s="87">
        <f t="shared" si="11"/>
        <v>45</v>
      </c>
      <c r="AC48" s="161">
        <f t="shared" si="11"/>
        <v>102.40527777779847</v>
      </c>
    </row>
    <row r="49" spans="2:29" x14ac:dyDescent="0.2">
      <c r="B49" s="14">
        <f t="shared" si="5"/>
        <v>17</v>
      </c>
      <c r="C49" s="203" t="s">
        <v>177</v>
      </c>
      <c r="D49" s="204">
        <v>11</v>
      </c>
      <c r="E49" s="15">
        <f>SUM(D$33:D49)/SUM($D$33:$D$64)</f>
        <v>0.9158536585365854</v>
      </c>
      <c r="F49" s="40">
        <f t="shared" si="9"/>
        <v>1.3414634146341475E-2</v>
      </c>
      <c r="G49" s="201">
        <v>72.570000000000007</v>
      </c>
      <c r="H49" s="16" t="str">
        <f t="shared" ca="1" si="6"/>
        <v/>
      </c>
      <c r="I49" s="17">
        <f t="shared" ca="1" si="7"/>
        <v>11</v>
      </c>
      <c r="J49" s="18">
        <f t="shared" si="8"/>
        <v>0.8</v>
      </c>
      <c r="K49" s="95"/>
      <c r="O49" s="108"/>
      <c r="P49" s="144"/>
      <c r="Q49" s="144"/>
      <c r="R49" s="36"/>
      <c r="S49" s="36"/>
      <c r="U49" s="154"/>
      <c r="V49" s="154"/>
    </row>
    <row r="50" spans="2:29" x14ac:dyDescent="0.2">
      <c r="B50" s="14">
        <f t="shared" si="5"/>
        <v>18</v>
      </c>
      <c r="C50" s="203" t="s">
        <v>88</v>
      </c>
      <c r="D50" s="204">
        <v>10</v>
      </c>
      <c r="E50" s="15">
        <f>SUM(D$33:D50)/SUM($D$33:$D$64)</f>
        <v>0.92804878048780493</v>
      </c>
      <c r="F50" s="40">
        <f t="shared" si="9"/>
        <v>1.2195121951219523E-2</v>
      </c>
      <c r="G50" s="183">
        <v>27.48</v>
      </c>
      <c r="H50" s="16" t="str">
        <f t="shared" ca="1" si="6"/>
        <v/>
      </c>
      <c r="I50" s="17">
        <f t="shared" ca="1" si="7"/>
        <v>10</v>
      </c>
      <c r="J50" s="18">
        <f t="shared" si="8"/>
        <v>0.8</v>
      </c>
      <c r="K50" s="95"/>
      <c r="O50" s="109"/>
      <c r="P50" s="37"/>
      <c r="Q50" s="32"/>
      <c r="R50" s="32"/>
      <c r="S50" s="32"/>
      <c r="U50" s="154"/>
      <c r="V50" s="154"/>
    </row>
    <row r="51" spans="2:29" x14ac:dyDescent="0.2">
      <c r="B51" s="14">
        <f t="shared" si="5"/>
        <v>19</v>
      </c>
      <c r="C51" s="203" t="s">
        <v>77</v>
      </c>
      <c r="D51" s="204">
        <v>10</v>
      </c>
      <c r="E51" s="15">
        <f>SUM(D$33:D51)/SUM($D$33:$D$64)</f>
        <v>0.94024390243902434</v>
      </c>
      <c r="F51" s="40">
        <f t="shared" si="9"/>
        <v>1.2195121951219412E-2</v>
      </c>
      <c r="G51" s="183">
        <v>31.34</v>
      </c>
      <c r="H51" s="16" t="str">
        <f t="shared" ca="1" si="6"/>
        <v/>
      </c>
      <c r="I51" s="17">
        <f t="shared" ca="1" si="7"/>
        <v>10</v>
      </c>
      <c r="J51" s="18">
        <f t="shared" si="8"/>
        <v>0.8</v>
      </c>
      <c r="K51" s="95"/>
      <c r="O51" s="108"/>
      <c r="P51" s="37"/>
      <c r="Q51" s="32"/>
      <c r="R51" s="32"/>
      <c r="S51" s="32"/>
      <c r="U51"/>
      <c r="V51" s="155"/>
      <c r="AA51" s="86" t="s">
        <v>92</v>
      </c>
      <c r="AB51" s="87">
        <f t="shared" ref="AB51:AC55" si="12">X33</f>
        <v>8</v>
      </c>
      <c r="AC51" s="161">
        <f t="shared" si="12"/>
        <v>6.7299999999999995</v>
      </c>
    </row>
    <row r="52" spans="2:29" x14ac:dyDescent="0.2">
      <c r="B52" s="14">
        <f t="shared" si="5"/>
        <v>20</v>
      </c>
      <c r="C52" s="203" t="s">
        <v>180</v>
      </c>
      <c r="D52" s="204">
        <v>9</v>
      </c>
      <c r="E52" s="15">
        <f>SUM(D$33:D52)/SUM($D$33:$D$64)</f>
        <v>0.95121951219512191</v>
      </c>
      <c r="F52" s="40">
        <f t="shared" si="9"/>
        <v>1.0975609756097571E-2</v>
      </c>
      <c r="G52" s="183">
        <v>4.54</v>
      </c>
      <c r="H52" s="16" t="str">
        <f t="shared" ca="1" si="6"/>
        <v/>
      </c>
      <c r="I52" s="17">
        <f t="shared" ca="1" si="7"/>
        <v>9</v>
      </c>
      <c r="J52" s="18">
        <f t="shared" si="8"/>
        <v>0.8</v>
      </c>
      <c r="K52" s="95"/>
      <c r="O52" s="108"/>
      <c r="P52" s="110" t="s">
        <v>135</v>
      </c>
      <c r="Q52" s="241" t="s">
        <v>134</v>
      </c>
      <c r="R52" s="241"/>
      <c r="S52" s="241"/>
      <c r="U52" s="154"/>
      <c r="V52" s="155"/>
      <c r="AA52" s="86" t="s">
        <v>93</v>
      </c>
      <c r="AB52" s="87">
        <f t="shared" si="12"/>
        <v>6</v>
      </c>
      <c r="AC52" s="161">
        <f t="shared" si="12"/>
        <v>209.03000000000003</v>
      </c>
    </row>
    <row r="53" spans="2:29" x14ac:dyDescent="0.2">
      <c r="B53" s="14">
        <f t="shared" si="5"/>
        <v>21</v>
      </c>
      <c r="C53" s="203" t="s">
        <v>27</v>
      </c>
      <c r="D53" s="204">
        <v>9</v>
      </c>
      <c r="E53" s="15">
        <f>SUM(D$33:D53)/SUM($D$33:$D$64)</f>
        <v>0.96219512195121948</v>
      </c>
      <c r="F53" s="40">
        <f t="shared" si="9"/>
        <v>1.0975609756097571E-2</v>
      </c>
      <c r="G53" s="183">
        <v>8.6808333333302272</v>
      </c>
      <c r="H53" s="16" t="str">
        <f t="shared" ca="1" si="6"/>
        <v/>
      </c>
      <c r="I53" s="17">
        <f t="shared" ca="1" si="7"/>
        <v>9</v>
      </c>
      <c r="J53" s="18">
        <f t="shared" si="8"/>
        <v>0.8</v>
      </c>
      <c r="K53" s="95"/>
      <c r="O53" s="108"/>
      <c r="P53" s="37"/>
      <c r="Q53" s="32"/>
      <c r="R53" s="32"/>
      <c r="S53" s="32"/>
      <c r="U53" s="154"/>
      <c r="V53" s="155"/>
      <c r="AA53" s="86" t="s">
        <v>94</v>
      </c>
      <c r="AB53" s="87">
        <f t="shared" si="12"/>
        <v>41</v>
      </c>
      <c r="AC53" s="161">
        <f t="shared" si="12"/>
        <v>32.822500000146682</v>
      </c>
    </row>
    <row r="54" spans="2:29" x14ac:dyDescent="0.2">
      <c r="B54" s="14">
        <f t="shared" si="5"/>
        <v>22</v>
      </c>
      <c r="C54" s="203" t="s">
        <v>92</v>
      </c>
      <c r="D54" s="204">
        <v>8</v>
      </c>
      <c r="E54" s="15">
        <f>SUM(D$33:D54)/SUM($D$33:$D$64)</f>
        <v>0.9719512195121951</v>
      </c>
      <c r="F54" s="40">
        <f t="shared" si="9"/>
        <v>9.7560975609756184E-3</v>
      </c>
      <c r="G54" s="183">
        <v>6.7299999999999995</v>
      </c>
      <c r="H54" s="16" t="str">
        <f t="shared" ca="1" si="6"/>
        <v/>
      </c>
      <c r="I54" s="17">
        <f t="shared" ca="1" si="7"/>
        <v>8</v>
      </c>
      <c r="J54" s="18">
        <f t="shared" si="8"/>
        <v>0.8</v>
      </c>
      <c r="K54" s="95"/>
      <c r="O54" s="108"/>
      <c r="P54" s="36">
        <f>RANK(R54,$Q$54:$R$93,0)+COUNTIF($Q54:R$93,R54)-1</f>
        <v>21</v>
      </c>
      <c r="Q54" s="111" t="str">
        <f>Q3</f>
        <v>Auxiliary Systems (Compressed Air)</v>
      </c>
      <c r="R54" s="112">
        <f>X3</f>
        <v>9</v>
      </c>
      <c r="S54" s="165">
        <f>Y3</f>
        <v>8.6808333333302272</v>
      </c>
      <c r="AA54" s="86" t="s">
        <v>95</v>
      </c>
      <c r="AB54" s="87">
        <f t="shared" si="12"/>
        <v>13</v>
      </c>
      <c r="AC54" s="161">
        <f t="shared" si="12"/>
        <v>29.09</v>
      </c>
    </row>
    <row r="55" spans="2:29" x14ac:dyDescent="0.2">
      <c r="B55" s="14">
        <f t="shared" si="5"/>
        <v>23</v>
      </c>
      <c r="C55" s="203" t="s">
        <v>93</v>
      </c>
      <c r="D55" s="204">
        <v>6</v>
      </c>
      <c r="E55" s="15">
        <f>SUM(D$33:D55)/SUM($D$33:$D$64)</f>
        <v>0.97926829268292681</v>
      </c>
      <c r="F55" s="40">
        <f t="shared" si="9"/>
        <v>7.3170731707317138E-3</v>
      </c>
      <c r="G55" s="201">
        <v>209.03000000000003</v>
      </c>
      <c r="H55" s="16" t="str">
        <f t="shared" ca="1" si="6"/>
        <v/>
      </c>
      <c r="I55" s="17">
        <f t="shared" ca="1" si="7"/>
        <v>6</v>
      </c>
      <c r="J55" s="18">
        <f t="shared" si="8"/>
        <v>0.8</v>
      </c>
      <c r="K55" s="95"/>
      <c r="O55" s="108"/>
      <c r="P55" s="36">
        <f>RANK(R55,$Q$54:$R$93,0)+COUNTIF($Q55:R$93,R55)-1</f>
        <v>28</v>
      </c>
      <c r="Q55" s="111" t="str">
        <f t="shared" ref="Q55:Q93" si="13">Q4</f>
        <v>Auxiliary Systems (Deck Crane)</v>
      </c>
      <c r="R55" s="112">
        <f t="shared" ref="R55:S70" si="14">X4</f>
        <v>2</v>
      </c>
      <c r="S55" s="165">
        <f t="shared" si="14"/>
        <v>7.59</v>
      </c>
      <c r="AA55" s="86" t="s">
        <v>96</v>
      </c>
      <c r="AB55" s="87">
        <f t="shared" si="12"/>
        <v>21</v>
      </c>
      <c r="AC55" s="161">
        <f t="shared" si="12"/>
        <v>22.131388888936492</v>
      </c>
    </row>
    <row r="56" spans="2:29" x14ac:dyDescent="0.2">
      <c r="B56" s="14">
        <f t="shared" si="5"/>
        <v>24</v>
      </c>
      <c r="C56" s="203" t="s">
        <v>182</v>
      </c>
      <c r="D56" s="204">
        <v>4</v>
      </c>
      <c r="E56" s="15">
        <f>SUM(D$33:D56)/SUM($D$33:$D$64)</f>
        <v>0.98414634146341462</v>
      </c>
      <c r="F56" s="40">
        <f t="shared" si="9"/>
        <v>4.8780487804878092E-3</v>
      </c>
      <c r="G56" s="213">
        <v>1.1800000000000002</v>
      </c>
      <c r="H56" s="16" t="str">
        <f t="shared" ca="1" si="6"/>
        <v/>
      </c>
      <c r="I56" s="17">
        <f t="shared" ca="1" si="7"/>
        <v>4</v>
      </c>
      <c r="J56" s="18">
        <f t="shared" si="8"/>
        <v>0.8</v>
      </c>
      <c r="K56" s="95"/>
      <c r="O56" s="108"/>
      <c r="P56" s="36">
        <f>RANK(R56,$Q$54:$R$93,0)+COUNTIF($Q56:R$93,R56)-1</f>
        <v>40</v>
      </c>
      <c r="Q56" s="111" t="str">
        <f t="shared" si="13"/>
        <v>Auxiliary Systems (Fire Main)</v>
      </c>
      <c r="R56" s="112">
        <f t="shared" si="14"/>
        <v>0</v>
      </c>
      <c r="S56" s="165">
        <f t="shared" si="14"/>
        <v>0</v>
      </c>
    </row>
    <row r="57" spans="2:29" x14ac:dyDescent="0.2">
      <c r="B57" s="14">
        <f t="shared" si="5"/>
        <v>25</v>
      </c>
      <c r="C57" s="203" t="s">
        <v>75</v>
      </c>
      <c r="D57" s="204">
        <v>3</v>
      </c>
      <c r="E57" s="15">
        <f>SUM(D$33:D57)/SUM($D$33:$D$64)</f>
        <v>0.98780487804878048</v>
      </c>
      <c r="F57" s="40">
        <f t="shared" si="9"/>
        <v>3.6585365853658569E-3</v>
      </c>
      <c r="G57" s="183">
        <v>10.72</v>
      </c>
      <c r="H57" s="16" t="str">
        <f t="shared" ref="H57:H64" ca="1" si="15">IF(OR(B57=1,OFFSET($E$32,B57-1,0,1,1)&lt;=$E$31),OFFSET($D$32,B57,0,1,1),"")</f>
        <v/>
      </c>
      <c r="I57" s="17">
        <f t="shared" ref="I57:I64" ca="1" si="16">IF(H57="",OFFSET($D$32,B57,0,1,1),"")</f>
        <v>3</v>
      </c>
      <c r="J57" s="18">
        <f t="shared" si="8"/>
        <v>0.8</v>
      </c>
      <c r="K57" s="95"/>
      <c r="O57" s="108"/>
      <c r="P57" s="36">
        <f>RANK(R57,$Q$54:$R$93,0)+COUNTIF($Q57:R$93,R57)-1</f>
        <v>39</v>
      </c>
      <c r="Q57" s="111" t="str">
        <f t="shared" si="13"/>
        <v>Auxiliary Systems (Fuel)</v>
      </c>
      <c r="R57" s="112">
        <f t="shared" si="14"/>
        <v>0</v>
      </c>
      <c r="S57" s="165">
        <f t="shared" si="14"/>
        <v>0</v>
      </c>
    </row>
    <row r="58" spans="2:29" x14ac:dyDescent="0.2">
      <c r="B58" s="14">
        <f t="shared" si="5"/>
        <v>26</v>
      </c>
      <c r="C58" s="203" t="s">
        <v>130</v>
      </c>
      <c r="D58" s="204">
        <v>2</v>
      </c>
      <c r="E58" s="15">
        <f>SUM(D$33:D58)/SUM($D$33:$D$64)</f>
        <v>0.99024390243902438</v>
      </c>
      <c r="F58" s="40">
        <f t="shared" si="9"/>
        <v>2.4390243902439046E-3</v>
      </c>
      <c r="G58" s="183">
        <v>0.76</v>
      </c>
      <c r="H58" s="16" t="str">
        <f t="shared" ca="1" si="15"/>
        <v/>
      </c>
      <c r="I58" s="17">
        <f t="shared" ca="1" si="16"/>
        <v>2</v>
      </c>
      <c r="J58" s="18">
        <f t="shared" si="8"/>
        <v>0.8</v>
      </c>
      <c r="K58" s="95"/>
      <c r="O58" s="108"/>
      <c r="P58" s="36">
        <f>RANK(R58,$Q$54:$R$93,0)+COUNTIF($Q58:R$93,R58)-1</f>
        <v>38</v>
      </c>
      <c r="Q58" s="111" t="str">
        <f t="shared" si="13"/>
        <v>Auxiliary Systems (Heating, Ventilation, A/C)</v>
      </c>
      <c r="R58" s="112">
        <f t="shared" si="14"/>
        <v>0</v>
      </c>
      <c r="S58" s="165">
        <f t="shared" si="14"/>
        <v>0</v>
      </c>
      <c r="AA58" s="86" t="s">
        <v>130</v>
      </c>
      <c r="AB58" s="87">
        <f t="shared" ref="AB58:AC60" si="17">X38</f>
        <v>2</v>
      </c>
      <c r="AC58" s="161">
        <f t="shared" si="17"/>
        <v>0.76</v>
      </c>
    </row>
    <row r="59" spans="2:29" x14ac:dyDescent="0.2">
      <c r="B59" s="14">
        <f t="shared" si="5"/>
        <v>27</v>
      </c>
      <c r="C59" s="203" t="s">
        <v>79</v>
      </c>
      <c r="D59" s="204">
        <v>2</v>
      </c>
      <c r="E59" s="15">
        <f>SUM(D$33:D59)/SUM($D$33:$D$64)</f>
        <v>0.99268292682926829</v>
      </c>
      <c r="F59" s="40">
        <f t="shared" si="9"/>
        <v>2.4390243902439046E-3</v>
      </c>
      <c r="G59" s="183">
        <v>2.16</v>
      </c>
      <c r="H59" s="16" t="str">
        <f t="shared" ca="1" si="15"/>
        <v/>
      </c>
      <c r="I59" s="17">
        <f t="shared" ca="1" si="16"/>
        <v>2</v>
      </c>
      <c r="J59" s="18">
        <f t="shared" si="8"/>
        <v>0.8</v>
      </c>
      <c r="K59" s="95"/>
      <c r="O59" s="108"/>
      <c r="P59" s="36">
        <f>RANK(R59,$Q$54:$R$93,0)+COUNTIF($Q59:R$93,R59)-1</f>
        <v>37</v>
      </c>
      <c r="Q59" s="111" t="str">
        <f t="shared" si="13"/>
        <v>Auxiliary Systems (Potable Water)</v>
      </c>
      <c r="R59" s="112">
        <f t="shared" si="14"/>
        <v>0</v>
      </c>
      <c r="S59" s="165">
        <f t="shared" si="14"/>
        <v>0</v>
      </c>
      <c r="AA59" s="86" t="s">
        <v>131</v>
      </c>
      <c r="AB59" s="87">
        <f t="shared" si="17"/>
        <v>9</v>
      </c>
      <c r="AC59" s="161">
        <f t="shared" si="17"/>
        <v>4.54</v>
      </c>
    </row>
    <row r="60" spans="2:29" x14ac:dyDescent="0.2">
      <c r="B60" s="14">
        <f t="shared" si="5"/>
        <v>28</v>
      </c>
      <c r="C60" s="203" t="s">
        <v>69</v>
      </c>
      <c r="D60" s="204">
        <v>2</v>
      </c>
      <c r="E60" s="15">
        <f>SUM(D$33:D60)/SUM($D$33:$D$64)</f>
        <v>0.99512195121951219</v>
      </c>
      <c r="F60" s="40">
        <f t="shared" si="9"/>
        <v>2.4390243902439046E-3</v>
      </c>
      <c r="G60" s="183">
        <v>7.59</v>
      </c>
      <c r="H60" s="16" t="str">
        <f t="shared" ca="1" si="15"/>
        <v/>
      </c>
      <c r="I60" s="17">
        <f t="shared" ca="1" si="16"/>
        <v>2</v>
      </c>
      <c r="J60" s="18">
        <f t="shared" si="8"/>
        <v>0.8</v>
      </c>
      <c r="K60" s="95"/>
      <c r="O60" s="108"/>
      <c r="P60" s="61">
        <f>RANK(R60,$Q$54:$R$93,0)+COUNTIF($Q60:R$93,R60)-1</f>
        <v>36</v>
      </c>
      <c r="Q60" s="189" t="str">
        <f t="shared" si="13"/>
        <v>Auxiliary Systems (Sanitary System)</v>
      </c>
      <c r="R60" s="190">
        <f t="shared" si="14"/>
        <v>0</v>
      </c>
      <c r="S60" s="191">
        <f t="shared" si="14"/>
        <v>0</v>
      </c>
      <c r="AA60" s="86" t="s">
        <v>132</v>
      </c>
      <c r="AB60" s="87">
        <f t="shared" si="17"/>
        <v>42</v>
      </c>
      <c r="AC60" s="161">
        <f t="shared" si="17"/>
        <v>34.169999999999995</v>
      </c>
    </row>
    <row r="61" spans="2:29" x14ac:dyDescent="0.2">
      <c r="B61" s="14">
        <f t="shared" si="5"/>
        <v>29</v>
      </c>
      <c r="C61" s="203" t="s">
        <v>186</v>
      </c>
      <c r="D61" s="204">
        <v>1</v>
      </c>
      <c r="E61" s="15">
        <f>SUM(D$33:D61)/SUM($D$33:$D$64)</f>
        <v>0.99634146341463414</v>
      </c>
      <c r="F61" s="40">
        <f t="shared" si="9"/>
        <v>1.2195121951219523E-3</v>
      </c>
      <c r="G61" s="183">
        <v>14.26</v>
      </c>
      <c r="H61" s="16" t="str">
        <f t="shared" ca="1" si="15"/>
        <v/>
      </c>
      <c r="I61" s="17">
        <f t="shared" ca="1" si="16"/>
        <v>1</v>
      </c>
      <c r="J61" s="18">
        <f t="shared" si="8"/>
        <v>0.8</v>
      </c>
      <c r="K61" s="95"/>
      <c r="O61" s="108"/>
      <c r="P61" s="61">
        <f>RANK(R61,$Q$54:$R$93,0)+COUNTIF($Q61:R$93,R61)-1</f>
        <v>1</v>
      </c>
      <c r="Q61" s="189" t="str">
        <f t="shared" si="13"/>
        <v>Buckets (Weld / Repair Bucket)</v>
      </c>
      <c r="R61" s="190">
        <f t="shared" si="14"/>
        <v>213</v>
      </c>
      <c r="S61" s="191">
        <f t="shared" si="14"/>
        <v>247.21944444445427</v>
      </c>
    </row>
    <row r="62" spans="2:29" x14ac:dyDescent="0.2">
      <c r="B62" s="14">
        <f t="shared" si="5"/>
        <v>30</v>
      </c>
      <c r="C62" s="203" t="s">
        <v>84</v>
      </c>
      <c r="D62" s="204">
        <v>1</v>
      </c>
      <c r="E62" s="15">
        <f>SUM(D$33:D62)/SUM($D$33:$D$64)</f>
        <v>0.9975609756097561</v>
      </c>
      <c r="F62" s="40">
        <f t="shared" si="9"/>
        <v>1.2195121951219523E-3</v>
      </c>
      <c r="G62" s="183">
        <v>1.39</v>
      </c>
      <c r="H62" s="16" t="str">
        <f t="shared" ca="1" si="15"/>
        <v/>
      </c>
      <c r="I62" s="17">
        <f t="shared" ca="1" si="16"/>
        <v>1</v>
      </c>
      <c r="J62" s="18">
        <f t="shared" si="8"/>
        <v>0.8</v>
      </c>
      <c r="K62" s="95"/>
      <c r="O62" s="108"/>
      <c r="P62" s="36">
        <f>RANK(R62,$Q$54:$R$93,0)+COUNTIF($Q62:R$93,R62)-1</f>
        <v>32</v>
      </c>
      <c r="Q62" s="111" t="str">
        <f t="shared" si="13"/>
        <v>Crane Boom (Boom / Gantry Sheaves)</v>
      </c>
      <c r="R62" s="112">
        <f t="shared" si="14"/>
        <v>1</v>
      </c>
      <c r="S62" s="165">
        <f t="shared" si="14"/>
        <v>1.28</v>
      </c>
    </row>
    <row r="63" spans="2:29" x14ac:dyDescent="0.2">
      <c r="B63" s="14">
        <f t="shared" si="5"/>
        <v>31</v>
      </c>
      <c r="C63" s="203" t="s">
        <v>185</v>
      </c>
      <c r="D63" s="204">
        <v>1</v>
      </c>
      <c r="E63" s="15">
        <f>SUM(D$33:D63)/SUM($D$33:$D$64)</f>
        <v>0.99878048780487805</v>
      </c>
      <c r="F63" s="40">
        <f t="shared" si="9"/>
        <v>1.2195121951219523E-3</v>
      </c>
      <c r="G63" s="183">
        <v>20.149999999999999</v>
      </c>
      <c r="H63" s="16" t="str">
        <f t="shared" ca="1" si="15"/>
        <v/>
      </c>
      <c r="I63" s="17">
        <f t="shared" ca="1" si="16"/>
        <v>1</v>
      </c>
      <c r="J63" s="18">
        <f t="shared" si="8"/>
        <v>0.8</v>
      </c>
      <c r="K63" s="95"/>
      <c r="O63" s="108"/>
      <c r="P63" s="36">
        <f>RANK(R63,$Q$54:$R$93,0)+COUNTIF($Q63:R$93,R63)-1</f>
        <v>25</v>
      </c>
      <c r="Q63" s="111" t="str">
        <f t="shared" si="13"/>
        <v>Crane Boom (Boom / Gantry Structure)</v>
      </c>
      <c r="R63" s="112">
        <f t="shared" si="14"/>
        <v>3</v>
      </c>
      <c r="S63" s="165">
        <f t="shared" si="14"/>
        <v>10.72</v>
      </c>
      <c r="AA63" s="86" t="s">
        <v>97</v>
      </c>
      <c r="AB63" s="87">
        <f>X41</f>
        <v>117</v>
      </c>
      <c r="AC63" s="161">
        <f>Y41</f>
        <v>193.46305555508937</v>
      </c>
    </row>
    <row r="64" spans="2:29" x14ac:dyDescent="0.2">
      <c r="B64" s="14">
        <f t="shared" si="5"/>
        <v>32</v>
      </c>
      <c r="C64" s="203" t="s">
        <v>74</v>
      </c>
      <c r="D64" s="204">
        <v>1</v>
      </c>
      <c r="E64" s="15">
        <f>SUM(D$33:D64)/SUM($D$33:$D$64)</f>
        <v>1</v>
      </c>
      <c r="F64" s="40">
        <f t="shared" si="9"/>
        <v>1.2195121951219523E-3</v>
      </c>
      <c r="G64" s="183">
        <v>1.28</v>
      </c>
      <c r="H64" s="16" t="str">
        <f t="shared" ca="1" si="15"/>
        <v/>
      </c>
      <c r="I64" s="17">
        <f t="shared" ca="1" si="16"/>
        <v>1</v>
      </c>
      <c r="J64" s="18">
        <f t="shared" si="8"/>
        <v>0.8</v>
      </c>
      <c r="K64" s="95"/>
      <c r="O64" s="108"/>
      <c r="P64" s="36">
        <f>RANK(R64,$Q$54:$R$93,0)+COUNTIF($Q64:R$93,R64)-1</f>
        <v>16</v>
      </c>
      <c r="Q64" s="111" t="str">
        <f t="shared" si="13"/>
        <v>Crane Boom (Boom Winch)</v>
      </c>
      <c r="R64" s="112">
        <f t="shared" si="14"/>
        <v>12</v>
      </c>
      <c r="S64" s="165">
        <f t="shared" si="14"/>
        <v>32.130000000000003</v>
      </c>
      <c r="AA64" s="86" t="s">
        <v>98</v>
      </c>
      <c r="AB64" s="87">
        <f>X42</f>
        <v>16</v>
      </c>
      <c r="AC64" s="161">
        <f>Y42</f>
        <v>39.804444444391407</v>
      </c>
    </row>
    <row r="65" spans="2:19" x14ac:dyDescent="0.2">
      <c r="B65" s="19" t="s">
        <v>12</v>
      </c>
      <c r="C65" s="1"/>
      <c r="D65" s="1"/>
      <c r="E65" s="1"/>
      <c r="F65" s="1"/>
      <c r="G65" s="1"/>
      <c r="H65" s="1"/>
      <c r="I65" s="1"/>
      <c r="J65" s="1"/>
      <c r="K65" s="95"/>
      <c r="O65" s="108"/>
      <c r="P65" s="36">
        <f>RANK(R65,$Q$54:$R$93,0)+COUNTIF($Q65:R$93,R65)-1</f>
        <v>19</v>
      </c>
      <c r="Q65" s="111" t="str">
        <f t="shared" si="13"/>
        <v>Crane Boom (Boom Wires)</v>
      </c>
      <c r="R65" s="112">
        <f t="shared" si="14"/>
        <v>10</v>
      </c>
      <c r="S65" s="165">
        <f t="shared" si="14"/>
        <v>31.34</v>
      </c>
    </row>
    <row r="66" spans="2:19" x14ac:dyDescent="0.2">
      <c r="K66" s="95"/>
      <c r="O66" s="108"/>
      <c r="P66" s="61">
        <f>RANK(R66,$Q$54:$R$93,0)+COUNTIF($Q66:R$93,R66)-1</f>
        <v>35</v>
      </c>
      <c r="Q66" s="189" t="str">
        <f t="shared" si="13"/>
        <v>Crane Boom (Penant Wire)</v>
      </c>
      <c r="R66" s="190">
        <f t="shared" si="14"/>
        <v>0</v>
      </c>
      <c r="S66" s="191">
        <f t="shared" si="14"/>
        <v>0</v>
      </c>
    </row>
    <row r="67" spans="2:19" x14ac:dyDescent="0.2">
      <c r="K67" s="95"/>
      <c r="O67" s="108"/>
      <c r="P67" s="36">
        <f>RANK(R67,$Q$54:$R$93,0)+COUNTIF($Q67:R$93,R67)-1</f>
        <v>14</v>
      </c>
      <c r="Q67" s="111" t="str">
        <f t="shared" si="13"/>
        <v>Crane Swing (Drive (motor, gear box, etc.))</v>
      </c>
      <c r="R67" s="112">
        <f t="shared" si="14"/>
        <v>15</v>
      </c>
      <c r="S67" s="165">
        <f t="shared" si="14"/>
        <v>10.55</v>
      </c>
    </row>
    <row r="68" spans="2:19" x14ac:dyDescent="0.2">
      <c r="K68" s="95"/>
      <c r="O68" s="108"/>
      <c r="P68" s="61">
        <f>RANK(R68,$Q$54:$R$93,0)+COUNTIF($Q68:R$93,R68)-1</f>
        <v>24</v>
      </c>
      <c r="Q68" s="189" t="str">
        <f t="shared" si="13"/>
        <v>Crane Swing (Swing Circle (rollers, etc.))</v>
      </c>
      <c r="R68" s="190">
        <f t="shared" si="14"/>
        <v>4</v>
      </c>
      <c r="S68" s="191">
        <f t="shared" si="14"/>
        <v>1.1800000000000002</v>
      </c>
    </row>
    <row r="69" spans="2:19" x14ac:dyDescent="0.2">
      <c r="K69" s="95"/>
      <c r="O69" s="108"/>
      <c r="P69" s="36">
        <f>RANK(R69,$Q$54:$R$93,0)+COUNTIF($Q69:R$93,R69)-1</f>
        <v>27</v>
      </c>
      <c r="Q69" s="111" t="str">
        <f t="shared" si="13"/>
        <v>Deck Winch (Fairleads)</v>
      </c>
      <c r="R69" s="112">
        <f t="shared" si="14"/>
        <v>2</v>
      </c>
      <c r="S69" s="165">
        <f t="shared" si="14"/>
        <v>2.16</v>
      </c>
    </row>
    <row r="70" spans="2:19" x14ac:dyDescent="0.2">
      <c r="B70" s="114" t="s">
        <v>3</v>
      </c>
      <c r="C70" s="115" t="s">
        <v>136</v>
      </c>
      <c r="D70" s="115"/>
      <c r="E70" s="116" t="s">
        <v>137</v>
      </c>
      <c r="K70" s="95"/>
      <c r="O70" s="108"/>
      <c r="P70" s="61">
        <f>RANK(R70,$Q$54:$R$93,0)+COUNTIF($Q70:R$93,R70)-1</f>
        <v>13</v>
      </c>
      <c r="Q70" s="189" t="str">
        <f t="shared" si="13"/>
        <v>Deck Winch (Winch)</v>
      </c>
      <c r="R70" s="190">
        <f t="shared" si="14"/>
        <v>15</v>
      </c>
      <c r="S70" s="191">
        <f t="shared" si="14"/>
        <v>9.1399999999254931</v>
      </c>
    </row>
    <row r="71" spans="2:19" x14ac:dyDescent="0.2">
      <c r="B71" s="32"/>
      <c r="C71" s="32"/>
      <c r="D71" s="32"/>
      <c r="E71" s="32"/>
      <c r="K71" s="95"/>
      <c r="O71" s="108"/>
      <c r="P71" s="36">
        <f>RANK(R71,$Q$54:$R$93,0)+COUNTIF($Q71:R$93,R71)-1</f>
        <v>10</v>
      </c>
      <c r="Q71" s="111" t="str">
        <f t="shared" si="13"/>
        <v>Electrical/Electronics (MCC / Switch Gear)</v>
      </c>
      <c r="R71" s="112">
        <f t="shared" ref="R71:S86" si="18">X20</f>
        <v>20</v>
      </c>
      <c r="S71" s="165">
        <f t="shared" si="18"/>
        <v>24.79</v>
      </c>
    </row>
    <row r="72" spans="2:19" x14ac:dyDescent="0.2">
      <c r="B72" s="114">
        <v>1</v>
      </c>
      <c r="C72" s="32" t="str">
        <f>VLOOKUP(B72,$P$4:$S$93,2,0)</f>
        <v>Buckets (Weld / Repair Bucket)</v>
      </c>
      <c r="D72" s="114">
        <f>VLOOKUP(B72,$P$4:$S$93,3,0)</f>
        <v>213</v>
      </c>
      <c r="E72" s="166">
        <f>VLOOKUP(B72,$P$4:$S$93,4,0)</f>
        <v>247.21944444445427</v>
      </c>
      <c r="K72" s="95"/>
      <c r="O72" s="108"/>
      <c r="P72" s="36">
        <f>RANK(R72,$Q$54:$R$93,0)+COUNTIF($Q72:R$93,R72)-1</f>
        <v>34</v>
      </c>
      <c r="Q72" s="111" t="str">
        <f t="shared" si="13"/>
        <v>Electrical/Electronics (Navigation Lights)</v>
      </c>
      <c r="R72" s="112">
        <f t="shared" si="18"/>
        <v>0</v>
      </c>
      <c r="S72" s="165">
        <f t="shared" si="18"/>
        <v>0</v>
      </c>
    </row>
    <row r="73" spans="2:19" x14ac:dyDescent="0.2">
      <c r="B73" s="114">
        <v>2</v>
      </c>
      <c r="C73" s="32" t="str">
        <f t="shared" ref="C73:C111" si="19">VLOOKUP(B73,$P$4:$S$93,2,0)</f>
        <v>Tugs and Scows (Scow Repair)</v>
      </c>
      <c r="D73" s="114">
        <f t="shared" ref="D73:D111" si="20">VLOOKUP(B73,$P$4:$S$93,3,0)</f>
        <v>117</v>
      </c>
      <c r="E73" s="166">
        <f t="shared" ref="E73:E111" si="21">VLOOKUP(B73,$P$4:$S$93,4,0)</f>
        <v>193.46305555508937</v>
      </c>
      <c r="K73" s="1"/>
      <c r="O73" s="108"/>
      <c r="P73" s="36">
        <f>RANK(R73,$Q$54:$R$93,0)+COUNTIF($Q73:R$93,R73)-1</f>
        <v>8</v>
      </c>
      <c r="Q73" s="111" t="str">
        <f t="shared" si="13"/>
        <v>Electrical/Electronics (PLC)</v>
      </c>
      <c r="R73" s="112">
        <f t="shared" si="18"/>
        <v>27</v>
      </c>
      <c r="S73" s="165">
        <f t="shared" si="18"/>
        <v>81.909166666690723</v>
      </c>
    </row>
    <row r="74" spans="2:19" x14ac:dyDescent="0.2">
      <c r="B74" s="114">
        <v>3</v>
      </c>
      <c r="C74" s="32" t="str">
        <f t="shared" si="19"/>
        <v>Main Hoist (Closer Wire)</v>
      </c>
      <c r="D74" s="114">
        <f t="shared" si="20"/>
        <v>77</v>
      </c>
      <c r="E74" s="166">
        <f t="shared" si="21"/>
        <v>157.54416666674894</v>
      </c>
      <c r="O74" s="108"/>
      <c r="P74" s="61">
        <f>RANK(R74,$Q$54:$R$93,0)+COUNTIF($Q74:R$93,R74)-1</f>
        <v>31</v>
      </c>
      <c r="Q74" s="189" t="str">
        <f t="shared" si="13"/>
        <v>Electrical/Electronics (Transformers)</v>
      </c>
      <c r="R74" s="190">
        <f t="shared" si="18"/>
        <v>1</v>
      </c>
      <c r="S74" s="191">
        <f t="shared" si="18"/>
        <v>20.149999999999999</v>
      </c>
    </row>
    <row r="75" spans="2:19" x14ac:dyDescent="0.2">
      <c r="B75" s="114">
        <v>4</v>
      </c>
      <c r="C75" s="32" t="str">
        <f t="shared" si="19"/>
        <v>Main Hoist (Holder)</v>
      </c>
      <c r="D75" s="114">
        <f t="shared" si="20"/>
        <v>48</v>
      </c>
      <c r="E75" s="166">
        <f t="shared" si="21"/>
        <v>283.88305555563187</v>
      </c>
      <c r="O75" s="108"/>
      <c r="P75" s="36">
        <f>RANK(R75,$Q$54:$R$93,0)+COUNTIF($Q75:R$93,R75)-1</f>
        <v>33</v>
      </c>
      <c r="Q75" s="111" t="str">
        <f t="shared" si="13"/>
        <v>Hull (Deck Fittings (cleats, timbers, etc.))</v>
      </c>
      <c r="R75" s="112">
        <f t="shared" si="18"/>
        <v>0</v>
      </c>
      <c r="S75" s="165">
        <f t="shared" si="18"/>
        <v>0</v>
      </c>
    </row>
    <row r="76" spans="2:19" x14ac:dyDescent="0.2">
      <c r="B76" s="114">
        <v>5</v>
      </c>
      <c r="C76" s="32" t="str">
        <f t="shared" si="19"/>
        <v>Main Hoist (Holder Wire)</v>
      </c>
      <c r="D76" s="114">
        <f t="shared" si="20"/>
        <v>45</v>
      </c>
      <c r="E76" s="166">
        <f t="shared" si="21"/>
        <v>102.40527777779847</v>
      </c>
      <c r="O76" s="108"/>
      <c r="P76" s="61">
        <f>RANK(R76,$Q$54:$R$93,0)+COUNTIF($Q76:R$93,R76)-1</f>
        <v>30</v>
      </c>
      <c r="Q76" s="189" t="str">
        <f t="shared" si="13"/>
        <v>Hull (Hull / House Repair)</v>
      </c>
      <c r="R76" s="190">
        <f t="shared" si="18"/>
        <v>1</v>
      </c>
      <c r="S76" s="191">
        <f t="shared" si="18"/>
        <v>1.39</v>
      </c>
    </row>
    <row r="77" spans="2:19" x14ac:dyDescent="0.2">
      <c r="B77" s="114">
        <v>6</v>
      </c>
      <c r="C77" s="32" t="str">
        <f t="shared" si="19"/>
        <v>Tagline (Tagline Wire)</v>
      </c>
      <c r="D77" s="114">
        <f t="shared" si="20"/>
        <v>42</v>
      </c>
      <c r="E77" s="166">
        <f t="shared" si="21"/>
        <v>34.169999999999995</v>
      </c>
      <c r="O77" s="108"/>
      <c r="P77" s="36">
        <f>RANK(R77,$Q$54:$R$93,0)+COUNTIF($Q77:R$93,R77)-1</f>
        <v>29</v>
      </c>
      <c r="Q77" s="111" t="str">
        <f t="shared" si="13"/>
        <v>Main / Aux. Generators (Auxiliary Generator)</v>
      </c>
      <c r="R77" s="112">
        <f t="shared" si="18"/>
        <v>1</v>
      </c>
      <c r="S77" s="165">
        <f t="shared" si="18"/>
        <v>14.26</v>
      </c>
    </row>
    <row r="78" spans="2:19" x14ac:dyDescent="0.2">
      <c r="B78" s="114">
        <v>7</v>
      </c>
      <c r="C78" s="32" t="str">
        <f t="shared" si="19"/>
        <v>Spud System (Spud Winch)</v>
      </c>
      <c r="D78" s="114">
        <f t="shared" si="20"/>
        <v>41</v>
      </c>
      <c r="E78" s="166">
        <f t="shared" si="21"/>
        <v>32.822500000146682</v>
      </c>
      <c r="O78" s="108"/>
      <c r="P78" s="36">
        <f>RANK(R78,$Q$54:$R$93,0)+COUNTIF($Q78:R$93,R78)-1</f>
        <v>17</v>
      </c>
      <c r="Q78" s="111" t="str">
        <f t="shared" si="13"/>
        <v>Main / Aux. Generators (Main Generator)</v>
      </c>
      <c r="R78" s="112">
        <f t="shared" si="18"/>
        <v>11</v>
      </c>
      <c r="S78" s="165">
        <f t="shared" si="18"/>
        <v>72.570000000000007</v>
      </c>
    </row>
    <row r="79" spans="2:19" x14ac:dyDescent="0.2">
      <c r="B79" s="114">
        <v>8</v>
      </c>
      <c r="C79" s="32" t="str">
        <f t="shared" si="19"/>
        <v>Electrical/Electronics (PLC)</v>
      </c>
      <c r="D79" s="114">
        <f t="shared" si="20"/>
        <v>27</v>
      </c>
      <c r="E79" s="166">
        <f t="shared" si="21"/>
        <v>81.909166666690723</v>
      </c>
      <c r="O79" s="108"/>
      <c r="P79" s="61">
        <f>RANK(R79,$Q$54:$R$93,0)+COUNTIF($Q79:R$93,R79)-1</f>
        <v>11</v>
      </c>
      <c r="Q79" s="189" t="str">
        <f t="shared" si="13"/>
        <v>Main / Aux. Generators (Main Generator Engine)</v>
      </c>
      <c r="R79" s="190">
        <f t="shared" si="18"/>
        <v>18</v>
      </c>
      <c r="S79" s="191">
        <f t="shared" si="18"/>
        <v>78.281666666604565</v>
      </c>
    </row>
    <row r="80" spans="2:19" x14ac:dyDescent="0.2">
      <c r="B80" s="114">
        <v>9</v>
      </c>
      <c r="C80" s="32" t="str">
        <f t="shared" si="19"/>
        <v>Spud System (Walking Mechanisms (Carriage / Travel))</v>
      </c>
      <c r="D80" s="114">
        <f t="shared" si="20"/>
        <v>21</v>
      </c>
      <c r="E80" s="166">
        <f t="shared" si="21"/>
        <v>22.131388888936492</v>
      </c>
      <c r="O80" s="108"/>
      <c r="P80" s="36">
        <f>RANK(R80,$Q$54:$R$93,0)+COUNTIF($Q80:R$93,R80)-1</f>
        <v>18</v>
      </c>
      <c r="Q80" s="111" t="str">
        <f t="shared" si="13"/>
        <v>Main Hoist (Closer)</v>
      </c>
      <c r="R80" s="112">
        <f t="shared" si="18"/>
        <v>10</v>
      </c>
      <c r="S80" s="165">
        <f t="shared" si="18"/>
        <v>27.48</v>
      </c>
    </row>
    <row r="81" spans="2:19" x14ac:dyDescent="0.2">
      <c r="B81" s="114">
        <v>10</v>
      </c>
      <c r="C81" s="32" t="str">
        <f t="shared" si="19"/>
        <v>Electrical/Electronics (MCC / Switch Gear)</v>
      </c>
      <c r="D81" s="114">
        <f t="shared" si="20"/>
        <v>20</v>
      </c>
      <c r="E81" s="166">
        <f t="shared" si="21"/>
        <v>24.79</v>
      </c>
      <c r="O81" s="108"/>
      <c r="P81" s="36">
        <f>RANK(R81,$Q$54:$R$93,0)+COUNTIF($Q81:R$93,R81)-1</f>
        <v>3</v>
      </c>
      <c r="Q81" s="111" t="str">
        <f t="shared" si="13"/>
        <v>Main Hoist (Closer Wire)</v>
      </c>
      <c r="R81" s="112">
        <f t="shared" si="18"/>
        <v>77</v>
      </c>
      <c r="S81" s="165">
        <f t="shared" si="18"/>
        <v>157.54416666674894</v>
      </c>
    </row>
    <row r="82" spans="2:19" x14ac:dyDescent="0.2">
      <c r="B82" s="114">
        <v>11</v>
      </c>
      <c r="C82" s="32" t="str">
        <f t="shared" si="19"/>
        <v>Main / Aux. Generators (Main Generator Engine)</v>
      </c>
      <c r="D82" s="114">
        <f t="shared" si="20"/>
        <v>18</v>
      </c>
      <c r="E82" s="166">
        <f t="shared" si="21"/>
        <v>78.281666666604565</v>
      </c>
      <c r="O82" s="108"/>
      <c r="P82" s="58">
        <f>RANK(R82,$Q$54:$R$93,0)+COUNTIF($Q82:R$93,R82)-1</f>
        <v>4</v>
      </c>
      <c r="Q82" s="192" t="str">
        <f t="shared" si="13"/>
        <v>Main Hoist (Holder)</v>
      </c>
      <c r="R82" s="193">
        <f t="shared" si="18"/>
        <v>48</v>
      </c>
      <c r="S82" s="194">
        <f t="shared" si="18"/>
        <v>283.88305555563187</v>
      </c>
    </row>
    <row r="83" spans="2:19" x14ac:dyDescent="0.2">
      <c r="B83" s="114">
        <v>12</v>
      </c>
      <c r="C83" s="32" t="str">
        <f t="shared" si="19"/>
        <v>Tugs and Scows (Tug Repair)</v>
      </c>
      <c r="D83" s="114">
        <f t="shared" si="20"/>
        <v>16</v>
      </c>
      <c r="E83" s="166">
        <f t="shared" si="21"/>
        <v>39.804444444391407</v>
      </c>
      <c r="O83" s="108"/>
      <c r="P83" s="61">
        <f>RANK(R83,$Q$54:$R$93,0)+COUNTIF($Q83:R$93,R83)-1</f>
        <v>5</v>
      </c>
      <c r="Q83" s="189" t="str">
        <f t="shared" si="13"/>
        <v>Main Hoist (Holder Wire)</v>
      </c>
      <c r="R83" s="190">
        <f t="shared" si="18"/>
        <v>45</v>
      </c>
      <c r="S83" s="191">
        <f t="shared" si="18"/>
        <v>102.40527777779847</v>
      </c>
    </row>
    <row r="84" spans="2:19" x14ac:dyDescent="0.2">
      <c r="B84" s="114">
        <v>13</v>
      </c>
      <c r="C84" s="32" t="str">
        <f t="shared" si="19"/>
        <v>Deck Winch (Winch)</v>
      </c>
      <c r="D84" s="114">
        <f t="shared" si="20"/>
        <v>15</v>
      </c>
      <c r="E84" s="166">
        <f t="shared" si="21"/>
        <v>9.1399999999254931</v>
      </c>
      <c r="O84" s="108"/>
      <c r="P84" s="36">
        <f>RANK(R84,$Q$54:$R$93,0)+COUNTIF($Q84:R$93,R84)-1</f>
        <v>22</v>
      </c>
      <c r="Q84" s="111" t="str">
        <f t="shared" si="13"/>
        <v>Spud System (Spud Sheaves)</v>
      </c>
      <c r="R84" s="112">
        <f t="shared" si="18"/>
        <v>8</v>
      </c>
      <c r="S84" s="165">
        <f t="shared" si="18"/>
        <v>6.7299999999999995</v>
      </c>
    </row>
    <row r="85" spans="2:19" x14ac:dyDescent="0.2">
      <c r="B85" s="114">
        <v>14</v>
      </c>
      <c r="C85" s="32" t="str">
        <f t="shared" si="19"/>
        <v>Crane Swing (Drive (motor, gear box, etc.))</v>
      </c>
      <c r="D85" s="114">
        <f t="shared" si="20"/>
        <v>15</v>
      </c>
      <c r="E85" s="166">
        <f t="shared" si="21"/>
        <v>10.55</v>
      </c>
      <c r="O85" s="108"/>
      <c r="P85" s="36">
        <f>RANK(R85,$Q$54:$R$93,0)+COUNTIF($Q85:R$93,R85)-1</f>
        <v>23</v>
      </c>
      <c r="Q85" s="111" t="str">
        <f t="shared" si="13"/>
        <v>Spud System (Spud Structure)</v>
      </c>
      <c r="R85" s="112">
        <f t="shared" si="18"/>
        <v>6</v>
      </c>
      <c r="S85" s="165">
        <f t="shared" si="18"/>
        <v>209.03000000000003</v>
      </c>
    </row>
    <row r="86" spans="2:19" x14ac:dyDescent="0.2">
      <c r="B86" s="114">
        <v>15</v>
      </c>
      <c r="C86" s="32" t="str">
        <f t="shared" si="19"/>
        <v>Spud System (Spud Wires)</v>
      </c>
      <c r="D86" s="114">
        <f t="shared" si="20"/>
        <v>13</v>
      </c>
      <c r="E86" s="166">
        <f t="shared" si="21"/>
        <v>29.09</v>
      </c>
      <c r="O86" s="108"/>
      <c r="P86" s="36">
        <f>RANK(R86,$Q$54:$R$93,0)+COUNTIF($Q86:R$93,R86)-1</f>
        <v>7</v>
      </c>
      <c r="Q86" s="111" t="str">
        <f t="shared" si="13"/>
        <v>Spud System (Spud Winch)</v>
      </c>
      <c r="R86" s="112">
        <f t="shared" si="18"/>
        <v>41</v>
      </c>
      <c r="S86" s="165">
        <f t="shared" si="18"/>
        <v>32.822500000146682</v>
      </c>
    </row>
    <row r="87" spans="2:19" x14ac:dyDescent="0.2">
      <c r="B87" s="114">
        <v>16</v>
      </c>
      <c r="C87" s="32" t="str">
        <f t="shared" si="19"/>
        <v>Crane Boom (Boom Winch)</v>
      </c>
      <c r="D87" s="114">
        <f t="shared" si="20"/>
        <v>12</v>
      </c>
      <c r="E87" s="166">
        <f t="shared" si="21"/>
        <v>32.130000000000003</v>
      </c>
      <c r="O87" s="108"/>
      <c r="P87" s="36">
        <f>RANK(R87,$Q$54:$R$93,0)+COUNTIF($Q87:R$93,R87)-1</f>
        <v>15</v>
      </c>
      <c r="Q87" s="111" t="str">
        <f t="shared" si="13"/>
        <v>Spud System (Spud Wires)</v>
      </c>
      <c r="R87" s="112">
        <f t="shared" ref="R87:S93" si="22">X36</f>
        <v>13</v>
      </c>
      <c r="S87" s="165">
        <f t="shared" si="22"/>
        <v>29.09</v>
      </c>
    </row>
    <row r="88" spans="2:19" x14ac:dyDescent="0.2">
      <c r="B88" s="114">
        <v>17</v>
      </c>
      <c r="C88" s="32" t="str">
        <f t="shared" si="19"/>
        <v>Main / Aux. Generators (Main Generator)</v>
      </c>
      <c r="D88" s="114">
        <f t="shared" si="20"/>
        <v>11</v>
      </c>
      <c r="E88" s="166">
        <f t="shared" si="21"/>
        <v>72.570000000000007</v>
      </c>
      <c r="O88" s="108"/>
      <c r="P88" s="61">
        <f>RANK(R88,$Q$54:$R$93,0)+COUNTIF($Q88:R$93,R88)-1</f>
        <v>9</v>
      </c>
      <c r="Q88" s="189" t="str">
        <f t="shared" si="13"/>
        <v>Spud System (Walking Mechanisms (Carriage / Travel))</v>
      </c>
      <c r="R88" s="190">
        <f t="shared" si="22"/>
        <v>21</v>
      </c>
      <c r="S88" s="191">
        <f t="shared" si="22"/>
        <v>22.131388888936492</v>
      </c>
    </row>
    <row r="89" spans="2:19" x14ac:dyDescent="0.2">
      <c r="B89" s="114">
        <v>18</v>
      </c>
      <c r="C89" s="32" t="str">
        <f t="shared" si="19"/>
        <v>Main Hoist (Closer)</v>
      </c>
      <c r="D89" s="114">
        <f t="shared" si="20"/>
        <v>10</v>
      </c>
      <c r="E89" s="166">
        <f t="shared" si="21"/>
        <v>27.48</v>
      </c>
      <c r="O89" s="108"/>
      <c r="P89" s="36">
        <f>RANK(R89,$Q$54:$R$93,0)+COUNTIF($Q89:R$93,R89)-1</f>
        <v>26</v>
      </c>
      <c r="Q89" s="111" t="str">
        <f t="shared" si="13"/>
        <v>Tagline (Tagline Sheaves)</v>
      </c>
      <c r="R89" s="112">
        <f t="shared" si="22"/>
        <v>2</v>
      </c>
      <c r="S89" s="165">
        <f t="shared" si="22"/>
        <v>0.76</v>
      </c>
    </row>
    <row r="90" spans="2:19" x14ac:dyDescent="0.2">
      <c r="B90" s="114">
        <v>19</v>
      </c>
      <c r="C90" s="32" t="str">
        <f t="shared" si="19"/>
        <v>Crane Boom (Boom Wires)</v>
      </c>
      <c r="D90" s="114">
        <f t="shared" si="20"/>
        <v>10</v>
      </c>
      <c r="E90" s="166">
        <f t="shared" si="21"/>
        <v>31.34</v>
      </c>
      <c r="O90" s="108"/>
      <c r="P90" s="36">
        <f>RANK(R90,$Q$54:$R$93,0)+COUNTIF($Q90:R$93,R90)-1</f>
        <v>20</v>
      </c>
      <c r="Q90" s="111" t="str">
        <f t="shared" si="13"/>
        <v>Tagline (Tagline Winch (motor, gearbox, etc.))</v>
      </c>
      <c r="R90" s="112">
        <f t="shared" si="22"/>
        <v>9</v>
      </c>
      <c r="S90" s="165">
        <f t="shared" si="22"/>
        <v>4.54</v>
      </c>
    </row>
    <row r="91" spans="2:19" x14ac:dyDescent="0.2">
      <c r="B91" s="114">
        <v>20</v>
      </c>
      <c r="C91" s="32" t="str">
        <f t="shared" si="19"/>
        <v>Tagline (Tagline Winch (motor, gearbox, etc.))</v>
      </c>
      <c r="D91" s="114">
        <f t="shared" si="20"/>
        <v>9</v>
      </c>
      <c r="E91" s="166">
        <f t="shared" si="21"/>
        <v>4.54</v>
      </c>
      <c r="O91" s="108"/>
      <c r="P91" s="61">
        <f>RANK(R91,$Q$54:$R$93,0)+COUNTIF($Q91:R$93,R91)-1</f>
        <v>6</v>
      </c>
      <c r="Q91" s="189" t="str">
        <f t="shared" si="13"/>
        <v>Tagline (Tagline Wire)</v>
      </c>
      <c r="R91" s="190">
        <f t="shared" si="22"/>
        <v>42</v>
      </c>
      <c r="S91" s="191">
        <f t="shared" si="22"/>
        <v>34.169999999999995</v>
      </c>
    </row>
    <row r="92" spans="2:19" x14ac:dyDescent="0.2">
      <c r="B92" s="114">
        <v>21</v>
      </c>
      <c r="C92" s="32" t="str">
        <f t="shared" si="19"/>
        <v>Auxiliary Systems (Compressed Air)</v>
      </c>
      <c r="D92" s="114">
        <f t="shared" si="20"/>
        <v>9</v>
      </c>
      <c r="E92" s="166">
        <f t="shared" si="21"/>
        <v>8.6808333333302272</v>
      </c>
      <c r="O92" s="108"/>
      <c r="P92" s="36">
        <f>RANK(R92,$Q$54:$R$93,0)+COUNTIF($Q92:R$93,R92)-1</f>
        <v>2</v>
      </c>
      <c r="Q92" s="111" t="str">
        <f t="shared" si="13"/>
        <v>Tugs and Scows (Scow Repair)</v>
      </c>
      <c r="R92" s="112">
        <f t="shared" si="22"/>
        <v>117</v>
      </c>
      <c r="S92" s="165">
        <f t="shared" si="22"/>
        <v>193.46305555508937</v>
      </c>
    </row>
    <row r="93" spans="2:19" x14ac:dyDescent="0.2">
      <c r="B93" s="114">
        <v>22</v>
      </c>
      <c r="C93" s="32" t="str">
        <f t="shared" si="19"/>
        <v>Spud System (Spud Sheaves)</v>
      </c>
      <c r="D93" s="114">
        <f t="shared" si="20"/>
        <v>8</v>
      </c>
      <c r="E93" s="166">
        <f t="shared" si="21"/>
        <v>6.7299999999999995</v>
      </c>
      <c r="O93" s="108"/>
      <c r="P93" s="36">
        <f>RANK(R93,$Q$54:$R$93,0)+COUNTIF($Q93:R$93,R93)-1</f>
        <v>12</v>
      </c>
      <c r="Q93" s="111" t="str">
        <f t="shared" si="13"/>
        <v>Tugs and Scows (Tug Repair)</v>
      </c>
      <c r="R93" s="112">
        <f t="shared" si="22"/>
        <v>16</v>
      </c>
      <c r="S93" s="165">
        <f t="shared" si="22"/>
        <v>39.804444444391407</v>
      </c>
    </row>
    <row r="94" spans="2:19" x14ac:dyDescent="0.2">
      <c r="B94" s="114">
        <v>23</v>
      </c>
      <c r="C94" s="32" t="str">
        <f t="shared" si="19"/>
        <v>Spud System (Spud Structure)</v>
      </c>
      <c r="D94" s="114">
        <f t="shared" si="20"/>
        <v>6</v>
      </c>
      <c r="E94" s="166">
        <f t="shared" si="21"/>
        <v>209.03000000000003</v>
      </c>
      <c r="O94" s="108"/>
      <c r="P94" s="36"/>
      <c r="Q94" s="113"/>
      <c r="R94" s="144"/>
      <c r="S94" s="144"/>
    </row>
    <row r="95" spans="2:19" x14ac:dyDescent="0.2">
      <c r="B95" s="114">
        <v>24</v>
      </c>
      <c r="C95" s="32" t="str">
        <f t="shared" si="19"/>
        <v>Crane Swing (Swing Circle (rollers, etc.))</v>
      </c>
      <c r="D95" s="114">
        <f t="shared" si="20"/>
        <v>4</v>
      </c>
      <c r="E95" s="166">
        <f t="shared" si="21"/>
        <v>1.1800000000000002</v>
      </c>
      <c r="O95" s="108"/>
      <c r="P95" s="36"/>
      <c r="Q95" s="113"/>
      <c r="R95" s="144"/>
      <c r="S95" s="144"/>
    </row>
    <row r="96" spans="2:19" x14ac:dyDescent="0.2">
      <c r="B96" s="114">
        <v>25</v>
      </c>
      <c r="C96" s="32" t="str">
        <f t="shared" si="19"/>
        <v>Crane Boom (Boom / Gantry Structure)</v>
      </c>
      <c r="D96" s="114">
        <f t="shared" si="20"/>
        <v>3</v>
      </c>
      <c r="E96" s="166">
        <f t="shared" si="21"/>
        <v>10.72</v>
      </c>
      <c r="O96" s="108"/>
      <c r="P96" s="108"/>
      <c r="Q96" s="113"/>
      <c r="R96" s="144"/>
      <c r="S96" s="144"/>
    </row>
    <row r="97" spans="2:19" x14ac:dyDescent="0.2">
      <c r="B97" s="114">
        <v>26</v>
      </c>
      <c r="C97" s="32" t="str">
        <f t="shared" si="19"/>
        <v>Tagline (Tagline Sheaves)</v>
      </c>
      <c r="D97" s="114">
        <f t="shared" si="20"/>
        <v>2</v>
      </c>
      <c r="E97" s="166">
        <f t="shared" si="21"/>
        <v>0.76</v>
      </c>
      <c r="O97" s="108"/>
      <c r="P97" s="108"/>
      <c r="Q97" s="113"/>
      <c r="R97" s="144"/>
      <c r="S97" s="144"/>
    </row>
    <row r="98" spans="2:19" x14ac:dyDescent="0.2">
      <c r="B98" s="114">
        <v>27</v>
      </c>
      <c r="C98" s="32" t="str">
        <f t="shared" si="19"/>
        <v>Deck Winch (Fairleads)</v>
      </c>
      <c r="D98" s="114">
        <f t="shared" si="20"/>
        <v>2</v>
      </c>
      <c r="E98" s="166">
        <f t="shared" si="21"/>
        <v>2.16</v>
      </c>
      <c r="O98" s="108"/>
      <c r="P98" s="108"/>
      <c r="Q98" s="113"/>
      <c r="R98" s="144"/>
      <c r="S98" s="144"/>
    </row>
    <row r="99" spans="2:19" x14ac:dyDescent="0.2">
      <c r="B99" s="114">
        <v>28</v>
      </c>
      <c r="C99" s="32" t="str">
        <f t="shared" si="19"/>
        <v>Auxiliary Systems (Deck Crane)</v>
      </c>
      <c r="D99" s="114">
        <f t="shared" si="20"/>
        <v>2</v>
      </c>
      <c r="E99" s="166">
        <f t="shared" si="21"/>
        <v>7.59</v>
      </c>
      <c r="O99" s="108"/>
      <c r="P99" s="108"/>
      <c r="Q99" s="113"/>
      <c r="R99" s="144"/>
      <c r="S99" s="144"/>
    </row>
    <row r="100" spans="2:19" x14ac:dyDescent="0.2">
      <c r="B100" s="114">
        <v>29</v>
      </c>
      <c r="C100" s="32" t="str">
        <f t="shared" si="19"/>
        <v>Main / Aux. Generators (Auxiliary Generator)</v>
      </c>
      <c r="D100" s="114">
        <f t="shared" si="20"/>
        <v>1</v>
      </c>
      <c r="E100" s="166">
        <f t="shared" si="21"/>
        <v>14.26</v>
      </c>
      <c r="O100" s="108"/>
      <c r="P100" s="108"/>
      <c r="Q100" s="113"/>
      <c r="R100" s="144"/>
      <c r="S100" s="144"/>
    </row>
    <row r="101" spans="2:19" x14ac:dyDescent="0.2">
      <c r="B101" s="114">
        <v>30</v>
      </c>
      <c r="C101" s="32" t="str">
        <f t="shared" si="19"/>
        <v>Hull (Hull / House Repair)</v>
      </c>
      <c r="D101" s="114">
        <f t="shared" si="20"/>
        <v>1</v>
      </c>
      <c r="E101" s="166">
        <f t="shared" si="21"/>
        <v>1.39</v>
      </c>
      <c r="O101" s="108"/>
      <c r="P101" s="108"/>
      <c r="Q101" s="113"/>
      <c r="R101" s="144"/>
      <c r="S101" s="144"/>
    </row>
    <row r="102" spans="2:19" x14ac:dyDescent="0.2">
      <c r="B102" s="114">
        <v>31</v>
      </c>
      <c r="C102" s="32" t="str">
        <f t="shared" si="19"/>
        <v>Electrical/Electronics (Transformers)</v>
      </c>
      <c r="D102" s="114">
        <f t="shared" si="20"/>
        <v>1</v>
      </c>
      <c r="E102" s="166">
        <f t="shared" si="21"/>
        <v>20.149999999999999</v>
      </c>
      <c r="O102" s="108"/>
      <c r="P102" s="108"/>
      <c r="Q102" s="113"/>
      <c r="R102" s="144"/>
      <c r="S102" s="144"/>
    </row>
    <row r="103" spans="2:19" x14ac:dyDescent="0.2">
      <c r="B103" s="114">
        <v>32</v>
      </c>
      <c r="C103" s="32" t="str">
        <f t="shared" si="19"/>
        <v>Crane Boom (Boom / Gantry Sheaves)</v>
      </c>
      <c r="D103" s="114">
        <f t="shared" si="20"/>
        <v>1</v>
      </c>
      <c r="E103" s="166">
        <f t="shared" si="21"/>
        <v>1.28</v>
      </c>
      <c r="O103" s="32"/>
      <c r="P103" s="108"/>
      <c r="Q103" s="113"/>
      <c r="R103" s="144"/>
      <c r="S103" s="144"/>
    </row>
    <row r="104" spans="2:19" x14ac:dyDescent="0.2">
      <c r="B104" s="114">
        <v>33</v>
      </c>
      <c r="C104" s="32" t="str">
        <f t="shared" si="19"/>
        <v>Hull (Deck Fittings (cleats, timbers, etc.))</v>
      </c>
      <c r="D104" s="114">
        <f t="shared" si="20"/>
        <v>0</v>
      </c>
      <c r="E104" s="166">
        <f t="shared" si="21"/>
        <v>0</v>
      </c>
      <c r="O104" s="32"/>
      <c r="P104" s="108"/>
      <c r="Q104" s="113"/>
      <c r="R104" s="144"/>
      <c r="S104" s="144"/>
    </row>
    <row r="105" spans="2:19" x14ac:dyDescent="0.2">
      <c r="B105" s="114">
        <v>34</v>
      </c>
      <c r="C105" s="32" t="str">
        <f t="shared" si="19"/>
        <v>Electrical/Electronics (Navigation Lights)</v>
      </c>
      <c r="D105" s="114">
        <f t="shared" si="20"/>
        <v>0</v>
      </c>
      <c r="E105" s="166">
        <f t="shared" si="21"/>
        <v>0</v>
      </c>
      <c r="O105" s="32"/>
      <c r="P105" s="108"/>
      <c r="Q105" s="113"/>
      <c r="R105" s="144"/>
      <c r="S105" s="144"/>
    </row>
    <row r="106" spans="2:19" x14ac:dyDescent="0.2">
      <c r="B106" s="114">
        <v>35</v>
      </c>
      <c r="C106" s="32" t="str">
        <f t="shared" si="19"/>
        <v>Crane Boom (Penant Wire)</v>
      </c>
      <c r="D106" s="114">
        <f t="shared" si="20"/>
        <v>0</v>
      </c>
      <c r="E106" s="166">
        <f t="shared" si="21"/>
        <v>0</v>
      </c>
      <c r="O106" s="32"/>
      <c r="P106" s="113"/>
      <c r="Q106" s="113"/>
      <c r="R106" s="113"/>
      <c r="S106" s="113"/>
    </row>
    <row r="107" spans="2:19" x14ac:dyDescent="0.2">
      <c r="B107" s="114">
        <v>36</v>
      </c>
      <c r="C107" s="32" t="str">
        <f t="shared" si="19"/>
        <v>Auxiliary Systems (Sanitary System)</v>
      </c>
      <c r="D107" s="114">
        <f t="shared" si="20"/>
        <v>0</v>
      </c>
      <c r="E107" s="166">
        <f t="shared" si="21"/>
        <v>0</v>
      </c>
      <c r="O107" s="32"/>
      <c r="P107" s="113"/>
      <c r="Q107" s="113"/>
      <c r="R107" s="113"/>
      <c r="S107" s="113"/>
    </row>
    <row r="108" spans="2:19" x14ac:dyDescent="0.2">
      <c r="B108" s="114">
        <v>37</v>
      </c>
      <c r="C108" s="32" t="str">
        <f t="shared" si="19"/>
        <v>Auxiliary Systems (Potable Water)</v>
      </c>
      <c r="D108" s="114">
        <f t="shared" si="20"/>
        <v>0</v>
      </c>
      <c r="E108" s="166">
        <f t="shared" si="21"/>
        <v>0</v>
      </c>
    </row>
    <row r="109" spans="2:19" x14ac:dyDescent="0.2">
      <c r="B109" s="114">
        <v>38</v>
      </c>
      <c r="C109" s="32" t="str">
        <f t="shared" si="19"/>
        <v>Auxiliary Systems (Heating, Ventilation, A/C)</v>
      </c>
      <c r="D109" s="114">
        <f t="shared" si="20"/>
        <v>0</v>
      </c>
      <c r="E109" s="166">
        <f t="shared" si="21"/>
        <v>0</v>
      </c>
    </row>
    <row r="110" spans="2:19" x14ac:dyDescent="0.2">
      <c r="B110" s="114">
        <v>39</v>
      </c>
      <c r="C110" s="32" t="str">
        <f t="shared" si="19"/>
        <v>Auxiliary Systems (Fuel)</v>
      </c>
      <c r="D110" s="114">
        <f t="shared" si="20"/>
        <v>0</v>
      </c>
      <c r="E110" s="166">
        <f t="shared" si="21"/>
        <v>0</v>
      </c>
    </row>
    <row r="111" spans="2:19" x14ac:dyDescent="0.2">
      <c r="B111" s="114">
        <v>40</v>
      </c>
      <c r="C111" s="32" t="str">
        <f t="shared" si="19"/>
        <v>Auxiliary Systems (Fire Main)</v>
      </c>
      <c r="D111" s="114">
        <f t="shared" si="20"/>
        <v>0</v>
      </c>
      <c r="E111" s="166">
        <f t="shared" si="21"/>
        <v>0</v>
      </c>
    </row>
    <row r="112" spans="2:19" x14ac:dyDescent="0.2">
      <c r="B112" s="114"/>
      <c r="C112" s="32"/>
      <c r="D112" s="114"/>
      <c r="E112" s="114"/>
    </row>
    <row r="113" spans="2:5" x14ac:dyDescent="0.2">
      <c r="B113" s="114"/>
      <c r="C113" s="32"/>
      <c r="D113" s="114"/>
      <c r="E113" s="114"/>
    </row>
    <row r="114" spans="2:5" x14ac:dyDescent="0.2">
      <c r="B114" s="114"/>
      <c r="C114" s="32"/>
      <c r="D114" s="114"/>
      <c r="E114" s="114"/>
    </row>
    <row r="115" spans="2:5" x14ac:dyDescent="0.2">
      <c r="B115" s="114"/>
      <c r="C115" s="32"/>
      <c r="D115" s="114"/>
      <c r="E115" s="114"/>
    </row>
    <row r="116" spans="2:5" x14ac:dyDescent="0.2">
      <c r="B116" s="114"/>
      <c r="C116" s="32"/>
      <c r="D116" s="114"/>
      <c r="E116" s="114"/>
    </row>
    <row r="117" spans="2:5" x14ac:dyDescent="0.2">
      <c r="B117" s="114"/>
      <c r="C117" s="32"/>
      <c r="D117" s="114"/>
      <c r="E117" s="114"/>
    </row>
  </sheetData>
  <mergeCells count="7">
    <mergeCell ref="AB1:AC1"/>
    <mergeCell ref="O46:Q46"/>
    <mergeCell ref="Q52:S52"/>
    <mergeCell ref="O1:Q1"/>
    <mergeCell ref="R1:S1"/>
    <mergeCell ref="U1:V1"/>
    <mergeCell ref="X1:Y1"/>
  </mergeCells>
  <pageMargins left="0.75" right="0.75" top="0.5" bottom="0.5" header="0.5" footer="0.25"/>
  <pageSetup scale="64"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1"/>
  <sheetViews>
    <sheetView showGridLines="0" topLeftCell="A28" zoomScaleNormal="100" workbookViewId="0">
      <selection activeCell="L49" sqref="L49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35" bestFit="1" customWidth="1"/>
    <col min="7" max="7" width="7.5703125" style="2" bestFit="1" customWidth="1"/>
    <col min="8" max="10" width="13.42578125" style="2" customWidth="1"/>
    <col min="11" max="11" width="9.140625" style="2"/>
    <col min="12" max="12" width="10.42578125" style="2" bestFit="1" customWidth="1"/>
    <col min="13" max="13" width="39.7109375" style="2" customWidth="1"/>
    <col min="14" max="14" width="4.7109375" style="2" bestFit="1" customWidth="1"/>
    <col min="15" max="15" width="8.140625" style="162" bestFit="1" customWidth="1"/>
    <col min="16" max="16384" width="9.140625" style="2"/>
  </cols>
  <sheetData>
    <row r="1" spans="1:15" s="22" customFormat="1" ht="30" customHeight="1" x14ac:dyDescent="0.2">
      <c r="A1" s="27" t="s">
        <v>2</v>
      </c>
      <c r="B1" s="20"/>
      <c r="C1" s="21"/>
      <c r="D1" s="21"/>
      <c r="E1" s="21"/>
      <c r="F1" s="41"/>
      <c r="O1" s="167"/>
    </row>
    <row r="2" spans="1:15" ht="15.75" x14ac:dyDescent="0.25">
      <c r="A2" s="3"/>
      <c r="C2" s="4"/>
      <c r="D2" s="4"/>
      <c r="E2" s="4"/>
      <c r="H2" s="30"/>
    </row>
    <row r="3" spans="1:15" ht="15.75" x14ac:dyDescent="0.25">
      <c r="A3" s="5" t="s">
        <v>0</v>
      </c>
      <c r="C3" s="6"/>
      <c r="D3" s="7"/>
      <c r="E3" s="7"/>
      <c r="H3" s="8"/>
      <c r="L3" s="153" t="s">
        <v>135</v>
      </c>
      <c r="M3" s="241" t="s">
        <v>134</v>
      </c>
      <c r="N3" s="241"/>
      <c r="O3" s="241"/>
    </row>
    <row r="4" spans="1:15" x14ac:dyDescent="0.2">
      <c r="A4" s="9" t="s">
        <v>8</v>
      </c>
      <c r="C4" s="6"/>
      <c r="D4" s="7"/>
      <c r="E4" s="7"/>
      <c r="L4" s="114">
        <f>RANK(O4,$O$4:$O$43,0)+COUNTIF($O$4:O4,O4)-1</f>
        <v>24</v>
      </c>
      <c r="M4" s="111" t="str">
        <f>'54 count'!Q54</f>
        <v>Auxiliary Systems (Compressed Air)</v>
      </c>
      <c r="N4" s="111">
        <f>'54 count'!R54</f>
        <v>9</v>
      </c>
      <c r="O4" s="168">
        <f>'54 count'!S54</f>
        <v>8.6808333333302272</v>
      </c>
    </row>
    <row r="5" spans="1:15" x14ac:dyDescent="0.2">
      <c r="A5" s="10" t="s">
        <v>1</v>
      </c>
      <c r="C5" s="6"/>
      <c r="D5" s="7"/>
      <c r="E5" s="7"/>
      <c r="L5" s="114">
        <f>RANK(O5,$O$4:$O$43,0)+COUNTIF($O$4:O5,O5)-1</f>
        <v>25</v>
      </c>
      <c r="M5" s="111" t="str">
        <f>'54 count'!Q55</f>
        <v>Auxiliary Systems (Deck Crane)</v>
      </c>
      <c r="N5" s="111">
        <f>'54 count'!R55</f>
        <v>2</v>
      </c>
      <c r="O5" s="168">
        <f>'54 count'!S55</f>
        <v>7.59</v>
      </c>
    </row>
    <row r="6" spans="1:15" x14ac:dyDescent="0.2">
      <c r="L6" s="114">
        <f>RANK(O6,$O$4:$O$43,0)+COUNTIF($O$4:O6,O6)-1</f>
        <v>33</v>
      </c>
      <c r="M6" s="111" t="str">
        <f>'54 count'!Q56</f>
        <v>Auxiliary Systems (Fire Main)</v>
      </c>
      <c r="N6" s="111">
        <f>'54 count'!R56</f>
        <v>0</v>
      </c>
      <c r="O6" s="168">
        <f>'54 count'!S56</f>
        <v>0</v>
      </c>
    </row>
    <row r="7" spans="1:15" x14ac:dyDescent="0.2">
      <c r="L7" s="114">
        <f>RANK(O7,$O$4:$O$43,0)+COUNTIF($O$4:O7,O7)-1</f>
        <v>34</v>
      </c>
      <c r="M7" s="111" t="str">
        <f>'54 count'!Q57</f>
        <v>Auxiliary Systems (Fuel)</v>
      </c>
      <c r="N7" s="111">
        <f>'54 count'!R57</f>
        <v>0</v>
      </c>
      <c r="O7" s="168">
        <f>'54 count'!S57</f>
        <v>0</v>
      </c>
    </row>
    <row r="8" spans="1:15" x14ac:dyDescent="0.2">
      <c r="L8" s="114">
        <f>RANK(O8,$O$4:$O$43,0)+COUNTIF($O$4:O8,O8)-1</f>
        <v>35</v>
      </c>
      <c r="M8" s="111" t="str">
        <f>'54 count'!Q58</f>
        <v>Auxiliary Systems (Heating, Ventilation, A/C)</v>
      </c>
      <c r="N8" s="111">
        <f>'54 count'!R58</f>
        <v>0</v>
      </c>
      <c r="O8" s="168">
        <f>'54 count'!S58</f>
        <v>0</v>
      </c>
    </row>
    <row r="9" spans="1:15" x14ac:dyDescent="0.2">
      <c r="L9" s="114">
        <f>RANK(O9,$O$4:$O$43,0)+COUNTIF($O$4:O9,O9)-1</f>
        <v>36</v>
      </c>
      <c r="M9" s="111" t="str">
        <f>'54 count'!Q59</f>
        <v>Auxiliary Systems (Potable Water)</v>
      </c>
      <c r="N9" s="111">
        <f>'54 count'!R59</f>
        <v>0</v>
      </c>
      <c r="O9" s="168">
        <f>'54 count'!S59</f>
        <v>0</v>
      </c>
    </row>
    <row r="10" spans="1:15" x14ac:dyDescent="0.2">
      <c r="L10" s="198">
        <f>RANK(O10,$O$4:$O$43,0)+COUNTIF($O$4:O10,O10)-1</f>
        <v>37</v>
      </c>
      <c r="M10" s="189" t="str">
        <f>'54 count'!Q60</f>
        <v>Auxiliary Systems (Sanitary System)</v>
      </c>
      <c r="N10" s="189">
        <f>'54 count'!R60</f>
        <v>0</v>
      </c>
      <c r="O10" s="199">
        <f>'54 count'!S60</f>
        <v>0</v>
      </c>
    </row>
    <row r="11" spans="1:15" x14ac:dyDescent="0.2">
      <c r="L11" s="198">
        <f>RANK(O11,$O$4:$O$43,0)+COUNTIF($O$4:O11,O11)-1</f>
        <v>2</v>
      </c>
      <c r="M11" s="189" t="str">
        <f>'54 count'!Q61</f>
        <v>Buckets (Weld / Repair Bucket)</v>
      </c>
      <c r="N11" s="189">
        <f>'54 count'!R61</f>
        <v>213</v>
      </c>
      <c r="O11" s="199">
        <f>'54 count'!S61</f>
        <v>247.21944444445427</v>
      </c>
    </row>
    <row r="12" spans="1:15" x14ac:dyDescent="0.2">
      <c r="L12" s="114">
        <f>RANK(O12,$O$4:$O$43,0)+COUNTIF($O$4:O12,O12)-1</f>
        <v>30</v>
      </c>
      <c r="M12" s="111" t="str">
        <f>'54 count'!Q62</f>
        <v>Crane Boom (Boom / Gantry Sheaves)</v>
      </c>
      <c r="N12" s="111">
        <f>'54 count'!R62</f>
        <v>1</v>
      </c>
      <c r="O12" s="168">
        <f>'54 count'!S62</f>
        <v>1.28</v>
      </c>
    </row>
    <row r="13" spans="1:15" x14ac:dyDescent="0.2">
      <c r="L13" s="114">
        <f>RANK(O13,$O$4:$O$43,0)+COUNTIF($O$4:O13,O13)-1</f>
        <v>21</v>
      </c>
      <c r="M13" s="111" t="str">
        <f>'54 count'!Q63</f>
        <v>Crane Boom (Boom / Gantry Structure)</v>
      </c>
      <c r="N13" s="111">
        <f>'54 count'!R63</f>
        <v>3</v>
      </c>
      <c r="O13" s="168">
        <f>'54 count'!S63</f>
        <v>10.72</v>
      </c>
    </row>
    <row r="14" spans="1:15" x14ac:dyDescent="0.2">
      <c r="L14" s="114">
        <f>RANK(O14,$O$4:$O$43,0)+COUNTIF($O$4:O14,O14)-1</f>
        <v>13</v>
      </c>
      <c r="M14" s="111" t="str">
        <f>'54 count'!Q64</f>
        <v>Crane Boom (Boom Winch)</v>
      </c>
      <c r="N14" s="111">
        <f>'54 count'!R64</f>
        <v>12</v>
      </c>
      <c r="O14" s="168">
        <f>'54 count'!S64</f>
        <v>32.130000000000003</v>
      </c>
    </row>
    <row r="15" spans="1:15" x14ac:dyDescent="0.2">
      <c r="L15" s="114">
        <f>RANK(O15,$O$4:$O$43,0)+COUNTIF($O$4:O15,O15)-1</f>
        <v>14</v>
      </c>
      <c r="M15" s="111" t="str">
        <f>'54 count'!Q65</f>
        <v>Crane Boom (Boom Wires)</v>
      </c>
      <c r="N15" s="111">
        <f>'54 count'!R65</f>
        <v>10</v>
      </c>
      <c r="O15" s="168">
        <f>'54 count'!S65</f>
        <v>31.34</v>
      </c>
    </row>
    <row r="16" spans="1:15" x14ac:dyDescent="0.2">
      <c r="L16" s="198">
        <f>RANK(O16,$O$4:$O$43,0)+COUNTIF($O$4:O16,O16)-1</f>
        <v>38</v>
      </c>
      <c r="M16" s="189" t="str">
        <f>'54 count'!Q66</f>
        <v>Crane Boom (Penant Wire)</v>
      </c>
      <c r="N16" s="189">
        <f>'54 count'!R66</f>
        <v>0</v>
      </c>
      <c r="O16" s="199">
        <f>'54 count'!S66</f>
        <v>0</v>
      </c>
    </row>
    <row r="17" spans="2:15" x14ac:dyDescent="0.2">
      <c r="L17" s="114">
        <f>RANK(O17,$O$4:$O$43,0)+COUNTIF($O$4:O17,O17)-1</f>
        <v>22</v>
      </c>
      <c r="M17" s="111" t="str">
        <f>'54 count'!Q67</f>
        <v>Crane Swing (Drive (motor, gear box, etc.))</v>
      </c>
      <c r="N17" s="111">
        <f>'54 count'!R67</f>
        <v>15</v>
      </c>
      <c r="O17" s="168">
        <f>'54 count'!S67</f>
        <v>10.55</v>
      </c>
    </row>
    <row r="18" spans="2:15" x14ac:dyDescent="0.2">
      <c r="L18" s="198">
        <f>RANK(O18,$O$4:$O$43,0)+COUNTIF($O$4:O18,O18)-1</f>
        <v>31</v>
      </c>
      <c r="M18" s="189" t="str">
        <f>'54 count'!Q68</f>
        <v>Crane Swing (Swing Circle (rollers, etc.))</v>
      </c>
      <c r="N18" s="189">
        <f>'54 count'!R68</f>
        <v>4</v>
      </c>
      <c r="O18" s="199">
        <f>'54 count'!S68</f>
        <v>1.1800000000000002</v>
      </c>
    </row>
    <row r="19" spans="2:15" x14ac:dyDescent="0.2">
      <c r="L19" s="114">
        <f>RANK(O19,$O$4:$O$43,0)+COUNTIF($O$4:O19,O19)-1</f>
        <v>28</v>
      </c>
      <c r="M19" s="111" t="str">
        <f>'54 count'!Q69</f>
        <v>Deck Winch (Fairleads)</v>
      </c>
      <c r="N19" s="111">
        <f>'54 count'!R69</f>
        <v>2</v>
      </c>
      <c r="O19" s="168">
        <f>'54 count'!S69</f>
        <v>2.16</v>
      </c>
    </row>
    <row r="20" spans="2:15" x14ac:dyDescent="0.2">
      <c r="L20" s="198">
        <f>RANK(O20,$O$4:$O$43,0)+COUNTIF($O$4:O20,O20)-1</f>
        <v>23</v>
      </c>
      <c r="M20" s="189" t="str">
        <f>'54 count'!Q70</f>
        <v>Deck Winch (Winch)</v>
      </c>
      <c r="N20" s="189">
        <f>'54 count'!R70</f>
        <v>15</v>
      </c>
      <c r="O20" s="199">
        <f>'54 count'!S70</f>
        <v>9.1399999999254931</v>
      </c>
    </row>
    <row r="21" spans="2:15" x14ac:dyDescent="0.2">
      <c r="L21" s="114">
        <f>RANK(O21,$O$4:$O$43,0)+COUNTIF($O$4:O21,O21)-1</f>
        <v>17</v>
      </c>
      <c r="M21" s="111" t="str">
        <f>'54 count'!Q71</f>
        <v>Electrical/Electronics (MCC / Switch Gear)</v>
      </c>
      <c r="N21" s="111">
        <f>'54 count'!R71</f>
        <v>20</v>
      </c>
      <c r="O21" s="168">
        <f>'54 count'!S71</f>
        <v>24.79</v>
      </c>
    </row>
    <row r="22" spans="2:15" x14ac:dyDescent="0.2">
      <c r="L22" s="114">
        <f>RANK(O22,$O$4:$O$43,0)+COUNTIF($O$4:O22,O22)-1</f>
        <v>39</v>
      </c>
      <c r="M22" s="111" t="str">
        <f>'54 count'!Q72</f>
        <v>Electrical/Electronics (Navigation Lights)</v>
      </c>
      <c r="N22" s="111">
        <f>'54 count'!R72</f>
        <v>0</v>
      </c>
      <c r="O22" s="168">
        <f>'54 count'!S72</f>
        <v>0</v>
      </c>
    </row>
    <row r="23" spans="2:15" x14ac:dyDescent="0.2">
      <c r="B23" s="11" t="s">
        <v>11</v>
      </c>
      <c r="L23" s="114">
        <f>RANK(O23,$O$4:$O$43,0)+COUNTIF($O$4:O23,O23)-1</f>
        <v>7</v>
      </c>
      <c r="M23" s="111" t="str">
        <f>'54 count'!Q73</f>
        <v>Electrical/Electronics (PLC)</v>
      </c>
      <c r="N23" s="111">
        <f>'54 count'!R73</f>
        <v>27</v>
      </c>
      <c r="O23" s="168">
        <f>'54 count'!S73</f>
        <v>81.909166666690723</v>
      </c>
    </row>
    <row r="24" spans="2:15" x14ac:dyDescent="0.2">
      <c r="L24" s="198">
        <f>RANK(O24,$O$4:$O$43,0)+COUNTIF($O$4:O24,O24)-1</f>
        <v>19</v>
      </c>
      <c r="M24" s="189" t="str">
        <f>'54 count'!Q74</f>
        <v>Electrical/Electronics (Transformers)</v>
      </c>
      <c r="N24" s="189">
        <f>'54 count'!R74</f>
        <v>1</v>
      </c>
      <c r="O24" s="199">
        <f>'54 count'!S74</f>
        <v>20.149999999999999</v>
      </c>
    </row>
    <row r="25" spans="2:15" x14ac:dyDescent="0.2">
      <c r="L25" s="114">
        <f>RANK(O25,$O$4:$O$43,0)+COUNTIF($O$4:O25,O25)-1</f>
        <v>40</v>
      </c>
      <c r="M25" s="111" t="str">
        <f>'54 count'!Q75</f>
        <v>Hull (Deck Fittings (cleats, timbers, etc.))</v>
      </c>
      <c r="N25" s="111">
        <f>'54 count'!R75</f>
        <v>0</v>
      </c>
      <c r="O25" s="168">
        <f>'54 count'!S75</f>
        <v>0</v>
      </c>
    </row>
    <row r="26" spans="2:15" x14ac:dyDescent="0.2">
      <c r="L26" s="198">
        <f>RANK(O26,$O$4:$O$43,0)+COUNTIF($O$4:O26,O26)-1</f>
        <v>29</v>
      </c>
      <c r="M26" s="189" t="str">
        <f>'54 count'!Q76</f>
        <v>Hull (Hull / House Repair)</v>
      </c>
      <c r="N26" s="189">
        <f>'54 count'!R76</f>
        <v>1</v>
      </c>
      <c r="O26" s="199">
        <f>'54 count'!S76</f>
        <v>1.39</v>
      </c>
    </row>
    <row r="27" spans="2:15" x14ac:dyDescent="0.2">
      <c r="L27" s="114">
        <f>RANK(O27,$O$4:$O$43,0)+COUNTIF($O$4:O27,O27)-1</f>
        <v>20</v>
      </c>
      <c r="M27" s="111" t="str">
        <f>'54 count'!Q77</f>
        <v>Main / Aux. Generators (Auxiliary Generator)</v>
      </c>
      <c r="N27" s="111">
        <f>'54 count'!R77</f>
        <v>1</v>
      </c>
      <c r="O27" s="168">
        <f>'54 count'!S77</f>
        <v>14.26</v>
      </c>
    </row>
    <row r="28" spans="2:15" ht="15.75" x14ac:dyDescent="0.25">
      <c r="B28" s="28" t="str">
        <f ca="1">"The first "&amp;COUNT(H33:H64)&amp;" "&amp;C32&amp;" cover "&amp;TEXT(OFFSET(E32,COUNT(H33:H64),0,1,1),"0.??%")&amp;" of the Total "&amp;D32</f>
        <v>The first 10 Causes cover 81.49% of the Total Hours</v>
      </c>
      <c r="C28" s="7"/>
      <c r="L28" s="114">
        <f>RANK(O28,$O$4:$O$43,0)+COUNTIF($O$4:O28,O28)-1</f>
        <v>9</v>
      </c>
      <c r="M28" s="111" t="str">
        <f>'54 count'!Q78</f>
        <v>Main / Aux. Generators (Main Generator)</v>
      </c>
      <c r="N28" s="111">
        <f>'54 count'!R78</f>
        <v>11</v>
      </c>
      <c r="O28" s="168">
        <f>'54 count'!S78</f>
        <v>72.570000000000007</v>
      </c>
    </row>
    <row r="29" spans="2:15" x14ac:dyDescent="0.2">
      <c r="L29" s="198">
        <f>RANK(O29,$O$4:$O$43,0)+COUNTIF($O$4:O29,O29)-1</f>
        <v>8</v>
      </c>
      <c r="M29" s="189" t="str">
        <f>'54 count'!Q79</f>
        <v>Main / Aux. Generators (Main Generator Engine)</v>
      </c>
      <c r="N29" s="189">
        <f>'54 count'!R79</f>
        <v>18</v>
      </c>
      <c r="O29" s="199">
        <f>'54 count'!S79</f>
        <v>78.281666666604565</v>
      </c>
    </row>
    <row r="30" spans="2:15" x14ac:dyDescent="0.2">
      <c r="L30" s="114">
        <f>RANK(O30,$O$4:$O$43,0)+COUNTIF($O$4:O30,O30)-1</f>
        <v>16</v>
      </c>
      <c r="M30" s="111" t="str">
        <f>'54 count'!Q80</f>
        <v>Main Hoist (Closer)</v>
      </c>
      <c r="N30" s="111">
        <f>'54 count'!R80</f>
        <v>10</v>
      </c>
      <c r="O30" s="168">
        <f>'54 count'!S80</f>
        <v>27.48</v>
      </c>
    </row>
    <row r="31" spans="2:15" x14ac:dyDescent="0.2">
      <c r="D31" s="12" t="s">
        <v>9</v>
      </c>
      <c r="E31" s="29">
        <v>0.8</v>
      </c>
      <c r="L31" s="114">
        <f>RANK(O31,$O$4:$O$43,0)+COUNTIF($O$4:O31,O31)-1</f>
        <v>5</v>
      </c>
      <c r="M31" s="111" t="str">
        <f>'54 count'!Q81</f>
        <v>Main Hoist (Closer Wire)</v>
      </c>
      <c r="N31" s="111">
        <f>'54 count'!R81</f>
        <v>77</v>
      </c>
      <c r="O31" s="168">
        <f>'54 count'!S81</f>
        <v>157.54416666674894</v>
      </c>
    </row>
    <row r="32" spans="2:15" ht="15.75" x14ac:dyDescent="0.25">
      <c r="B32" s="24" t="s">
        <v>3</v>
      </c>
      <c r="C32" s="25" t="s">
        <v>5</v>
      </c>
      <c r="D32" s="26" t="s">
        <v>13</v>
      </c>
      <c r="E32" s="24" t="s">
        <v>4</v>
      </c>
      <c r="F32" s="38" t="s">
        <v>31</v>
      </c>
      <c r="G32" s="38" t="s">
        <v>14</v>
      </c>
      <c r="H32" s="13" t="s">
        <v>6</v>
      </c>
      <c r="I32" s="13" t="s">
        <v>7</v>
      </c>
      <c r="J32" s="13" t="s">
        <v>10</v>
      </c>
      <c r="L32" s="200">
        <f>RANK(O32,$O$4:$O$43,0)+COUNTIF($O$4:O32,O32)-1</f>
        <v>1</v>
      </c>
      <c r="M32" s="111" t="str">
        <f>'54 count'!Q82</f>
        <v>Main Hoist (Holder)</v>
      </c>
      <c r="N32" s="111">
        <f>'54 count'!R82</f>
        <v>48</v>
      </c>
      <c r="O32" s="168">
        <f>'54 count'!S82</f>
        <v>283.88305555563187</v>
      </c>
    </row>
    <row r="33" spans="2:15" x14ac:dyDescent="0.2">
      <c r="B33" s="14">
        <f t="shared" ref="B33:B64" si="0">ROW(B33)-ROW($B$32)</f>
        <v>1</v>
      </c>
      <c r="C33" s="220" t="s">
        <v>90</v>
      </c>
      <c r="D33" s="221">
        <v>283.88305555563187</v>
      </c>
      <c r="E33" s="217">
        <f>SUM(D33:D$33)/SUM($D$33:$D$64)</f>
        <v>0.1577833728726856</v>
      </c>
      <c r="F33" s="218">
        <f>E33</f>
        <v>0.1577833728726856</v>
      </c>
      <c r="G33" s="202">
        <v>48</v>
      </c>
      <c r="H33" s="16">
        <f t="shared" ref="H33:H55" ca="1" si="1">IF(OR(B33=1,OFFSET($E$32,B33-1,0,1,1)&lt;=$E$31),OFFSET($D$32,B33,0,1,1),"")</f>
        <v>283.88305555563187</v>
      </c>
      <c r="I33" s="17" t="str">
        <f t="shared" ref="I33:I55" ca="1" si="2">IF(H33="",OFFSET($D$32,B33,0,1,1),"")</f>
        <v/>
      </c>
      <c r="J33" s="18">
        <f t="shared" ref="J33:J64" si="3">$E$31</f>
        <v>0.8</v>
      </c>
      <c r="L33" s="198">
        <f>RANK(O33,$O$4:$O$43,0)+COUNTIF($O$4:O33,O33)-1</f>
        <v>6</v>
      </c>
      <c r="M33" s="189" t="str">
        <f>'54 count'!Q83</f>
        <v>Main Hoist (Holder Wire)</v>
      </c>
      <c r="N33" s="189">
        <f>'54 count'!R83</f>
        <v>45</v>
      </c>
      <c r="O33" s="199">
        <f>'54 count'!S83</f>
        <v>102.40527777779847</v>
      </c>
    </row>
    <row r="34" spans="2:15" x14ac:dyDescent="0.2">
      <c r="B34" s="14">
        <f t="shared" si="0"/>
        <v>2</v>
      </c>
      <c r="C34" s="220" t="s">
        <v>175</v>
      </c>
      <c r="D34" s="221">
        <v>247.21944444445427</v>
      </c>
      <c r="E34" s="217">
        <f>SUM(D$33:D34)/SUM($D$33:$D$64)</f>
        <v>0.29518895950697971</v>
      </c>
      <c r="F34" s="218">
        <f>E34-E33</f>
        <v>0.13740558663429411</v>
      </c>
      <c r="G34" s="202">
        <v>213</v>
      </c>
      <c r="H34" s="16">
        <f t="shared" ca="1" si="1"/>
        <v>247.21944444445427</v>
      </c>
      <c r="I34" s="17" t="str">
        <f t="shared" ca="1" si="2"/>
        <v/>
      </c>
      <c r="J34" s="18">
        <f t="shared" si="3"/>
        <v>0.8</v>
      </c>
      <c r="L34" s="114">
        <f>RANK(O34,$O$4:$O$43,0)+COUNTIF($O$4:O34,O34)-1</f>
        <v>26</v>
      </c>
      <c r="M34" s="111" t="str">
        <f>'54 count'!Q84</f>
        <v>Spud System (Spud Sheaves)</v>
      </c>
      <c r="N34" s="111">
        <f>'54 count'!R84</f>
        <v>8</v>
      </c>
      <c r="O34" s="168">
        <f>'54 count'!S84</f>
        <v>6.7299999999999995</v>
      </c>
    </row>
    <row r="35" spans="2:15" x14ac:dyDescent="0.2">
      <c r="B35" s="14">
        <f t="shared" si="0"/>
        <v>3</v>
      </c>
      <c r="C35" s="220" t="s">
        <v>93</v>
      </c>
      <c r="D35" s="221">
        <v>209.03000000000003</v>
      </c>
      <c r="E35" s="217">
        <f>SUM(D$33:D35)/SUM($D$33:$D$64)</f>
        <v>0.41136869544445687</v>
      </c>
      <c r="F35" s="218">
        <f t="shared" ref="F35:F64" si="4">E35-E34</f>
        <v>0.11617973593747716</v>
      </c>
      <c r="G35" s="219">
        <v>6</v>
      </c>
      <c r="H35" s="16">
        <f t="shared" ca="1" si="1"/>
        <v>209.03000000000003</v>
      </c>
      <c r="I35" s="17" t="str">
        <f t="shared" ca="1" si="2"/>
        <v/>
      </c>
      <c r="J35" s="18">
        <f t="shared" si="3"/>
        <v>0.8</v>
      </c>
      <c r="L35" s="114">
        <f>RANK(O35,$O$4:$O$43,0)+COUNTIF($O$4:O35,O35)-1</f>
        <v>3</v>
      </c>
      <c r="M35" s="111" t="str">
        <f>'54 count'!Q85</f>
        <v>Spud System (Spud Structure)</v>
      </c>
      <c r="N35" s="111">
        <f>'54 count'!R85</f>
        <v>6</v>
      </c>
      <c r="O35" s="168">
        <f>'54 count'!S85</f>
        <v>209.03000000000003</v>
      </c>
    </row>
    <row r="36" spans="2:15" x14ac:dyDescent="0.2">
      <c r="B36" s="14">
        <f t="shared" si="0"/>
        <v>4</v>
      </c>
      <c r="C36" s="220" t="s">
        <v>97</v>
      </c>
      <c r="D36" s="221">
        <v>193.46305555508937</v>
      </c>
      <c r="E36" s="217">
        <f>SUM(D$33:D36)/SUM($D$33:$D$64)</f>
        <v>0.5188962594689881</v>
      </c>
      <c r="F36" s="218">
        <f t="shared" si="4"/>
        <v>0.10752756402453123</v>
      </c>
      <c r="G36" s="202">
        <v>117</v>
      </c>
      <c r="H36" s="16">
        <f t="shared" ca="1" si="1"/>
        <v>193.46305555508937</v>
      </c>
      <c r="I36" s="17" t="str">
        <f t="shared" ca="1" si="2"/>
        <v/>
      </c>
      <c r="J36" s="18">
        <f t="shared" si="3"/>
        <v>0.8</v>
      </c>
      <c r="L36" s="114">
        <f>RANK(O36,$O$4:$O$43,0)+COUNTIF($O$4:O36,O36)-1</f>
        <v>12</v>
      </c>
      <c r="M36" s="111" t="str">
        <f>'54 count'!Q86</f>
        <v>Spud System (Spud Winch)</v>
      </c>
      <c r="N36" s="111">
        <f>'54 count'!R86</f>
        <v>41</v>
      </c>
      <c r="O36" s="168">
        <f>'54 count'!S86</f>
        <v>32.822500000146682</v>
      </c>
    </row>
    <row r="37" spans="2:15" x14ac:dyDescent="0.2">
      <c r="B37" s="14">
        <f t="shared" si="0"/>
        <v>5</v>
      </c>
      <c r="C37" s="220" t="s">
        <v>89</v>
      </c>
      <c r="D37" s="221">
        <v>157.54416666674894</v>
      </c>
      <c r="E37" s="217">
        <f>SUM(D$33:D37)/SUM($D$33:$D$64)</f>
        <v>0.60645995693745081</v>
      </c>
      <c r="F37" s="218">
        <f t="shared" si="4"/>
        <v>8.7563697468462709E-2</v>
      </c>
      <c r="G37" s="202">
        <v>77</v>
      </c>
      <c r="H37" s="16">
        <f t="shared" ca="1" si="1"/>
        <v>157.54416666674894</v>
      </c>
      <c r="I37" s="17" t="str">
        <f t="shared" ca="1" si="2"/>
        <v/>
      </c>
      <c r="J37" s="18">
        <f t="shared" si="3"/>
        <v>0.8</v>
      </c>
      <c r="L37" s="114">
        <f>RANK(O37,$O$4:$O$43,0)+COUNTIF($O$4:O37,O37)-1</f>
        <v>15</v>
      </c>
      <c r="M37" s="111" t="str">
        <f>'54 count'!Q87</f>
        <v>Spud System (Spud Wires)</v>
      </c>
      <c r="N37" s="111">
        <f>'54 count'!R87</f>
        <v>13</v>
      </c>
      <c r="O37" s="168">
        <f>'54 count'!S87</f>
        <v>29.09</v>
      </c>
    </row>
    <row r="38" spans="2:15" x14ac:dyDescent="0.2">
      <c r="B38" s="14">
        <f t="shared" si="0"/>
        <v>6</v>
      </c>
      <c r="C38" s="220" t="s">
        <v>91</v>
      </c>
      <c r="D38" s="221">
        <v>102.40527777779847</v>
      </c>
      <c r="E38" s="217">
        <f>SUM(D$33:D38)/SUM($D$33:$D$64)</f>
        <v>0.66337723259562731</v>
      </c>
      <c r="F38" s="218">
        <f t="shared" si="4"/>
        <v>5.6917275658176503E-2</v>
      </c>
      <c r="G38" s="202">
        <v>45</v>
      </c>
      <c r="H38" s="16">
        <f t="shared" ca="1" si="1"/>
        <v>102.40527777779847</v>
      </c>
      <c r="I38" s="17" t="str">
        <f t="shared" ca="1" si="2"/>
        <v/>
      </c>
      <c r="J38" s="18">
        <f t="shared" si="3"/>
        <v>0.8</v>
      </c>
      <c r="L38" s="198">
        <f>RANK(O38,$O$4:$O$43,0)+COUNTIF($O$4:O38,O38)-1</f>
        <v>18</v>
      </c>
      <c r="M38" s="189" t="str">
        <f>'54 count'!Q88</f>
        <v>Spud System (Walking Mechanisms (Carriage / Travel))</v>
      </c>
      <c r="N38" s="189">
        <f>'54 count'!R88</f>
        <v>21</v>
      </c>
      <c r="O38" s="199">
        <f>'54 count'!S88</f>
        <v>22.131388888936492</v>
      </c>
    </row>
    <row r="39" spans="2:15" x14ac:dyDescent="0.2">
      <c r="B39" s="14">
        <f t="shared" si="0"/>
        <v>7</v>
      </c>
      <c r="C39" s="220" t="s">
        <v>178</v>
      </c>
      <c r="D39" s="221">
        <v>81.909166666690723</v>
      </c>
      <c r="E39" s="217">
        <f>SUM(D$33:D39)/SUM($D$33:$D$64)</f>
        <v>0.70890268518231314</v>
      </c>
      <c r="F39" s="218">
        <f t="shared" si="4"/>
        <v>4.5525452586685833E-2</v>
      </c>
      <c r="G39" s="202">
        <v>27</v>
      </c>
      <c r="H39" s="16">
        <f t="shared" ca="1" si="1"/>
        <v>81.909166666690723</v>
      </c>
      <c r="I39" s="17" t="str">
        <f t="shared" ca="1" si="2"/>
        <v/>
      </c>
      <c r="J39" s="18">
        <f t="shared" si="3"/>
        <v>0.8</v>
      </c>
      <c r="L39" s="114">
        <f>RANK(O39,$O$4:$O$43,0)+COUNTIF($O$4:O39,O39)-1</f>
        <v>32</v>
      </c>
      <c r="M39" s="111" t="str">
        <f>'54 count'!Q89</f>
        <v>Tagline (Tagline Sheaves)</v>
      </c>
      <c r="N39" s="111">
        <f>'54 count'!R89</f>
        <v>2</v>
      </c>
      <c r="O39" s="168">
        <f>'54 count'!S89</f>
        <v>0.76</v>
      </c>
    </row>
    <row r="40" spans="2:15" x14ac:dyDescent="0.2">
      <c r="B40" s="14">
        <f t="shared" si="0"/>
        <v>8</v>
      </c>
      <c r="C40" s="220" t="s">
        <v>176</v>
      </c>
      <c r="D40" s="221">
        <v>78.281666666604565</v>
      </c>
      <c r="E40" s="217">
        <f>SUM(D$33:D40)/SUM($D$33:$D$64)</f>
        <v>0.75241195831091534</v>
      </c>
      <c r="F40" s="218">
        <f t="shared" si="4"/>
        <v>4.3509273128602199E-2</v>
      </c>
      <c r="G40" s="202">
        <v>18</v>
      </c>
      <c r="H40" s="16">
        <f t="shared" ca="1" si="1"/>
        <v>78.281666666604565</v>
      </c>
      <c r="I40" s="17" t="str">
        <f t="shared" ca="1" si="2"/>
        <v/>
      </c>
      <c r="J40" s="18">
        <f t="shared" si="3"/>
        <v>0.8</v>
      </c>
      <c r="L40" s="114">
        <f>RANK(O40,$O$4:$O$43,0)+COUNTIF($O$4:O40,O40)-1</f>
        <v>27</v>
      </c>
      <c r="M40" s="111" t="str">
        <f>'54 count'!Q90</f>
        <v>Tagline (Tagline Winch (motor, gearbox, etc.))</v>
      </c>
      <c r="N40" s="111">
        <f>'54 count'!R90</f>
        <v>9</v>
      </c>
      <c r="O40" s="168">
        <f>'54 count'!S90</f>
        <v>4.54</v>
      </c>
    </row>
    <row r="41" spans="2:15" x14ac:dyDescent="0.2">
      <c r="B41" s="14">
        <f t="shared" si="0"/>
        <v>9</v>
      </c>
      <c r="C41" s="220" t="s">
        <v>177</v>
      </c>
      <c r="D41" s="221">
        <v>72.570000000000007</v>
      </c>
      <c r="E41" s="217">
        <f>SUM(D$33:D41)/SUM($D$33:$D$64)</f>
        <v>0.79274666355409917</v>
      </c>
      <c r="F41" s="218">
        <f t="shared" si="4"/>
        <v>4.0334705243183833E-2</v>
      </c>
      <c r="G41" s="219">
        <v>11</v>
      </c>
      <c r="H41" s="16">
        <f t="shared" ca="1" si="1"/>
        <v>72.570000000000007</v>
      </c>
      <c r="I41" s="17" t="str">
        <f t="shared" ca="1" si="2"/>
        <v/>
      </c>
      <c r="J41" s="18">
        <f t="shared" si="3"/>
        <v>0.8</v>
      </c>
      <c r="L41" s="198">
        <f>RANK(O41,$O$4:$O$43,0)+COUNTIF($O$4:O41,O41)-1</f>
        <v>11</v>
      </c>
      <c r="M41" s="189" t="str">
        <f>'54 count'!Q91</f>
        <v>Tagline (Tagline Wire)</v>
      </c>
      <c r="N41" s="189">
        <f>'54 count'!R91</f>
        <v>42</v>
      </c>
      <c r="O41" s="199">
        <f>'54 count'!S91</f>
        <v>34.169999999999995</v>
      </c>
    </row>
    <row r="42" spans="2:15" x14ac:dyDescent="0.2">
      <c r="B42" s="14">
        <f t="shared" si="0"/>
        <v>10</v>
      </c>
      <c r="C42" s="220" t="s">
        <v>98</v>
      </c>
      <c r="D42" s="221">
        <v>39.804444444391407</v>
      </c>
      <c r="E42" s="217">
        <f>SUM(D$33:D42)/SUM($D$33:$D$64)</f>
        <v>0.81487013791035123</v>
      </c>
      <c r="F42" s="218">
        <f t="shared" si="4"/>
        <v>2.212347435625206E-2</v>
      </c>
      <c r="G42" s="219">
        <v>16</v>
      </c>
      <c r="H42" s="16">
        <f t="shared" ca="1" si="1"/>
        <v>39.804444444391407</v>
      </c>
      <c r="I42" s="17" t="str">
        <f t="shared" ca="1" si="2"/>
        <v/>
      </c>
      <c r="J42" s="18">
        <f t="shared" si="3"/>
        <v>0.8</v>
      </c>
      <c r="L42" s="114">
        <f>RANK(O42,$O$4:$O$43,0)+COUNTIF($O$4:O42,O42)-1</f>
        <v>4</v>
      </c>
      <c r="M42" s="111" t="str">
        <f>'54 count'!Q92</f>
        <v>Tugs and Scows (Scow Repair)</v>
      </c>
      <c r="N42" s="111">
        <f>'54 count'!R92</f>
        <v>117</v>
      </c>
      <c r="O42" s="168">
        <f>'54 count'!S92</f>
        <v>193.46305555508937</v>
      </c>
    </row>
    <row r="43" spans="2:15" x14ac:dyDescent="0.2">
      <c r="B43" s="14">
        <f t="shared" si="0"/>
        <v>11</v>
      </c>
      <c r="C43" s="205" t="s">
        <v>163</v>
      </c>
      <c r="D43" s="206">
        <v>34.169999999999995</v>
      </c>
      <c r="E43" s="217">
        <f>SUM(D$33:D43)/SUM($D$33:$D$64)</f>
        <v>0.83386196481071773</v>
      </c>
      <c r="F43" s="218">
        <f t="shared" si="4"/>
        <v>1.8991826900366493E-2</v>
      </c>
      <c r="G43" s="202">
        <v>42</v>
      </c>
      <c r="H43" s="16" t="str">
        <f t="shared" ca="1" si="1"/>
        <v/>
      </c>
      <c r="I43" s="17">
        <f t="shared" ca="1" si="2"/>
        <v>34.169999999999995</v>
      </c>
      <c r="J43" s="18">
        <f t="shared" si="3"/>
        <v>0.8</v>
      </c>
      <c r="L43" s="114">
        <f>RANK(O43,$O$4:$O$43,0)+COUNTIF($O$4:O43,O43)-1</f>
        <v>10</v>
      </c>
      <c r="M43" s="111" t="str">
        <f>'54 count'!Q93</f>
        <v>Tugs and Scows (Tug Repair)</v>
      </c>
      <c r="N43" s="111">
        <f>'54 count'!R93</f>
        <v>16</v>
      </c>
      <c r="O43" s="168">
        <f>'54 count'!S93</f>
        <v>39.804444444391407</v>
      </c>
    </row>
    <row r="44" spans="2:15" x14ac:dyDescent="0.2">
      <c r="B44" s="14">
        <f t="shared" si="0"/>
        <v>12</v>
      </c>
      <c r="C44" s="205" t="s">
        <v>94</v>
      </c>
      <c r="D44" s="206">
        <v>32.822500000146682</v>
      </c>
      <c r="E44" s="217">
        <f>SUM(D$33:D44)/SUM($D$33:$D$64)</f>
        <v>0.85210484565473477</v>
      </c>
      <c r="F44" s="218">
        <f t="shared" si="4"/>
        <v>1.824288084401704E-2</v>
      </c>
      <c r="G44" s="202">
        <v>41</v>
      </c>
      <c r="H44" s="16" t="str">
        <f t="shared" ca="1" si="1"/>
        <v/>
      </c>
      <c r="I44" s="17">
        <f t="shared" ca="1" si="2"/>
        <v>32.822500000146682</v>
      </c>
      <c r="J44" s="18">
        <f t="shared" si="3"/>
        <v>0.8</v>
      </c>
      <c r="L44" s="144"/>
      <c r="M44" s="113"/>
      <c r="N44" s="113"/>
      <c r="O44" s="169"/>
    </row>
    <row r="45" spans="2:15" x14ac:dyDescent="0.2">
      <c r="B45" s="14">
        <f t="shared" si="0"/>
        <v>13</v>
      </c>
      <c r="C45" s="205" t="s">
        <v>76</v>
      </c>
      <c r="D45" s="206">
        <v>32.130000000000003</v>
      </c>
      <c r="E45" s="217">
        <f>SUM(D$33:D45)/SUM($D$33:$D$64)</f>
        <v>0.86996283214313908</v>
      </c>
      <c r="F45" s="218">
        <f t="shared" si="4"/>
        <v>1.7857986488404309E-2</v>
      </c>
      <c r="G45" s="219">
        <v>12</v>
      </c>
      <c r="H45" s="16" t="str">
        <f t="shared" ca="1" si="1"/>
        <v/>
      </c>
      <c r="I45" s="17">
        <f t="shared" ca="1" si="2"/>
        <v>32.130000000000003</v>
      </c>
      <c r="J45" s="18">
        <f t="shared" si="3"/>
        <v>0.8</v>
      </c>
      <c r="L45" s="144"/>
      <c r="M45" s="113"/>
      <c r="N45" s="113"/>
      <c r="O45" s="169"/>
    </row>
    <row r="46" spans="2:15" x14ac:dyDescent="0.2">
      <c r="B46" s="14">
        <f t="shared" si="0"/>
        <v>14</v>
      </c>
      <c r="C46" s="205" t="s">
        <v>77</v>
      </c>
      <c r="D46" s="206">
        <v>31.34</v>
      </c>
      <c r="E46" s="217">
        <f>SUM(D$33:D46)/SUM($D$33:$D$64)</f>
        <v>0.88738173337396975</v>
      </c>
      <c r="F46" s="218">
        <f t="shared" si="4"/>
        <v>1.7418901230830675E-2</v>
      </c>
      <c r="G46" s="219">
        <v>10</v>
      </c>
      <c r="H46" s="16" t="str">
        <f t="shared" ca="1" si="1"/>
        <v/>
      </c>
      <c r="I46" s="17">
        <f t="shared" ca="1" si="2"/>
        <v>31.34</v>
      </c>
      <c r="J46" s="18">
        <f t="shared" si="3"/>
        <v>0.8</v>
      </c>
      <c r="L46" s="144"/>
      <c r="M46" s="113"/>
      <c r="N46" s="113"/>
      <c r="O46" s="169"/>
    </row>
    <row r="47" spans="2:15" x14ac:dyDescent="0.2">
      <c r="B47" s="14">
        <f t="shared" si="0"/>
        <v>15</v>
      </c>
      <c r="C47" s="205" t="s">
        <v>95</v>
      </c>
      <c r="D47" s="206">
        <v>29.09</v>
      </c>
      <c r="E47" s="217">
        <f>SUM(D$33:D47)/SUM($D$33:$D$64)</f>
        <v>0.9035500753269009</v>
      </c>
      <c r="F47" s="218">
        <f t="shared" si="4"/>
        <v>1.6168341952931153E-2</v>
      </c>
      <c r="G47" s="219">
        <v>13</v>
      </c>
      <c r="H47" s="16" t="str">
        <f t="shared" ca="1" si="1"/>
        <v/>
      </c>
      <c r="I47" s="17">
        <f t="shared" ca="1" si="2"/>
        <v>29.09</v>
      </c>
      <c r="J47" s="18">
        <f t="shared" si="3"/>
        <v>0.8</v>
      </c>
      <c r="L47" s="144"/>
      <c r="M47" s="113"/>
      <c r="N47" s="113"/>
      <c r="O47" s="169"/>
    </row>
    <row r="48" spans="2:15" x14ac:dyDescent="0.2">
      <c r="B48" s="14">
        <f t="shared" si="0"/>
        <v>16</v>
      </c>
      <c r="C48" s="205" t="s">
        <v>88</v>
      </c>
      <c r="D48" s="206">
        <v>27.48</v>
      </c>
      <c r="E48" s="217">
        <f>SUM(D$33:D48)/SUM($D$33:$D$64)</f>
        <v>0.91882357264097958</v>
      </c>
      <c r="F48" s="218">
        <f t="shared" si="4"/>
        <v>1.5273497314078677E-2</v>
      </c>
      <c r="G48" s="219">
        <v>10</v>
      </c>
      <c r="H48" s="16" t="str">
        <f t="shared" ca="1" si="1"/>
        <v/>
      </c>
      <c r="I48" s="17">
        <f t="shared" ca="1" si="2"/>
        <v>27.48</v>
      </c>
      <c r="J48" s="18">
        <f t="shared" si="3"/>
        <v>0.8</v>
      </c>
      <c r="L48" s="144"/>
      <c r="M48" s="113"/>
      <c r="N48" s="113"/>
      <c r="O48" s="169"/>
    </row>
    <row r="49" spans="2:15" x14ac:dyDescent="0.2">
      <c r="B49" s="14">
        <f t="shared" si="0"/>
        <v>17</v>
      </c>
      <c r="C49" s="205" t="s">
        <v>181</v>
      </c>
      <c r="D49" s="206">
        <v>24.79</v>
      </c>
      <c r="E49" s="217">
        <f>SUM(D$33:D49)/SUM($D$33:$D$64)</f>
        <v>0.932601956862814</v>
      </c>
      <c r="F49" s="218">
        <f t="shared" si="4"/>
        <v>1.3778384221834417E-2</v>
      </c>
      <c r="G49" s="202">
        <v>20</v>
      </c>
      <c r="H49" s="16" t="str">
        <f t="shared" ca="1" si="1"/>
        <v/>
      </c>
      <c r="I49" s="17">
        <f t="shared" ca="1" si="2"/>
        <v>24.79</v>
      </c>
      <c r="J49" s="18">
        <f t="shared" si="3"/>
        <v>0.8</v>
      </c>
      <c r="L49" s="144"/>
      <c r="M49" s="113"/>
      <c r="N49" s="113"/>
      <c r="O49" s="169"/>
    </row>
    <row r="50" spans="2:15" x14ac:dyDescent="0.2">
      <c r="B50" s="14">
        <f t="shared" si="0"/>
        <v>18</v>
      </c>
      <c r="C50" s="205" t="s">
        <v>174</v>
      </c>
      <c r="D50" s="206">
        <v>22.131388888936492</v>
      </c>
      <c r="E50" s="217">
        <f>SUM(D$33:D50)/SUM($D$33:$D$64)</f>
        <v>0.94490267406630757</v>
      </c>
      <c r="F50" s="218">
        <f t="shared" si="4"/>
        <v>1.2300717203493572E-2</v>
      </c>
      <c r="G50" s="202">
        <v>21</v>
      </c>
      <c r="H50" s="16" t="str">
        <f t="shared" ca="1" si="1"/>
        <v/>
      </c>
      <c r="I50" s="17">
        <f t="shared" ca="1" si="2"/>
        <v>22.131388888936492</v>
      </c>
      <c r="J50" s="18">
        <f t="shared" si="3"/>
        <v>0.8</v>
      </c>
      <c r="L50" s="144"/>
      <c r="M50" s="113"/>
      <c r="N50" s="113"/>
      <c r="O50" s="169"/>
    </row>
    <row r="51" spans="2:15" x14ac:dyDescent="0.2">
      <c r="B51" s="14">
        <f t="shared" si="0"/>
        <v>19</v>
      </c>
      <c r="C51" s="205" t="s">
        <v>185</v>
      </c>
      <c r="D51" s="206">
        <v>20.149999999999999</v>
      </c>
      <c r="E51" s="217">
        <f>SUM(D$33:D51)/SUM($D$33:$D$64)</f>
        <v>0.95610212715505172</v>
      </c>
      <c r="F51" s="218">
        <f t="shared" si="4"/>
        <v>1.1199453088744149E-2</v>
      </c>
      <c r="G51" s="219">
        <v>1</v>
      </c>
      <c r="H51" s="16" t="str">
        <f t="shared" ca="1" si="1"/>
        <v/>
      </c>
      <c r="I51" s="17">
        <f t="shared" ca="1" si="2"/>
        <v>20.149999999999999</v>
      </c>
      <c r="J51" s="18">
        <f t="shared" si="3"/>
        <v>0.8</v>
      </c>
      <c r="L51" s="144"/>
      <c r="M51" s="113"/>
      <c r="N51" s="113"/>
      <c r="O51" s="169"/>
    </row>
    <row r="52" spans="2:15" x14ac:dyDescent="0.2">
      <c r="B52" s="14">
        <f t="shared" si="0"/>
        <v>20</v>
      </c>
      <c r="C52" s="205" t="s">
        <v>186</v>
      </c>
      <c r="D52" s="206">
        <v>14.26</v>
      </c>
      <c r="E52" s="217">
        <f>SUM(D$33:D52)/SUM($D$33:$D$64)</f>
        <v>0.96402789395631672</v>
      </c>
      <c r="F52" s="218">
        <f t="shared" si="4"/>
        <v>7.9257668012649996E-3</v>
      </c>
      <c r="G52" s="219">
        <v>1</v>
      </c>
      <c r="H52" s="16" t="str">
        <f t="shared" ca="1" si="1"/>
        <v/>
      </c>
      <c r="I52" s="17">
        <f t="shared" ca="1" si="2"/>
        <v>14.26</v>
      </c>
      <c r="J52" s="18">
        <f t="shared" si="3"/>
        <v>0.8</v>
      </c>
      <c r="L52" s="144"/>
      <c r="M52" s="113"/>
      <c r="N52" s="113"/>
      <c r="O52" s="169"/>
    </row>
    <row r="53" spans="2:15" x14ac:dyDescent="0.2">
      <c r="B53" s="14">
        <f t="shared" si="0"/>
        <v>21</v>
      </c>
      <c r="C53" s="205" t="s">
        <v>75</v>
      </c>
      <c r="D53" s="206">
        <v>10.72</v>
      </c>
      <c r="E53" s="217">
        <f>SUM(D$33:D53)/SUM($D$33:$D$64)</f>
        <v>0.96998611416035319</v>
      </c>
      <c r="F53" s="218">
        <f t="shared" si="4"/>
        <v>5.9582202040364685E-3</v>
      </c>
      <c r="G53" s="219">
        <v>3</v>
      </c>
      <c r="H53" s="16" t="str">
        <f t="shared" ca="1" si="1"/>
        <v/>
      </c>
      <c r="I53" s="17">
        <f t="shared" ca="1" si="2"/>
        <v>10.72</v>
      </c>
      <c r="J53" s="18">
        <f t="shared" si="3"/>
        <v>0.8</v>
      </c>
      <c r="L53" s="144"/>
      <c r="M53" s="113"/>
      <c r="N53" s="113"/>
      <c r="O53" s="169"/>
    </row>
    <row r="54" spans="2:15" x14ac:dyDescent="0.2">
      <c r="B54" s="14">
        <f t="shared" si="0"/>
        <v>22</v>
      </c>
      <c r="C54" s="205" t="s">
        <v>173</v>
      </c>
      <c r="D54" s="206">
        <v>10.55</v>
      </c>
      <c r="E54" s="217">
        <f>SUM(D$33:D54)/SUM($D$33:$D$64)</f>
        <v>0.97584984766339289</v>
      </c>
      <c r="F54" s="218">
        <f t="shared" si="4"/>
        <v>5.8637335030397031E-3</v>
      </c>
      <c r="G54" s="219">
        <v>15</v>
      </c>
      <c r="H54" s="16" t="str">
        <f t="shared" ca="1" si="1"/>
        <v/>
      </c>
      <c r="I54" s="17">
        <f t="shared" ca="1" si="2"/>
        <v>10.55</v>
      </c>
      <c r="J54" s="18">
        <f t="shared" si="3"/>
        <v>0.8</v>
      </c>
      <c r="L54" s="144"/>
      <c r="M54" s="113"/>
      <c r="N54" s="113"/>
      <c r="O54" s="169"/>
    </row>
    <row r="55" spans="2:15" x14ac:dyDescent="0.2">
      <c r="B55" s="14">
        <f t="shared" si="0"/>
        <v>23</v>
      </c>
      <c r="C55" s="205" t="s">
        <v>80</v>
      </c>
      <c r="D55" s="206">
        <v>9.1399999999254931</v>
      </c>
      <c r="E55" s="217">
        <f>SUM(D$33:D55)/SUM($D$33:$D$64)</f>
        <v>0.98092989735224079</v>
      </c>
      <c r="F55" s="218">
        <f t="shared" si="4"/>
        <v>5.0800496888478985E-3</v>
      </c>
      <c r="G55" s="219">
        <v>15</v>
      </c>
      <c r="H55" s="16" t="str">
        <f t="shared" ca="1" si="1"/>
        <v/>
      </c>
      <c r="I55" s="17">
        <f t="shared" ca="1" si="2"/>
        <v>9.1399999999254931</v>
      </c>
      <c r="J55" s="18">
        <f t="shared" si="3"/>
        <v>0.8</v>
      </c>
      <c r="L55" s="144"/>
      <c r="M55" s="113"/>
      <c r="N55" s="113"/>
      <c r="O55" s="169"/>
    </row>
    <row r="56" spans="2:15" x14ac:dyDescent="0.2">
      <c r="B56" s="14">
        <f t="shared" si="0"/>
        <v>24</v>
      </c>
      <c r="C56" s="205" t="s">
        <v>27</v>
      </c>
      <c r="D56" s="206">
        <v>8.6808333333302272</v>
      </c>
      <c r="E56" s="217">
        <f>SUM(D$33:D56)/SUM($D$33:$D$64)</f>
        <v>0.98575474031441634</v>
      </c>
      <c r="F56" s="218">
        <f t="shared" si="4"/>
        <v>4.8248429621755573E-3</v>
      </c>
      <c r="G56" s="219">
        <v>9</v>
      </c>
      <c r="H56" s="16" t="str">
        <f t="shared" ref="H56:H64" ca="1" si="5">IF(OR(B56=1,OFFSET($E$32,B56-1,0,1,1)&lt;=$E$31),OFFSET($D$32,B56,0,1,1),"")</f>
        <v/>
      </c>
      <c r="I56" s="17">
        <f t="shared" ref="I56:I64" ca="1" si="6">IF(H56="",OFFSET($D$32,B56,0,1,1),"")</f>
        <v>8.6808333333302272</v>
      </c>
      <c r="J56" s="18">
        <f t="shared" si="3"/>
        <v>0.8</v>
      </c>
    </row>
    <row r="57" spans="2:15" x14ac:dyDescent="0.2">
      <c r="B57" s="14">
        <f t="shared" si="0"/>
        <v>25</v>
      </c>
      <c r="C57" s="205" t="s">
        <v>69</v>
      </c>
      <c r="D57" s="206">
        <v>7.59</v>
      </c>
      <c r="E57" s="217">
        <f>SUM(D$33:D57)/SUM($D$33:$D$64)</f>
        <v>0.98997329361186381</v>
      </c>
      <c r="F57" s="218">
        <f t="shared" si="4"/>
        <v>4.2185532974474693E-3</v>
      </c>
      <c r="G57" s="219">
        <v>2</v>
      </c>
      <c r="H57" s="16" t="str">
        <f t="shared" ca="1" si="5"/>
        <v/>
      </c>
      <c r="I57" s="17">
        <f t="shared" ca="1" si="6"/>
        <v>7.59</v>
      </c>
      <c r="J57" s="18">
        <f t="shared" si="3"/>
        <v>0.8</v>
      </c>
    </row>
    <row r="58" spans="2:15" x14ac:dyDescent="0.2">
      <c r="B58" s="14">
        <f t="shared" si="0"/>
        <v>26</v>
      </c>
      <c r="C58" s="205" t="s">
        <v>92</v>
      </c>
      <c r="D58" s="206">
        <v>6.7299999999999995</v>
      </c>
      <c r="E58" s="217">
        <f>SUM(D$33:D58)/SUM($D$33:$D$64)</f>
        <v>0.99371385536309198</v>
      </c>
      <c r="F58" s="218">
        <f t="shared" si="4"/>
        <v>3.7405617512281664E-3</v>
      </c>
      <c r="G58" s="219">
        <v>8</v>
      </c>
      <c r="H58" s="16" t="str">
        <f t="shared" ca="1" si="5"/>
        <v/>
      </c>
      <c r="I58" s="17">
        <f t="shared" ca="1" si="6"/>
        <v>6.7299999999999995</v>
      </c>
      <c r="J58" s="18">
        <f t="shared" si="3"/>
        <v>0.8</v>
      </c>
    </row>
    <row r="59" spans="2:15" x14ac:dyDescent="0.2">
      <c r="B59" s="14">
        <f t="shared" si="0"/>
        <v>27</v>
      </c>
      <c r="C59" s="205" t="s">
        <v>180</v>
      </c>
      <c r="D59" s="206">
        <v>4.54</v>
      </c>
      <c r="E59" s="217">
        <f>SUM(D$33:D59)/SUM($D$33:$D$64)</f>
        <v>0.99623720608383126</v>
      </c>
      <c r="F59" s="218">
        <f t="shared" si="4"/>
        <v>2.5233507207392813E-3</v>
      </c>
      <c r="G59" s="219">
        <v>9</v>
      </c>
      <c r="H59" s="16" t="str">
        <f t="shared" ca="1" si="5"/>
        <v/>
      </c>
      <c r="I59" s="17">
        <f t="shared" ca="1" si="6"/>
        <v>4.54</v>
      </c>
      <c r="J59" s="18">
        <f t="shared" si="3"/>
        <v>0.8</v>
      </c>
    </row>
    <row r="60" spans="2:15" x14ac:dyDescent="0.2">
      <c r="B60" s="14">
        <f t="shared" si="0"/>
        <v>28</v>
      </c>
      <c r="C60" s="205" t="s">
        <v>79</v>
      </c>
      <c r="D60" s="206">
        <v>2.16</v>
      </c>
      <c r="E60" s="217">
        <f>SUM(D$33:D60)/SUM($D$33:$D$64)</f>
        <v>0.99743774299061483</v>
      </c>
      <c r="F60" s="218">
        <f t="shared" si="4"/>
        <v>1.2005369067835669E-3</v>
      </c>
      <c r="G60" s="219">
        <v>2</v>
      </c>
      <c r="H60" s="16" t="str">
        <f t="shared" ca="1" si="5"/>
        <v/>
      </c>
      <c r="I60" s="17">
        <f t="shared" ca="1" si="6"/>
        <v>2.16</v>
      </c>
      <c r="J60" s="18">
        <f t="shared" si="3"/>
        <v>0.8</v>
      </c>
    </row>
    <row r="61" spans="2:15" x14ac:dyDescent="0.2">
      <c r="B61" s="14">
        <f t="shared" si="0"/>
        <v>29</v>
      </c>
      <c r="C61" s="205" t="s">
        <v>84</v>
      </c>
      <c r="D61" s="206">
        <v>1.39</v>
      </c>
      <c r="E61" s="15">
        <f>SUM(D$33:D61)/SUM($D$33:$D$64)</f>
        <v>0.99821031072229494</v>
      </c>
      <c r="F61" s="218">
        <f t="shared" si="4"/>
        <v>7.7256773168010717E-4</v>
      </c>
      <c r="G61" s="35">
        <v>1</v>
      </c>
      <c r="H61" s="16" t="str">
        <f t="shared" ca="1" si="5"/>
        <v/>
      </c>
      <c r="I61" s="17">
        <f t="shared" ca="1" si="6"/>
        <v>1.39</v>
      </c>
      <c r="J61" s="18">
        <f t="shared" si="3"/>
        <v>0.8</v>
      </c>
    </row>
    <row r="62" spans="2:15" x14ac:dyDescent="0.2">
      <c r="B62" s="14">
        <f t="shared" si="0"/>
        <v>30</v>
      </c>
      <c r="C62" s="205" t="s">
        <v>74</v>
      </c>
      <c r="D62" s="206">
        <v>1.28</v>
      </c>
      <c r="E62" s="15">
        <f>SUM(D$33:D62)/SUM($D$33:$D$64)</f>
        <v>0.99892174000038891</v>
      </c>
      <c r="F62" s="218">
        <f t="shared" si="4"/>
        <v>7.1142927809397793E-4</v>
      </c>
      <c r="G62" s="35">
        <v>1</v>
      </c>
      <c r="H62" s="16" t="str">
        <f t="shared" ca="1" si="5"/>
        <v/>
      </c>
      <c r="I62" s="17">
        <f t="shared" ca="1" si="6"/>
        <v>1.28</v>
      </c>
      <c r="J62" s="18">
        <f t="shared" si="3"/>
        <v>0.8</v>
      </c>
    </row>
    <row r="63" spans="2:15" x14ac:dyDescent="0.2">
      <c r="B63" s="14">
        <f t="shared" si="0"/>
        <v>31</v>
      </c>
      <c r="C63" s="205" t="s">
        <v>182</v>
      </c>
      <c r="D63" s="206">
        <v>1.1800000000000002</v>
      </c>
      <c r="E63" s="15">
        <f>SUM(D$33:D63)/SUM($D$33:$D$64)</f>
        <v>0.99957758886613179</v>
      </c>
      <c r="F63" s="218">
        <f t="shared" si="4"/>
        <v>6.558488657428807E-4</v>
      </c>
      <c r="G63" s="35">
        <v>4</v>
      </c>
      <c r="H63" s="16" t="str">
        <f t="shared" ca="1" si="5"/>
        <v/>
      </c>
      <c r="I63" s="17">
        <f t="shared" ca="1" si="6"/>
        <v>1.1800000000000002</v>
      </c>
      <c r="J63" s="18">
        <f t="shared" si="3"/>
        <v>0.8</v>
      </c>
    </row>
    <row r="64" spans="2:15" x14ac:dyDescent="0.2">
      <c r="B64" s="14">
        <f t="shared" si="0"/>
        <v>32</v>
      </c>
      <c r="C64" s="31" t="s">
        <v>130</v>
      </c>
      <c r="D64" s="137">
        <v>0.76</v>
      </c>
      <c r="E64" s="15">
        <f>SUM(D$33:D64)/SUM($D$33:$D$64)</f>
        <v>1</v>
      </c>
      <c r="F64" s="218">
        <f t="shared" si="4"/>
        <v>4.2241113386820572E-4</v>
      </c>
      <c r="G64" s="35">
        <v>2</v>
      </c>
      <c r="H64" s="16" t="str">
        <f t="shared" ca="1" si="5"/>
        <v/>
      </c>
      <c r="I64" s="17">
        <f t="shared" ca="1" si="6"/>
        <v>0.76</v>
      </c>
      <c r="J64" s="18">
        <f t="shared" si="3"/>
        <v>0.8</v>
      </c>
    </row>
    <row r="65" spans="2:10" x14ac:dyDescent="0.2">
      <c r="B65" s="19" t="s">
        <v>12</v>
      </c>
      <c r="C65" s="1"/>
      <c r="D65" s="1"/>
      <c r="E65" s="1"/>
      <c r="F65" s="1"/>
      <c r="G65" s="1"/>
      <c r="H65" s="1"/>
      <c r="I65" s="1"/>
      <c r="J65" s="1"/>
    </row>
    <row r="70" spans="2:10" x14ac:dyDescent="0.2">
      <c r="B70" s="114" t="s">
        <v>3</v>
      </c>
      <c r="C70" s="115" t="s">
        <v>136</v>
      </c>
      <c r="D70" s="115"/>
      <c r="E70" s="116" t="s">
        <v>137</v>
      </c>
    </row>
    <row r="71" spans="2:10" x14ac:dyDescent="0.2">
      <c r="B71" s="32"/>
      <c r="C71" s="32"/>
      <c r="D71" s="32"/>
      <c r="E71" s="32"/>
    </row>
    <row r="72" spans="2:10" x14ac:dyDescent="0.2">
      <c r="B72" s="114">
        <v>1</v>
      </c>
      <c r="C72" s="32" t="str">
        <f>VLOOKUP(B72,$L$4:$O$43,2,0)</f>
        <v>Main Hoist (Holder)</v>
      </c>
      <c r="D72" s="166">
        <f>VLOOKUP(B72,$L$4:$O$43,4,0)</f>
        <v>283.88305555563187</v>
      </c>
      <c r="E72" s="114">
        <f>VLOOKUP(B72,$L$4:$O$43,3,0)</f>
        <v>48</v>
      </c>
    </row>
    <row r="73" spans="2:10" x14ac:dyDescent="0.2">
      <c r="B73" s="114">
        <v>2</v>
      </c>
      <c r="C73" s="32" t="str">
        <f t="shared" ref="C73:C111" si="7">VLOOKUP(B73,$L$4:$O$43,2,0)</f>
        <v>Buckets (Weld / Repair Bucket)</v>
      </c>
      <c r="D73" s="166">
        <f t="shared" ref="D73:D111" si="8">VLOOKUP(B73,$L$4:$O$43,4,0)</f>
        <v>247.21944444445427</v>
      </c>
      <c r="E73" s="114">
        <f t="shared" ref="E73:E111" si="9">VLOOKUP(B73,$L$4:$O$43,3,0)</f>
        <v>213</v>
      </c>
    </row>
    <row r="74" spans="2:10" x14ac:dyDescent="0.2">
      <c r="B74" s="114">
        <v>3</v>
      </c>
      <c r="C74" s="32" t="str">
        <f t="shared" si="7"/>
        <v>Spud System (Spud Structure)</v>
      </c>
      <c r="D74" s="166">
        <f t="shared" si="8"/>
        <v>209.03000000000003</v>
      </c>
      <c r="E74" s="114">
        <f t="shared" si="9"/>
        <v>6</v>
      </c>
    </row>
    <row r="75" spans="2:10" x14ac:dyDescent="0.2">
      <c r="B75" s="114">
        <v>4</v>
      </c>
      <c r="C75" s="32" t="str">
        <f t="shared" si="7"/>
        <v>Tugs and Scows (Scow Repair)</v>
      </c>
      <c r="D75" s="166">
        <f t="shared" si="8"/>
        <v>193.46305555508937</v>
      </c>
      <c r="E75" s="114">
        <f t="shared" si="9"/>
        <v>117</v>
      </c>
    </row>
    <row r="76" spans="2:10" x14ac:dyDescent="0.2">
      <c r="B76" s="114">
        <v>5</v>
      </c>
      <c r="C76" s="32" t="str">
        <f t="shared" si="7"/>
        <v>Main Hoist (Closer Wire)</v>
      </c>
      <c r="D76" s="166">
        <f t="shared" si="8"/>
        <v>157.54416666674894</v>
      </c>
      <c r="E76" s="114">
        <f t="shared" si="9"/>
        <v>77</v>
      </c>
    </row>
    <row r="77" spans="2:10" x14ac:dyDescent="0.2">
      <c r="B77" s="114">
        <v>6</v>
      </c>
      <c r="C77" s="32" t="str">
        <f t="shared" si="7"/>
        <v>Main Hoist (Holder Wire)</v>
      </c>
      <c r="D77" s="166">
        <f t="shared" si="8"/>
        <v>102.40527777779847</v>
      </c>
      <c r="E77" s="114">
        <f t="shared" si="9"/>
        <v>45</v>
      </c>
    </row>
    <row r="78" spans="2:10" x14ac:dyDescent="0.2">
      <c r="B78" s="114">
        <v>7</v>
      </c>
      <c r="C78" s="32" t="str">
        <f t="shared" si="7"/>
        <v>Electrical/Electronics (PLC)</v>
      </c>
      <c r="D78" s="166">
        <f t="shared" si="8"/>
        <v>81.909166666690723</v>
      </c>
      <c r="E78" s="114">
        <f t="shared" si="9"/>
        <v>27</v>
      </c>
    </row>
    <row r="79" spans="2:10" x14ac:dyDescent="0.2">
      <c r="B79" s="114">
        <v>8</v>
      </c>
      <c r="C79" s="32" t="str">
        <f t="shared" si="7"/>
        <v>Main / Aux. Generators (Main Generator Engine)</v>
      </c>
      <c r="D79" s="166">
        <f t="shared" si="8"/>
        <v>78.281666666604565</v>
      </c>
      <c r="E79" s="114">
        <f t="shared" si="9"/>
        <v>18</v>
      </c>
    </row>
    <row r="80" spans="2:10" x14ac:dyDescent="0.2">
      <c r="B80" s="114">
        <v>9</v>
      </c>
      <c r="C80" s="32" t="str">
        <f t="shared" si="7"/>
        <v>Main / Aux. Generators (Main Generator)</v>
      </c>
      <c r="D80" s="166">
        <f t="shared" si="8"/>
        <v>72.570000000000007</v>
      </c>
      <c r="E80" s="114">
        <f t="shared" si="9"/>
        <v>11</v>
      </c>
    </row>
    <row r="81" spans="2:5" x14ac:dyDescent="0.2">
      <c r="B81" s="114">
        <v>10</v>
      </c>
      <c r="C81" s="32" t="str">
        <f t="shared" si="7"/>
        <v>Tugs and Scows (Tug Repair)</v>
      </c>
      <c r="D81" s="166">
        <f t="shared" si="8"/>
        <v>39.804444444391407</v>
      </c>
      <c r="E81" s="114">
        <f t="shared" si="9"/>
        <v>16</v>
      </c>
    </row>
    <row r="82" spans="2:5" x14ac:dyDescent="0.2">
      <c r="B82" s="114">
        <v>11</v>
      </c>
      <c r="C82" s="32" t="str">
        <f t="shared" si="7"/>
        <v>Tagline (Tagline Wire)</v>
      </c>
      <c r="D82" s="166">
        <f t="shared" si="8"/>
        <v>34.169999999999995</v>
      </c>
      <c r="E82" s="114">
        <f t="shared" si="9"/>
        <v>42</v>
      </c>
    </row>
    <row r="83" spans="2:5" x14ac:dyDescent="0.2">
      <c r="B83" s="114">
        <v>12</v>
      </c>
      <c r="C83" s="32" t="str">
        <f t="shared" si="7"/>
        <v>Spud System (Spud Winch)</v>
      </c>
      <c r="D83" s="166">
        <f t="shared" si="8"/>
        <v>32.822500000146682</v>
      </c>
      <c r="E83" s="114">
        <f t="shared" si="9"/>
        <v>41</v>
      </c>
    </row>
    <row r="84" spans="2:5" x14ac:dyDescent="0.2">
      <c r="B84" s="114">
        <v>13</v>
      </c>
      <c r="C84" s="32" t="str">
        <f t="shared" si="7"/>
        <v>Crane Boom (Boom Winch)</v>
      </c>
      <c r="D84" s="166">
        <f t="shared" si="8"/>
        <v>32.130000000000003</v>
      </c>
      <c r="E84" s="114">
        <f t="shared" si="9"/>
        <v>12</v>
      </c>
    </row>
    <row r="85" spans="2:5" x14ac:dyDescent="0.2">
      <c r="B85" s="114">
        <v>14</v>
      </c>
      <c r="C85" s="32" t="str">
        <f t="shared" si="7"/>
        <v>Crane Boom (Boom Wires)</v>
      </c>
      <c r="D85" s="166">
        <f t="shared" si="8"/>
        <v>31.34</v>
      </c>
      <c r="E85" s="114">
        <f t="shared" si="9"/>
        <v>10</v>
      </c>
    </row>
    <row r="86" spans="2:5" x14ac:dyDescent="0.2">
      <c r="B86" s="114">
        <v>15</v>
      </c>
      <c r="C86" s="32" t="str">
        <f t="shared" si="7"/>
        <v>Spud System (Spud Wires)</v>
      </c>
      <c r="D86" s="166">
        <f t="shared" si="8"/>
        <v>29.09</v>
      </c>
      <c r="E86" s="114">
        <f t="shared" si="9"/>
        <v>13</v>
      </c>
    </row>
    <row r="87" spans="2:5" x14ac:dyDescent="0.2">
      <c r="B87" s="114">
        <v>16</v>
      </c>
      <c r="C87" s="32" t="str">
        <f t="shared" si="7"/>
        <v>Main Hoist (Closer)</v>
      </c>
      <c r="D87" s="166">
        <f t="shared" si="8"/>
        <v>27.48</v>
      </c>
      <c r="E87" s="114">
        <f t="shared" si="9"/>
        <v>10</v>
      </c>
    </row>
    <row r="88" spans="2:5" x14ac:dyDescent="0.2">
      <c r="B88" s="114">
        <v>17</v>
      </c>
      <c r="C88" s="32" t="str">
        <f t="shared" si="7"/>
        <v>Electrical/Electronics (MCC / Switch Gear)</v>
      </c>
      <c r="D88" s="166">
        <f t="shared" si="8"/>
        <v>24.79</v>
      </c>
      <c r="E88" s="114">
        <f t="shared" si="9"/>
        <v>20</v>
      </c>
    </row>
    <row r="89" spans="2:5" x14ac:dyDescent="0.2">
      <c r="B89" s="114">
        <v>18</v>
      </c>
      <c r="C89" s="32" t="str">
        <f t="shared" si="7"/>
        <v>Spud System (Walking Mechanisms (Carriage / Travel))</v>
      </c>
      <c r="D89" s="166">
        <f t="shared" si="8"/>
        <v>22.131388888936492</v>
      </c>
      <c r="E89" s="114">
        <f t="shared" si="9"/>
        <v>21</v>
      </c>
    </row>
    <row r="90" spans="2:5" x14ac:dyDescent="0.2">
      <c r="B90" s="114">
        <v>19</v>
      </c>
      <c r="C90" s="32" t="str">
        <f t="shared" si="7"/>
        <v>Electrical/Electronics (Transformers)</v>
      </c>
      <c r="D90" s="166">
        <f t="shared" si="8"/>
        <v>20.149999999999999</v>
      </c>
      <c r="E90" s="114">
        <f t="shared" si="9"/>
        <v>1</v>
      </c>
    </row>
    <row r="91" spans="2:5" x14ac:dyDescent="0.2">
      <c r="B91" s="114">
        <v>20</v>
      </c>
      <c r="C91" s="32" t="str">
        <f t="shared" si="7"/>
        <v>Main / Aux. Generators (Auxiliary Generator)</v>
      </c>
      <c r="D91" s="166">
        <f t="shared" si="8"/>
        <v>14.26</v>
      </c>
      <c r="E91" s="114">
        <f t="shared" si="9"/>
        <v>1</v>
      </c>
    </row>
    <row r="92" spans="2:5" x14ac:dyDescent="0.2">
      <c r="B92" s="114">
        <v>21</v>
      </c>
      <c r="C92" s="32" t="str">
        <f t="shared" si="7"/>
        <v>Crane Boom (Boom / Gantry Structure)</v>
      </c>
      <c r="D92" s="166">
        <f t="shared" si="8"/>
        <v>10.72</v>
      </c>
      <c r="E92" s="114">
        <f t="shared" si="9"/>
        <v>3</v>
      </c>
    </row>
    <row r="93" spans="2:5" x14ac:dyDescent="0.2">
      <c r="B93" s="114">
        <v>22</v>
      </c>
      <c r="C93" s="32" t="str">
        <f t="shared" si="7"/>
        <v>Crane Swing (Drive (motor, gear box, etc.))</v>
      </c>
      <c r="D93" s="166">
        <f t="shared" si="8"/>
        <v>10.55</v>
      </c>
      <c r="E93" s="114">
        <f t="shared" si="9"/>
        <v>15</v>
      </c>
    </row>
    <row r="94" spans="2:5" x14ac:dyDescent="0.2">
      <c r="B94" s="114">
        <v>23</v>
      </c>
      <c r="C94" s="32" t="str">
        <f t="shared" si="7"/>
        <v>Deck Winch (Winch)</v>
      </c>
      <c r="D94" s="166">
        <f t="shared" si="8"/>
        <v>9.1399999999254931</v>
      </c>
      <c r="E94" s="114">
        <f t="shared" si="9"/>
        <v>15</v>
      </c>
    </row>
    <row r="95" spans="2:5" x14ac:dyDescent="0.2">
      <c r="B95" s="114">
        <v>24</v>
      </c>
      <c r="C95" s="32" t="str">
        <f t="shared" si="7"/>
        <v>Auxiliary Systems (Compressed Air)</v>
      </c>
      <c r="D95" s="166">
        <f t="shared" si="8"/>
        <v>8.6808333333302272</v>
      </c>
      <c r="E95" s="114">
        <f t="shared" si="9"/>
        <v>9</v>
      </c>
    </row>
    <row r="96" spans="2:5" x14ac:dyDescent="0.2">
      <c r="B96" s="114">
        <v>25</v>
      </c>
      <c r="C96" s="32" t="str">
        <f t="shared" si="7"/>
        <v>Auxiliary Systems (Deck Crane)</v>
      </c>
      <c r="D96" s="166">
        <f t="shared" si="8"/>
        <v>7.59</v>
      </c>
      <c r="E96" s="114">
        <f t="shared" si="9"/>
        <v>2</v>
      </c>
    </row>
    <row r="97" spans="2:5" x14ac:dyDescent="0.2">
      <c r="B97" s="114">
        <v>26</v>
      </c>
      <c r="C97" s="32" t="str">
        <f t="shared" si="7"/>
        <v>Spud System (Spud Sheaves)</v>
      </c>
      <c r="D97" s="166">
        <f t="shared" si="8"/>
        <v>6.7299999999999995</v>
      </c>
      <c r="E97" s="114">
        <f t="shared" si="9"/>
        <v>8</v>
      </c>
    </row>
    <row r="98" spans="2:5" x14ac:dyDescent="0.2">
      <c r="B98" s="114">
        <v>27</v>
      </c>
      <c r="C98" s="32" t="str">
        <f t="shared" si="7"/>
        <v>Tagline (Tagline Winch (motor, gearbox, etc.))</v>
      </c>
      <c r="D98" s="166">
        <f t="shared" si="8"/>
        <v>4.54</v>
      </c>
      <c r="E98" s="114">
        <f t="shared" si="9"/>
        <v>9</v>
      </c>
    </row>
    <row r="99" spans="2:5" x14ac:dyDescent="0.2">
      <c r="B99" s="114">
        <v>28</v>
      </c>
      <c r="C99" s="32" t="str">
        <f t="shared" si="7"/>
        <v>Deck Winch (Fairleads)</v>
      </c>
      <c r="D99" s="166">
        <f t="shared" si="8"/>
        <v>2.16</v>
      </c>
      <c r="E99" s="114">
        <f t="shared" si="9"/>
        <v>2</v>
      </c>
    </row>
    <row r="100" spans="2:5" x14ac:dyDescent="0.2">
      <c r="B100" s="114">
        <v>29</v>
      </c>
      <c r="C100" s="32" t="str">
        <f t="shared" si="7"/>
        <v>Hull (Hull / House Repair)</v>
      </c>
      <c r="D100" s="166">
        <f t="shared" si="8"/>
        <v>1.39</v>
      </c>
      <c r="E100" s="114">
        <f t="shared" si="9"/>
        <v>1</v>
      </c>
    </row>
    <row r="101" spans="2:5" x14ac:dyDescent="0.2">
      <c r="B101" s="114">
        <v>30</v>
      </c>
      <c r="C101" s="32" t="str">
        <f t="shared" si="7"/>
        <v>Crane Boom (Boom / Gantry Sheaves)</v>
      </c>
      <c r="D101" s="166">
        <f t="shared" si="8"/>
        <v>1.28</v>
      </c>
      <c r="E101" s="114">
        <f t="shared" si="9"/>
        <v>1</v>
      </c>
    </row>
    <row r="102" spans="2:5" x14ac:dyDescent="0.2">
      <c r="B102" s="114">
        <v>31</v>
      </c>
      <c r="C102" s="32" t="str">
        <f t="shared" si="7"/>
        <v>Crane Swing (Swing Circle (rollers, etc.))</v>
      </c>
      <c r="D102" s="166">
        <f t="shared" si="8"/>
        <v>1.1800000000000002</v>
      </c>
      <c r="E102" s="114">
        <f t="shared" si="9"/>
        <v>4</v>
      </c>
    </row>
    <row r="103" spans="2:5" x14ac:dyDescent="0.2">
      <c r="B103" s="114">
        <v>32</v>
      </c>
      <c r="C103" s="32" t="str">
        <f t="shared" si="7"/>
        <v>Tagline (Tagline Sheaves)</v>
      </c>
      <c r="D103" s="166">
        <f t="shared" si="8"/>
        <v>0.76</v>
      </c>
      <c r="E103" s="114">
        <f t="shared" si="9"/>
        <v>2</v>
      </c>
    </row>
    <row r="104" spans="2:5" x14ac:dyDescent="0.2">
      <c r="B104" s="114">
        <v>33</v>
      </c>
      <c r="C104" s="32" t="str">
        <f t="shared" si="7"/>
        <v>Auxiliary Systems (Fire Main)</v>
      </c>
      <c r="D104" s="166">
        <f t="shared" si="8"/>
        <v>0</v>
      </c>
      <c r="E104" s="114">
        <f t="shared" si="9"/>
        <v>0</v>
      </c>
    </row>
    <row r="105" spans="2:5" x14ac:dyDescent="0.2">
      <c r="B105" s="114">
        <v>34</v>
      </c>
      <c r="C105" s="32" t="str">
        <f t="shared" si="7"/>
        <v>Auxiliary Systems (Fuel)</v>
      </c>
      <c r="D105" s="166">
        <f t="shared" si="8"/>
        <v>0</v>
      </c>
      <c r="E105" s="114">
        <f t="shared" si="9"/>
        <v>0</v>
      </c>
    </row>
    <row r="106" spans="2:5" x14ac:dyDescent="0.2">
      <c r="B106" s="114">
        <v>35</v>
      </c>
      <c r="C106" s="32" t="str">
        <f t="shared" si="7"/>
        <v>Auxiliary Systems (Heating, Ventilation, A/C)</v>
      </c>
      <c r="D106" s="166">
        <f t="shared" si="8"/>
        <v>0</v>
      </c>
      <c r="E106" s="114">
        <f t="shared" si="9"/>
        <v>0</v>
      </c>
    </row>
    <row r="107" spans="2:5" x14ac:dyDescent="0.2">
      <c r="B107" s="114">
        <v>36</v>
      </c>
      <c r="C107" s="32" t="str">
        <f t="shared" si="7"/>
        <v>Auxiliary Systems (Potable Water)</v>
      </c>
      <c r="D107" s="166">
        <f t="shared" si="8"/>
        <v>0</v>
      </c>
      <c r="E107" s="114">
        <f t="shared" si="9"/>
        <v>0</v>
      </c>
    </row>
    <row r="108" spans="2:5" x14ac:dyDescent="0.2">
      <c r="B108" s="114">
        <v>37</v>
      </c>
      <c r="C108" s="32" t="str">
        <f t="shared" si="7"/>
        <v>Auxiliary Systems (Sanitary System)</v>
      </c>
      <c r="D108" s="166">
        <f t="shared" si="8"/>
        <v>0</v>
      </c>
      <c r="E108" s="114">
        <f t="shared" si="9"/>
        <v>0</v>
      </c>
    </row>
    <row r="109" spans="2:5" x14ac:dyDescent="0.2">
      <c r="B109" s="114">
        <v>38</v>
      </c>
      <c r="C109" s="32" t="str">
        <f t="shared" si="7"/>
        <v>Crane Boom (Penant Wire)</v>
      </c>
      <c r="D109" s="166">
        <f t="shared" si="8"/>
        <v>0</v>
      </c>
      <c r="E109" s="114">
        <f t="shared" si="9"/>
        <v>0</v>
      </c>
    </row>
    <row r="110" spans="2:5" x14ac:dyDescent="0.2">
      <c r="B110" s="114">
        <v>39</v>
      </c>
      <c r="C110" s="32" t="str">
        <f t="shared" si="7"/>
        <v>Electrical/Electronics (Navigation Lights)</v>
      </c>
      <c r="D110" s="166">
        <f t="shared" si="8"/>
        <v>0</v>
      </c>
      <c r="E110" s="114">
        <f t="shared" si="9"/>
        <v>0</v>
      </c>
    </row>
    <row r="111" spans="2:5" x14ac:dyDescent="0.2">
      <c r="B111" s="114">
        <v>40</v>
      </c>
      <c r="C111" s="32" t="str">
        <f t="shared" si="7"/>
        <v>Hull (Deck Fittings (cleats, timbers, etc.))</v>
      </c>
      <c r="D111" s="166">
        <f t="shared" si="8"/>
        <v>0</v>
      </c>
      <c r="E111" s="114">
        <f t="shared" si="9"/>
        <v>0</v>
      </c>
    </row>
  </sheetData>
  <mergeCells count="1">
    <mergeCell ref="M3:O3"/>
  </mergeCells>
  <pageMargins left="0.75" right="0.75" top="0.5" bottom="0.5" header="0.5" footer="0.25"/>
  <pageSetup scale="88"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15"/>
  <sheetViews>
    <sheetView showGridLines="0" topLeftCell="A18" zoomScaleNormal="100" workbookViewId="0">
      <selection activeCell="B28" sqref="B28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7109375" style="14" bestFit="1" customWidth="1"/>
    <col min="7" max="7" width="7.7109375" style="2" bestFit="1" customWidth="1"/>
    <col min="8" max="8" width="10.140625" style="2" bestFit="1" customWidth="1"/>
    <col min="9" max="9" width="13.140625" style="2" bestFit="1" customWidth="1"/>
    <col min="10" max="10" width="22.7109375" style="2" bestFit="1" customWidth="1"/>
    <col min="11" max="11" width="22.7109375" style="2" customWidth="1"/>
    <col min="13" max="14" width="1.7109375" style="2" bestFit="1" customWidth="1"/>
    <col min="15" max="15" width="20.85546875" style="2" bestFit="1" customWidth="1"/>
    <col min="16" max="16" width="22.5703125" style="2" bestFit="1" customWidth="1"/>
    <col min="17" max="17" width="43.140625" style="2" bestFit="1" customWidth="1"/>
    <col min="18" max="19" width="8.42578125" style="2" bestFit="1" customWidth="1"/>
    <col min="20" max="20" width="2.85546875" style="2" customWidth="1"/>
    <col min="21" max="21" width="10" style="2" bestFit="1" customWidth="1"/>
    <col min="22" max="22" width="8.140625" style="2" bestFit="1" customWidth="1"/>
    <col min="23" max="23" width="3.42578125" style="2" customWidth="1"/>
    <col min="24" max="24" width="8" style="2" bestFit="1" customWidth="1"/>
    <col min="25" max="25" width="8.140625" style="2" bestFit="1" customWidth="1"/>
    <col min="26" max="26" width="4" style="2" customWidth="1"/>
    <col min="27" max="27" width="39" style="2" bestFit="1" customWidth="1"/>
    <col min="28" max="28" width="8" style="2" bestFit="1" customWidth="1"/>
    <col min="29" max="29" width="8.140625" style="162" bestFit="1" customWidth="1"/>
    <col min="30" max="16384" width="9.140625" style="2"/>
  </cols>
  <sheetData>
    <row r="1" spans="1:29" s="22" customFormat="1" ht="30" customHeight="1" x14ac:dyDescent="0.2">
      <c r="A1" s="27" t="s">
        <v>2</v>
      </c>
      <c r="B1" s="20"/>
      <c r="C1" s="21"/>
      <c r="D1" s="21"/>
      <c r="E1" s="21"/>
      <c r="F1" s="41"/>
      <c r="M1" s="34"/>
      <c r="N1" s="34"/>
      <c r="O1" s="245" t="s">
        <v>184</v>
      </c>
      <c r="P1" s="245"/>
      <c r="Q1" s="245"/>
      <c r="R1" s="246" t="s">
        <v>122</v>
      </c>
      <c r="S1" s="246"/>
      <c r="T1" s="104"/>
      <c r="U1" s="242" t="s">
        <v>123</v>
      </c>
      <c r="V1" s="242"/>
      <c r="W1" s="152"/>
      <c r="X1" s="242" t="s">
        <v>124</v>
      </c>
      <c r="Y1" s="242"/>
      <c r="Z1" s="71"/>
      <c r="AA1" s="58"/>
      <c r="AB1" s="243"/>
      <c r="AC1" s="243"/>
    </row>
    <row r="2" spans="1:29" ht="15.75" x14ac:dyDescent="0.25">
      <c r="A2" s="3"/>
      <c r="C2" s="4"/>
      <c r="D2" s="4"/>
      <c r="E2" s="4"/>
      <c r="H2" s="30"/>
      <c r="M2" s="72"/>
      <c r="N2" s="72"/>
      <c r="O2" s="151" t="s">
        <v>15</v>
      </c>
      <c r="P2" s="151" t="s">
        <v>16</v>
      </c>
      <c r="Q2" s="151" t="s">
        <v>30</v>
      </c>
      <c r="R2" s="74" t="s">
        <v>14</v>
      </c>
      <c r="S2" s="75" t="s">
        <v>13</v>
      </c>
      <c r="T2" s="58"/>
      <c r="U2" s="74" t="s">
        <v>14</v>
      </c>
      <c r="V2" s="75" t="s">
        <v>13</v>
      </c>
      <c r="W2" s="76"/>
      <c r="X2" s="74" t="s">
        <v>14</v>
      </c>
      <c r="Y2" s="75" t="s">
        <v>13</v>
      </c>
      <c r="Z2" s="43"/>
      <c r="AA2" s="77" t="s">
        <v>125</v>
      </c>
      <c r="AB2" s="78" t="s">
        <v>14</v>
      </c>
      <c r="AC2" s="160" t="s">
        <v>13</v>
      </c>
    </row>
    <row r="3" spans="1:29" ht="15.75" x14ac:dyDescent="0.25">
      <c r="A3" s="5" t="s">
        <v>0</v>
      </c>
      <c r="C3" s="6"/>
      <c r="D3" s="7"/>
      <c r="E3" s="7"/>
      <c r="H3" s="8"/>
      <c r="M3" s="72" t="s">
        <v>25</v>
      </c>
      <c r="N3" s="72" t="s">
        <v>26</v>
      </c>
      <c r="O3" s="72" t="s">
        <v>17</v>
      </c>
      <c r="P3" s="72" t="s">
        <v>18</v>
      </c>
      <c r="Q3" s="80" t="str">
        <f t="shared" ref="Q3:Q42" si="0">O3&amp;" "&amp;M3&amp;P3&amp;N3</f>
        <v>Auxiliary Systems (Compressed Air)</v>
      </c>
      <c r="R3" s="81">
        <v>0</v>
      </c>
      <c r="S3" s="157">
        <v>0</v>
      </c>
      <c r="T3" s="58"/>
      <c r="U3" s="83">
        <v>14</v>
      </c>
      <c r="V3" s="84">
        <v>7.6400000000000006</v>
      </c>
      <c r="W3" s="58"/>
      <c r="X3" s="85">
        <f>R3+U3</f>
        <v>14</v>
      </c>
      <c r="Y3" s="163">
        <f>S3+V3</f>
        <v>7.6400000000000006</v>
      </c>
      <c r="Z3" s="43"/>
      <c r="AA3" s="86" t="s">
        <v>27</v>
      </c>
      <c r="AB3" s="87">
        <f>X3</f>
        <v>14</v>
      </c>
      <c r="AC3" s="161">
        <f>Y3</f>
        <v>7.6400000000000006</v>
      </c>
    </row>
    <row r="4" spans="1:29" x14ac:dyDescent="0.2">
      <c r="A4" s="9" t="s">
        <v>8</v>
      </c>
      <c r="C4" s="6"/>
      <c r="D4" s="7"/>
      <c r="E4" s="7"/>
      <c r="M4" s="72" t="s">
        <v>25</v>
      </c>
      <c r="N4" s="72" t="s">
        <v>26</v>
      </c>
      <c r="O4" s="72" t="s">
        <v>17</v>
      </c>
      <c r="P4" s="72" t="s">
        <v>32</v>
      </c>
      <c r="Q4" s="80" t="str">
        <f t="shared" si="0"/>
        <v>Auxiliary Systems (Deck Crane)</v>
      </c>
      <c r="R4" s="81">
        <v>0</v>
      </c>
      <c r="S4" s="157">
        <v>0</v>
      </c>
      <c r="T4" s="58"/>
      <c r="U4" s="83">
        <v>5</v>
      </c>
      <c r="V4" s="84">
        <v>2.81</v>
      </c>
      <c r="W4" s="58"/>
      <c r="X4" s="85">
        <f t="shared" ref="X4:Y42" si="1">R4+U4</f>
        <v>5</v>
      </c>
      <c r="Y4" s="163">
        <f t="shared" si="1"/>
        <v>2.81</v>
      </c>
      <c r="Z4" s="43"/>
      <c r="AA4" s="86" t="s">
        <v>69</v>
      </c>
      <c r="AB4" s="87">
        <f t="shared" ref="AB4:AC9" si="2">X4</f>
        <v>5</v>
      </c>
      <c r="AC4" s="161">
        <f t="shared" si="2"/>
        <v>2.81</v>
      </c>
    </row>
    <row r="5" spans="1:29" x14ac:dyDescent="0.2">
      <c r="A5" s="10" t="s">
        <v>1</v>
      </c>
      <c r="C5" s="6"/>
      <c r="D5" s="7"/>
      <c r="E5" s="7"/>
      <c r="M5" s="72" t="s">
        <v>25</v>
      </c>
      <c r="N5" s="72" t="s">
        <v>26</v>
      </c>
      <c r="O5" s="72" t="s">
        <v>17</v>
      </c>
      <c r="P5" s="72" t="s">
        <v>33</v>
      </c>
      <c r="Q5" s="80" t="str">
        <f t="shared" si="0"/>
        <v>Auxiliary Systems (Fire Main)</v>
      </c>
      <c r="R5" s="81">
        <v>0</v>
      </c>
      <c r="S5" s="157">
        <v>0</v>
      </c>
      <c r="T5" s="58"/>
      <c r="U5" s="83">
        <v>0</v>
      </c>
      <c r="V5" s="84">
        <v>0</v>
      </c>
      <c r="W5" s="58"/>
      <c r="X5" s="85">
        <f t="shared" si="1"/>
        <v>0</v>
      </c>
      <c r="Y5" s="163">
        <f t="shared" si="1"/>
        <v>0</v>
      </c>
      <c r="Z5" s="43"/>
      <c r="AA5" s="86" t="s">
        <v>70</v>
      </c>
      <c r="AB5" s="87">
        <f t="shared" si="2"/>
        <v>0</v>
      </c>
      <c r="AC5" s="161">
        <f t="shared" si="2"/>
        <v>0</v>
      </c>
    </row>
    <row r="6" spans="1:29" x14ac:dyDescent="0.2">
      <c r="M6" s="72" t="s">
        <v>25</v>
      </c>
      <c r="N6" s="72" t="s">
        <v>26</v>
      </c>
      <c r="O6" s="72" t="s">
        <v>17</v>
      </c>
      <c r="P6" s="72" t="s">
        <v>19</v>
      </c>
      <c r="Q6" s="80" t="str">
        <f t="shared" si="0"/>
        <v>Auxiliary Systems (Fuel)</v>
      </c>
      <c r="R6" s="81">
        <v>0</v>
      </c>
      <c r="S6" s="157">
        <v>0</v>
      </c>
      <c r="T6" s="58"/>
      <c r="U6" s="83">
        <v>0</v>
      </c>
      <c r="V6" s="84">
        <v>0</v>
      </c>
      <c r="W6" s="58"/>
      <c r="X6" s="85">
        <f t="shared" si="1"/>
        <v>0</v>
      </c>
      <c r="Y6" s="163">
        <f t="shared" si="1"/>
        <v>0</v>
      </c>
      <c r="Z6" s="43"/>
      <c r="AA6" s="86" t="s">
        <v>28</v>
      </c>
      <c r="AB6" s="87">
        <f t="shared" si="2"/>
        <v>0</v>
      </c>
      <c r="AC6" s="161">
        <f t="shared" si="2"/>
        <v>0</v>
      </c>
    </row>
    <row r="7" spans="1:29" x14ac:dyDescent="0.2">
      <c r="M7" s="72" t="s">
        <v>25</v>
      </c>
      <c r="N7" s="72" t="s">
        <v>26</v>
      </c>
      <c r="O7" s="72" t="s">
        <v>17</v>
      </c>
      <c r="P7" s="72" t="s">
        <v>171</v>
      </c>
      <c r="Q7" s="80" t="str">
        <f t="shared" si="0"/>
        <v>Auxiliary Systems (Heating, Ventilation, A/C)</v>
      </c>
      <c r="R7" s="81">
        <v>0</v>
      </c>
      <c r="S7" s="157">
        <v>0</v>
      </c>
      <c r="T7" s="58"/>
      <c r="U7" s="83">
        <v>0</v>
      </c>
      <c r="V7" s="84">
        <v>0</v>
      </c>
      <c r="W7" s="58"/>
      <c r="X7" s="85">
        <f t="shared" si="1"/>
        <v>0</v>
      </c>
      <c r="Y7" s="163">
        <f t="shared" si="1"/>
        <v>0</v>
      </c>
      <c r="Z7" s="43"/>
      <c r="AA7" s="86" t="s">
        <v>29</v>
      </c>
      <c r="AB7" s="87">
        <f t="shared" si="2"/>
        <v>0</v>
      </c>
      <c r="AC7" s="161">
        <f t="shared" si="2"/>
        <v>0</v>
      </c>
    </row>
    <row r="8" spans="1:29" x14ac:dyDescent="0.2">
      <c r="M8" s="72" t="s">
        <v>25</v>
      </c>
      <c r="N8" s="72" t="s">
        <v>26</v>
      </c>
      <c r="O8" s="72" t="s">
        <v>17</v>
      </c>
      <c r="P8" s="72" t="s">
        <v>34</v>
      </c>
      <c r="Q8" s="80" t="str">
        <f t="shared" si="0"/>
        <v>Auxiliary Systems (Potable Water)</v>
      </c>
      <c r="R8" s="81">
        <v>0</v>
      </c>
      <c r="S8" s="157">
        <v>0</v>
      </c>
      <c r="T8" s="58"/>
      <c r="U8" s="83">
        <v>0</v>
      </c>
      <c r="V8" s="84">
        <v>0</v>
      </c>
      <c r="W8" s="58"/>
      <c r="X8" s="85">
        <f t="shared" si="1"/>
        <v>0</v>
      </c>
      <c r="Y8" s="163">
        <f t="shared" si="1"/>
        <v>0</v>
      </c>
      <c r="Z8" s="43"/>
      <c r="AA8" s="86" t="s">
        <v>71</v>
      </c>
      <c r="AB8" s="87">
        <f t="shared" si="2"/>
        <v>0</v>
      </c>
      <c r="AC8" s="161">
        <f t="shared" si="2"/>
        <v>0</v>
      </c>
    </row>
    <row r="9" spans="1:29" x14ac:dyDescent="0.2">
      <c r="M9" s="88" t="s">
        <v>25</v>
      </c>
      <c r="N9" s="88" t="s">
        <v>26</v>
      </c>
      <c r="O9" s="88" t="s">
        <v>17</v>
      </c>
      <c r="P9" s="88" t="s">
        <v>35</v>
      </c>
      <c r="Q9" s="89" t="str">
        <f t="shared" si="0"/>
        <v>Auxiliary Systems (Sanitary System)</v>
      </c>
      <c r="R9" s="90">
        <v>0</v>
      </c>
      <c r="S9" s="158">
        <v>0</v>
      </c>
      <c r="T9" s="61"/>
      <c r="U9" s="92">
        <v>0</v>
      </c>
      <c r="V9" s="118">
        <v>0</v>
      </c>
      <c r="W9" s="61"/>
      <c r="X9" s="119">
        <f t="shared" si="1"/>
        <v>0</v>
      </c>
      <c r="Y9" s="164">
        <f t="shared" si="1"/>
        <v>0</v>
      </c>
      <c r="Z9" s="43"/>
      <c r="AA9" s="86" t="s">
        <v>72</v>
      </c>
      <c r="AB9" s="87">
        <f t="shared" si="2"/>
        <v>0</v>
      </c>
      <c r="AC9" s="161">
        <f t="shared" si="2"/>
        <v>0</v>
      </c>
    </row>
    <row r="10" spans="1:29" x14ac:dyDescent="0.2">
      <c r="M10" s="88" t="s">
        <v>25</v>
      </c>
      <c r="N10" s="88" t="s">
        <v>26</v>
      </c>
      <c r="O10" s="88" t="s">
        <v>164</v>
      </c>
      <c r="P10" s="88" t="s">
        <v>37</v>
      </c>
      <c r="Q10" s="145" t="str">
        <f t="shared" si="0"/>
        <v>Buckets (Weld / Repair Bucket)</v>
      </c>
      <c r="R10" s="146">
        <v>0</v>
      </c>
      <c r="S10" s="159">
        <v>0</v>
      </c>
      <c r="T10" s="61"/>
      <c r="U10" s="92">
        <v>79</v>
      </c>
      <c r="V10" s="118">
        <v>143.89000000000001</v>
      </c>
      <c r="W10" s="61"/>
      <c r="X10" s="119">
        <f t="shared" si="1"/>
        <v>79</v>
      </c>
      <c r="Y10" s="164">
        <f t="shared" si="1"/>
        <v>143.89000000000001</v>
      </c>
      <c r="Z10" s="43"/>
    </row>
    <row r="11" spans="1:29" x14ac:dyDescent="0.2">
      <c r="M11" s="72" t="s">
        <v>25</v>
      </c>
      <c r="N11" s="72" t="s">
        <v>26</v>
      </c>
      <c r="O11" s="72" t="s">
        <v>38</v>
      </c>
      <c r="P11" s="72" t="s">
        <v>48</v>
      </c>
      <c r="Q11" s="80" t="str">
        <f t="shared" si="0"/>
        <v>Crane Boom (Boom / Gantry Sheaves)</v>
      </c>
      <c r="R11" s="81">
        <v>0</v>
      </c>
      <c r="S11" s="157">
        <v>0</v>
      </c>
      <c r="T11" s="58"/>
      <c r="U11" s="83">
        <v>3</v>
      </c>
      <c r="V11" s="84">
        <v>1.73</v>
      </c>
      <c r="W11" s="58"/>
      <c r="X11" s="85">
        <f t="shared" si="1"/>
        <v>3</v>
      </c>
      <c r="Y11" s="163">
        <f t="shared" si="1"/>
        <v>1.73</v>
      </c>
      <c r="Z11" s="43"/>
    </row>
    <row r="12" spans="1:29" x14ac:dyDescent="0.2">
      <c r="M12" s="72" t="s">
        <v>25</v>
      </c>
      <c r="N12" s="72" t="s">
        <v>26</v>
      </c>
      <c r="O12" s="72" t="s">
        <v>38</v>
      </c>
      <c r="P12" s="72" t="s">
        <v>49</v>
      </c>
      <c r="Q12" s="80" t="str">
        <f t="shared" si="0"/>
        <v>Crane Boom (Boom / Gantry Structure)</v>
      </c>
      <c r="R12" s="81">
        <v>0</v>
      </c>
      <c r="S12" s="157">
        <v>0</v>
      </c>
      <c r="T12" s="58"/>
      <c r="U12" s="83">
        <v>0</v>
      </c>
      <c r="V12" s="84">
        <v>0</v>
      </c>
      <c r="W12" s="58"/>
      <c r="X12" s="85">
        <f t="shared" si="1"/>
        <v>0</v>
      </c>
      <c r="Y12" s="163">
        <f t="shared" si="1"/>
        <v>0</v>
      </c>
      <c r="Z12" s="43"/>
      <c r="AA12" s="86" t="s">
        <v>73</v>
      </c>
      <c r="AB12" s="87">
        <f>X10</f>
        <v>79</v>
      </c>
      <c r="AC12" s="161">
        <f>Y10</f>
        <v>143.89000000000001</v>
      </c>
    </row>
    <row r="13" spans="1:29" x14ac:dyDescent="0.2">
      <c r="M13" s="72" t="s">
        <v>25</v>
      </c>
      <c r="N13" s="72" t="s">
        <v>26</v>
      </c>
      <c r="O13" s="72" t="s">
        <v>38</v>
      </c>
      <c r="P13" s="72" t="s">
        <v>51</v>
      </c>
      <c r="Q13" s="80" t="str">
        <f t="shared" si="0"/>
        <v>Crane Boom (Boom Winch)</v>
      </c>
      <c r="R13" s="81">
        <v>1</v>
      </c>
      <c r="S13" s="157">
        <v>8.3611111098434776E-2</v>
      </c>
      <c r="T13" s="58"/>
      <c r="U13" s="83">
        <v>6</v>
      </c>
      <c r="V13" s="84">
        <v>34.5</v>
      </c>
      <c r="W13" s="58"/>
      <c r="X13" s="85">
        <f t="shared" si="1"/>
        <v>7</v>
      </c>
      <c r="Y13" s="163">
        <f t="shared" si="1"/>
        <v>34.583611111098435</v>
      </c>
      <c r="Z13" s="43"/>
    </row>
    <row r="14" spans="1:29" x14ac:dyDescent="0.2">
      <c r="M14" s="72" t="s">
        <v>25</v>
      </c>
      <c r="N14" s="72" t="s">
        <v>26</v>
      </c>
      <c r="O14" s="72" t="s">
        <v>38</v>
      </c>
      <c r="P14" s="72" t="s">
        <v>52</v>
      </c>
      <c r="Q14" s="80" t="str">
        <f t="shared" si="0"/>
        <v>Crane Boom (Boom Wires)</v>
      </c>
      <c r="R14" s="81">
        <v>0</v>
      </c>
      <c r="S14" s="157">
        <v>0</v>
      </c>
      <c r="T14" s="58"/>
      <c r="U14" s="83">
        <v>0</v>
      </c>
      <c r="V14" s="84">
        <v>0</v>
      </c>
      <c r="W14" s="58"/>
      <c r="X14" s="85">
        <f t="shared" si="1"/>
        <v>0</v>
      </c>
      <c r="Y14" s="163">
        <f t="shared" si="1"/>
        <v>0</v>
      </c>
      <c r="Z14" s="43"/>
    </row>
    <row r="15" spans="1:29" x14ac:dyDescent="0.2">
      <c r="M15" s="88" t="s">
        <v>25</v>
      </c>
      <c r="N15" s="88" t="s">
        <v>26</v>
      </c>
      <c r="O15" s="88" t="s">
        <v>38</v>
      </c>
      <c r="P15" s="88" t="s">
        <v>53</v>
      </c>
      <c r="Q15" s="89" t="str">
        <f t="shared" si="0"/>
        <v>Crane Boom (Penant Wire)</v>
      </c>
      <c r="R15" s="90">
        <v>0</v>
      </c>
      <c r="S15" s="158">
        <v>0</v>
      </c>
      <c r="T15" s="61"/>
      <c r="U15" s="92">
        <v>0</v>
      </c>
      <c r="V15" s="118">
        <v>0</v>
      </c>
      <c r="W15" s="61"/>
      <c r="X15" s="119">
        <f t="shared" si="1"/>
        <v>0</v>
      </c>
      <c r="Y15" s="164">
        <f t="shared" si="1"/>
        <v>0</v>
      </c>
      <c r="Z15" s="43"/>
      <c r="AA15" s="86" t="s">
        <v>74</v>
      </c>
      <c r="AB15" s="87">
        <f t="shared" ref="AB15:AC19" si="3">X11</f>
        <v>3</v>
      </c>
      <c r="AC15" s="161">
        <f t="shared" si="3"/>
        <v>1.73</v>
      </c>
    </row>
    <row r="16" spans="1:29" x14ac:dyDescent="0.2">
      <c r="M16" s="72" t="s">
        <v>25</v>
      </c>
      <c r="N16" s="72" t="s">
        <v>26</v>
      </c>
      <c r="O16" s="72" t="s">
        <v>39</v>
      </c>
      <c r="P16" s="72" t="s">
        <v>169</v>
      </c>
      <c r="Q16" s="80" t="str">
        <f t="shared" si="0"/>
        <v>Crane Swing (Drive (motor, gear box, etc.))</v>
      </c>
      <c r="R16" s="81">
        <v>0</v>
      </c>
      <c r="S16" s="157">
        <v>0</v>
      </c>
      <c r="T16" s="58"/>
      <c r="U16" s="83">
        <v>18</v>
      </c>
      <c r="V16" s="84">
        <v>17.43</v>
      </c>
      <c r="W16" s="58"/>
      <c r="X16" s="85">
        <f t="shared" si="1"/>
        <v>18</v>
      </c>
      <c r="Y16" s="163">
        <f t="shared" si="1"/>
        <v>17.43</v>
      </c>
      <c r="Z16" s="43"/>
      <c r="AA16" s="86" t="s">
        <v>75</v>
      </c>
      <c r="AB16" s="87">
        <f t="shared" si="3"/>
        <v>0</v>
      </c>
      <c r="AC16" s="161">
        <f t="shared" si="3"/>
        <v>0</v>
      </c>
    </row>
    <row r="17" spans="2:29" x14ac:dyDescent="0.2">
      <c r="M17" s="88" t="s">
        <v>25</v>
      </c>
      <c r="N17" s="88" t="s">
        <v>26</v>
      </c>
      <c r="O17" s="88" t="s">
        <v>39</v>
      </c>
      <c r="P17" s="88" t="s">
        <v>170</v>
      </c>
      <c r="Q17" s="89" t="str">
        <f t="shared" si="0"/>
        <v>Crane Swing (Swing Circle (rollers, etc.))</v>
      </c>
      <c r="R17" s="90">
        <v>0</v>
      </c>
      <c r="S17" s="158">
        <v>0</v>
      </c>
      <c r="T17" s="61"/>
      <c r="U17" s="92">
        <v>4</v>
      </c>
      <c r="V17" s="118">
        <v>0.57000000000000006</v>
      </c>
      <c r="W17" s="61"/>
      <c r="X17" s="119">
        <f t="shared" si="1"/>
        <v>4</v>
      </c>
      <c r="Y17" s="164">
        <f t="shared" si="1"/>
        <v>0.57000000000000006</v>
      </c>
      <c r="Z17" s="43"/>
      <c r="AA17" s="86" t="s">
        <v>76</v>
      </c>
      <c r="AB17" s="87">
        <f t="shared" si="3"/>
        <v>7</v>
      </c>
      <c r="AC17" s="161">
        <f t="shared" si="3"/>
        <v>34.583611111098435</v>
      </c>
    </row>
    <row r="18" spans="2:29" x14ac:dyDescent="0.2">
      <c r="M18" s="72" t="s">
        <v>25</v>
      </c>
      <c r="N18" s="72" t="s">
        <v>26</v>
      </c>
      <c r="O18" s="72" t="s">
        <v>40</v>
      </c>
      <c r="P18" s="72" t="s">
        <v>24</v>
      </c>
      <c r="Q18" s="80" t="str">
        <f t="shared" si="0"/>
        <v>Deck Winch (Fairleads)</v>
      </c>
      <c r="R18" s="81">
        <v>1</v>
      </c>
      <c r="S18" s="157">
        <v>0.4347222222131677</v>
      </c>
      <c r="T18" s="58"/>
      <c r="U18" s="83">
        <v>10</v>
      </c>
      <c r="V18" s="84">
        <v>5.01</v>
      </c>
      <c r="W18" s="58"/>
      <c r="X18" s="85">
        <f t="shared" si="1"/>
        <v>11</v>
      </c>
      <c r="Y18" s="163">
        <f t="shared" si="1"/>
        <v>5.4447222222131675</v>
      </c>
      <c r="Z18" s="43"/>
      <c r="AA18" s="86" t="s">
        <v>77</v>
      </c>
      <c r="AB18" s="87">
        <f t="shared" si="3"/>
        <v>0</v>
      </c>
      <c r="AC18" s="161">
        <f t="shared" si="3"/>
        <v>0</v>
      </c>
    </row>
    <row r="19" spans="2:29" x14ac:dyDescent="0.2">
      <c r="M19" s="88" t="s">
        <v>25</v>
      </c>
      <c r="N19" s="88" t="s">
        <v>26</v>
      </c>
      <c r="O19" s="88" t="s">
        <v>40</v>
      </c>
      <c r="P19" s="88" t="s">
        <v>50</v>
      </c>
      <c r="Q19" s="89" t="str">
        <f t="shared" si="0"/>
        <v>Deck Winch (Winch)</v>
      </c>
      <c r="R19" s="90">
        <v>1</v>
      </c>
      <c r="S19" s="158">
        <v>2.4388888888643123</v>
      </c>
      <c r="T19" s="61"/>
      <c r="U19" s="92">
        <v>24</v>
      </c>
      <c r="V19" s="118">
        <v>9.2899999999999991</v>
      </c>
      <c r="W19" s="61"/>
      <c r="X19" s="119">
        <f t="shared" si="1"/>
        <v>25</v>
      </c>
      <c r="Y19" s="164">
        <f t="shared" si="1"/>
        <v>11.728888888864311</v>
      </c>
      <c r="Z19" s="43"/>
      <c r="AA19" s="86" t="s">
        <v>78</v>
      </c>
      <c r="AB19" s="87">
        <f t="shared" si="3"/>
        <v>0</v>
      </c>
      <c r="AC19" s="161">
        <f t="shared" si="3"/>
        <v>0</v>
      </c>
    </row>
    <row r="20" spans="2:29" x14ac:dyDescent="0.2">
      <c r="M20" s="72" t="s">
        <v>25</v>
      </c>
      <c r="N20" s="72" t="s">
        <v>26</v>
      </c>
      <c r="O20" s="72" t="s">
        <v>167</v>
      </c>
      <c r="P20" s="72" t="s">
        <v>54</v>
      </c>
      <c r="Q20" s="80" t="str">
        <f t="shared" si="0"/>
        <v>Electrical/Electronics (MCC / Switch Gear)</v>
      </c>
      <c r="R20" s="81">
        <v>0</v>
      </c>
      <c r="S20" s="157">
        <v>0</v>
      </c>
      <c r="T20" s="58"/>
      <c r="U20" s="83">
        <v>10</v>
      </c>
      <c r="V20" s="84">
        <v>24.76</v>
      </c>
      <c r="W20" s="58"/>
      <c r="X20" s="85">
        <f t="shared" si="1"/>
        <v>10</v>
      </c>
      <c r="Y20" s="163">
        <f t="shared" si="1"/>
        <v>24.76</v>
      </c>
      <c r="Z20" s="43"/>
    </row>
    <row r="21" spans="2:29" x14ac:dyDescent="0.2">
      <c r="M21" s="72" t="s">
        <v>25</v>
      </c>
      <c r="N21" s="72" t="s">
        <v>26</v>
      </c>
      <c r="O21" s="72" t="s">
        <v>167</v>
      </c>
      <c r="P21" s="72" t="s">
        <v>112</v>
      </c>
      <c r="Q21" s="80" t="str">
        <f t="shared" si="0"/>
        <v>Electrical/Electronics (Navigation Lights)</v>
      </c>
      <c r="R21" s="81">
        <v>0</v>
      </c>
      <c r="S21" s="157">
        <v>0</v>
      </c>
      <c r="T21" s="58"/>
      <c r="U21" s="83">
        <v>0</v>
      </c>
      <c r="V21" s="84">
        <v>0</v>
      </c>
      <c r="W21" s="58"/>
      <c r="X21" s="85">
        <f t="shared" si="1"/>
        <v>0</v>
      </c>
      <c r="Y21" s="163">
        <f t="shared" si="1"/>
        <v>0</v>
      </c>
      <c r="Z21" s="43"/>
    </row>
    <row r="22" spans="2:29" x14ac:dyDescent="0.2">
      <c r="M22" s="72" t="s">
        <v>25</v>
      </c>
      <c r="N22" s="72" t="s">
        <v>26</v>
      </c>
      <c r="O22" s="72" t="s">
        <v>167</v>
      </c>
      <c r="P22" s="72" t="s">
        <v>55</v>
      </c>
      <c r="Q22" s="80" t="str">
        <f t="shared" si="0"/>
        <v>Electrical/Electronics (PLC)</v>
      </c>
      <c r="R22" s="81">
        <v>0</v>
      </c>
      <c r="S22" s="157">
        <v>0</v>
      </c>
      <c r="T22" s="58"/>
      <c r="U22" s="83">
        <v>33</v>
      </c>
      <c r="V22" s="84">
        <v>71.22</v>
      </c>
      <c r="W22" s="58"/>
      <c r="X22" s="85">
        <f t="shared" si="1"/>
        <v>33</v>
      </c>
      <c r="Y22" s="163">
        <f t="shared" si="1"/>
        <v>71.22</v>
      </c>
      <c r="Z22" s="43"/>
      <c r="AA22" s="86" t="s">
        <v>126</v>
      </c>
      <c r="AB22" s="87">
        <f>X16</f>
        <v>18</v>
      </c>
      <c r="AC22" s="161">
        <f>Y16</f>
        <v>17.43</v>
      </c>
    </row>
    <row r="23" spans="2:29" x14ac:dyDescent="0.2">
      <c r="B23" s="11" t="s">
        <v>11</v>
      </c>
      <c r="M23" s="88" t="s">
        <v>25</v>
      </c>
      <c r="N23" s="88" t="s">
        <v>26</v>
      </c>
      <c r="O23" s="88" t="s">
        <v>167</v>
      </c>
      <c r="P23" s="88" t="s">
        <v>56</v>
      </c>
      <c r="Q23" s="89" t="str">
        <f t="shared" si="0"/>
        <v>Electrical/Electronics (Transformers)</v>
      </c>
      <c r="R23" s="90">
        <v>0</v>
      </c>
      <c r="S23" s="158">
        <v>0</v>
      </c>
      <c r="T23" s="61"/>
      <c r="U23" s="92">
        <v>2</v>
      </c>
      <c r="V23" s="118">
        <v>2.41</v>
      </c>
      <c r="W23" s="61"/>
      <c r="X23" s="119">
        <f t="shared" si="1"/>
        <v>2</v>
      </c>
      <c r="Y23" s="164">
        <f t="shared" si="1"/>
        <v>2.41</v>
      </c>
      <c r="Z23" s="43"/>
      <c r="AA23" s="86" t="s">
        <v>127</v>
      </c>
      <c r="AB23" s="87">
        <f>X17</f>
        <v>4</v>
      </c>
      <c r="AC23" s="161">
        <f>Y17</f>
        <v>0.57000000000000006</v>
      </c>
    </row>
    <row r="24" spans="2:29" x14ac:dyDescent="0.2">
      <c r="M24" s="72" t="s">
        <v>25</v>
      </c>
      <c r="N24" s="72" t="s">
        <v>26</v>
      </c>
      <c r="O24" s="72" t="s">
        <v>42</v>
      </c>
      <c r="P24" s="72" t="s">
        <v>172</v>
      </c>
      <c r="Q24" s="80" t="str">
        <f t="shared" si="0"/>
        <v>Hull (Deck Fittings (cleats, timbers, etc.))</v>
      </c>
      <c r="R24" s="81">
        <v>0</v>
      </c>
      <c r="S24" s="157">
        <v>0</v>
      </c>
      <c r="T24" s="58"/>
      <c r="U24" s="83">
        <v>1</v>
      </c>
      <c r="V24" s="84">
        <v>0.78</v>
      </c>
      <c r="W24" s="58"/>
      <c r="X24" s="85">
        <f t="shared" si="1"/>
        <v>1</v>
      </c>
      <c r="Y24" s="163">
        <f t="shared" si="1"/>
        <v>0.78</v>
      </c>
      <c r="Z24" s="43"/>
    </row>
    <row r="25" spans="2:29" x14ac:dyDescent="0.2">
      <c r="M25" s="88" t="s">
        <v>25</v>
      </c>
      <c r="N25" s="88" t="s">
        <v>26</v>
      </c>
      <c r="O25" s="88" t="s">
        <v>42</v>
      </c>
      <c r="P25" s="88" t="s">
        <v>57</v>
      </c>
      <c r="Q25" s="89" t="str">
        <f t="shared" si="0"/>
        <v>Hull (Hull / House Repair)</v>
      </c>
      <c r="R25" s="90">
        <v>0</v>
      </c>
      <c r="S25" s="158">
        <v>0</v>
      </c>
      <c r="T25" s="61"/>
      <c r="U25" s="92">
        <v>7</v>
      </c>
      <c r="V25" s="118">
        <v>41.3</v>
      </c>
      <c r="W25" s="61"/>
      <c r="X25" s="119">
        <f t="shared" si="1"/>
        <v>7</v>
      </c>
      <c r="Y25" s="164">
        <f t="shared" si="1"/>
        <v>41.3</v>
      </c>
      <c r="Z25" s="43"/>
    </row>
    <row r="26" spans="2:29" x14ac:dyDescent="0.2">
      <c r="M26" s="72" t="s">
        <v>25</v>
      </c>
      <c r="N26" s="72" t="s">
        <v>26</v>
      </c>
      <c r="O26" s="72" t="s">
        <v>165</v>
      </c>
      <c r="P26" s="72" t="s">
        <v>21</v>
      </c>
      <c r="Q26" s="80" t="str">
        <f t="shared" si="0"/>
        <v>Main / Aux. Generators (Auxiliary Generator)</v>
      </c>
      <c r="R26" s="81">
        <v>0</v>
      </c>
      <c r="S26" s="157">
        <v>0</v>
      </c>
      <c r="T26" s="58"/>
      <c r="U26" s="83">
        <v>0</v>
      </c>
      <c r="V26" s="84">
        <v>0</v>
      </c>
      <c r="W26" s="58"/>
      <c r="X26" s="85">
        <f t="shared" si="1"/>
        <v>0</v>
      </c>
      <c r="Y26" s="163">
        <f t="shared" si="1"/>
        <v>0</v>
      </c>
      <c r="Z26" s="43"/>
      <c r="AA26" s="86" t="s">
        <v>79</v>
      </c>
      <c r="AB26" s="87">
        <f>X18</f>
        <v>11</v>
      </c>
      <c r="AC26" s="161">
        <f>Y18</f>
        <v>5.4447222222131675</v>
      </c>
    </row>
    <row r="27" spans="2:29" x14ac:dyDescent="0.2">
      <c r="M27" s="72" t="s">
        <v>25</v>
      </c>
      <c r="N27" s="72" t="s">
        <v>26</v>
      </c>
      <c r="O27" s="72" t="s">
        <v>165</v>
      </c>
      <c r="P27" s="72" t="s">
        <v>22</v>
      </c>
      <c r="Q27" s="80" t="str">
        <f t="shared" si="0"/>
        <v>Main / Aux. Generators (Main Generator)</v>
      </c>
      <c r="R27" s="81">
        <v>0</v>
      </c>
      <c r="S27" s="157">
        <v>0</v>
      </c>
      <c r="T27" s="58"/>
      <c r="U27" s="83">
        <v>18</v>
      </c>
      <c r="V27" s="84">
        <v>86.33</v>
      </c>
      <c r="W27" s="58"/>
      <c r="X27" s="85">
        <f t="shared" si="1"/>
        <v>18</v>
      </c>
      <c r="Y27" s="163">
        <f t="shared" si="1"/>
        <v>86.33</v>
      </c>
      <c r="Z27" s="43"/>
      <c r="AA27" s="86" t="s">
        <v>80</v>
      </c>
      <c r="AB27" s="87">
        <f>X19</f>
        <v>25</v>
      </c>
      <c r="AC27" s="161">
        <f>Y19</f>
        <v>11.728888888864311</v>
      </c>
    </row>
    <row r="28" spans="2:29" ht="15.75" x14ac:dyDescent="0.25">
      <c r="B28" s="28" t="str">
        <f ca="1">"The first "&amp;COUNT(H33:H62)&amp;" "&amp;C32&amp;" cover "&amp;TEXT(OFFSET(E32,COUNT(H33:H62),0,1,1),"0.??%")&amp;" of the Total "&amp;D32</f>
        <v>The first 12 Causes cover 81.83% of the Total Count</v>
      </c>
      <c r="C28" s="7"/>
      <c r="M28" s="88" t="s">
        <v>25</v>
      </c>
      <c r="N28" s="88" t="s">
        <v>26</v>
      </c>
      <c r="O28" s="88" t="s">
        <v>165</v>
      </c>
      <c r="P28" s="88" t="s">
        <v>23</v>
      </c>
      <c r="Q28" s="89" t="str">
        <f t="shared" si="0"/>
        <v>Main / Aux. Generators (Main Generator Engine)</v>
      </c>
      <c r="R28" s="90">
        <v>0</v>
      </c>
      <c r="S28" s="158">
        <v>0</v>
      </c>
      <c r="T28" s="61"/>
      <c r="U28" s="92">
        <v>57</v>
      </c>
      <c r="V28" s="118">
        <v>1182.08</v>
      </c>
      <c r="W28" s="61"/>
      <c r="X28" s="119">
        <f t="shared" si="1"/>
        <v>57</v>
      </c>
      <c r="Y28" s="164">
        <f t="shared" si="1"/>
        <v>1182.08</v>
      </c>
      <c r="Z28" s="43"/>
    </row>
    <row r="29" spans="2:29" x14ac:dyDescent="0.2">
      <c r="M29" s="72" t="s">
        <v>25</v>
      </c>
      <c r="N29" s="72" t="s">
        <v>26</v>
      </c>
      <c r="O29" s="72" t="s">
        <v>44</v>
      </c>
      <c r="P29" s="72" t="s">
        <v>58</v>
      </c>
      <c r="Q29" s="80" t="str">
        <f t="shared" si="0"/>
        <v>Main Hoist (Closer)</v>
      </c>
      <c r="R29" s="81">
        <v>0</v>
      </c>
      <c r="S29" s="157">
        <v>0</v>
      </c>
      <c r="T29" s="58"/>
      <c r="U29" s="83">
        <v>8</v>
      </c>
      <c r="V29" s="84">
        <v>81.38</v>
      </c>
      <c r="W29" s="58"/>
      <c r="X29" s="85">
        <f t="shared" si="1"/>
        <v>8</v>
      </c>
      <c r="Y29" s="163">
        <f t="shared" si="1"/>
        <v>81.38</v>
      </c>
      <c r="Z29" s="43"/>
    </row>
    <row r="30" spans="2:29" x14ac:dyDescent="0.2">
      <c r="M30" s="72" t="s">
        <v>25</v>
      </c>
      <c r="N30" s="72" t="s">
        <v>26</v>
      </c>
      <c r="O30" s="72" t="s">
        <v>44</v>
      </c>
      <c r="P30" s="72" t="s">
        <v>59</v>
      </c>
      <c r="Q30" s="80" t="str">
        <f t="shared" si="0"/>
        <v>Main Hoist (Closer Wire)</v>
      </c>
      <c r="R30" s="81">
        <v>0</v>
      </c>
      <c r="S30" s="157">
        <v>0</v>
      </c>
      <c r="T30" s="58"/>
      <c r="U30" s="83">
        <v>55</v>
      </c>
      <c r="V30" s="84">
        <v>96.69</v>
      </c>
      <c r="W30" s="58"/>
      <c r="X30" s="85">
        <f t="shared" si="1"/>
        <v>55</v>
      </c>
      <c r="Y30" s="163">
        <f t="shared" si="1"/>
        <v>96.69</v>
      </c>
      <c r="Z30" s="43"/>
      <c r="AA30" s="86" t="s">
        <v>81</v>
      </c>
      <c r="AB30" s="87">
        <f t="shared" ref="AB30:AC33" si="4">X20</f>
        <v>10</v>
      </c>
      <c r="AC30" s="161">
        <f t="shared" si="4"/>
        <v>24.76</v>
      </c>
    </row>
    <row r="31" spans="2:29" x14ac:dyDescent="0.2">
      <c r="D31" s="12" t="s">
        <v>9</v>
      </c>
      <c r="E31" s="29">
        <v>0.8</v>
      </c>
      <c r="M31" s="72" t="s">
        <v>25</v>
      </c>
      <c r="N31" s="72" t="s">
        <v>26</v>
      </c>
      <c r="O31" s="72" t="s">
        <v>44</v>
      </c>
      <c r="P31" s="72" t="s">
        <v>60</v>
      </c>
      <c r="Q31" s="80" t="str">
        <f t="shared" si="0"/>
        <v>Main Hoist (Holder)</v>
      </c>
      <c r="R31" s="81">
        <v>0</v>
      </c>
      <c r="S31" s="157">
        <v>0</v>
      </c>
      <c r="T31" s="58"/>
      <c r="U31" s="83">
        <v>49</v>
      </c>
      <c r="V31" s="84">
        <v>104.00999999999999</v>
      </c>
      <c r="W31" s="58"/>
      <c r="X31" s="85">
        <f t="shared" si="1"/>
        <v>49</v>
      </c>
      <c r="Y31" s="163">
        <f t="shared" si="1"/>
        <v>104.00999999999999</v>
      </c>
      <c r="Z31" s="43"/>
      <c r="AA31" s="86" t="s">
        <v>128</v>
      </c>
      <c r="AB31" s="87">
        <f t="shared" si="4"/>
        <v>0</v>
      </c>
      <c r="AC31" s="161">
        <f t="shared" si="4"/>
        <v>0</v>
      </c>
    </row>
    <row r="32" spans="2:29" ht="15.75" x14ac:dyDescent="0.25">
      <c r="B32" s="24" t="s">
        <v>3</v>
      </c>
      <c r="C32" s="25" t="s">
        <v>5</v>
      </c>
      <c r="D32" s="26" t="s">
        <v>14</v>
      </c>
      <c r="E32" s="24" t="s">
        <v>4</v>
      </c>
      <c r="F32" s="24" t="s">
        <v>31</v>
      </c>
      <c r="G32" s="24" t="s">
        <v>13</v>
      </c>
      <c r="H32" s="13" t="s">
        <v>6</v>
      </c>
      <c r="I32" s="13" t="s">
        <v>7</v>
      </c>
      <c r="J32" s="13" t="s">
        <v>10</v>
      </c>
      <c r="K32" s="13"/>
      <c r="M32" s="88" t="s">
        <v>25</v>
      </c>
      <c r="N32" s="88" t="s">
        <v>26</v>
      </c>
      <c r="O32" s="88" t="s">
        <v>44</v>
      </c>
      <c r="P32" s="88" t="s">
        <v>61</v>
      </c>
      <c r="Q32" s="89" t="str">
        <f t="shared" si="0"/>
        <v>Main Hoist (Holder Wire)</v>
      </c>
      <c r="R32" s="90">
        <v>0</v>
      </c>
      <c r="S32" s="158">
        <v>0</v>
      </c>
      <c r="T32" s="61"/>
      <c r="U32" s="92">
        <v>36</v>
      </c>
      <c r="V32" s="118">
        <v>54.8</v>
      </c>
      <c r="W32" s="61"/>
      <c r="X32" s="119">
        <f t="shared" si="1"/>
        <v>36</v>
      </c>
      <c r="Y32" s="164">
        <f t="shared" si="1"/>
        <v>54.8</v>
      </c>
      <c r="Z32" s="43"/>
      <c r="AA32" s="86" t="s">
        <v>82</v>
      </c>
      <c r="AB32" s="87">
        <f t="shared" si="4"/>
        <v>33</v>
      </c>
      <c r="AC32" s="161">
        <f t="shared" si="4"/>
        <v>71.22</v>
      </c>
    </row>
    <row r="33" spans="2:29" x14ac:dyDescent="0.2">
      <c r="B33" s="216">
        <f t="shared" ref="B33:B62" si="5">ROW(B33)-ROW($B$32)</f>
        <v>1</v>
      </c>
      <c r="C33" s="214" t="s">
        <v>97</v>
      </c>
      <c r="D33" s="215">
        <v>110</v>
      </c>
      <c r="E33" s="217">
        <f>SUM(D$33:D33)/SUM($D$33:$D$62)</f>
        <v>0.16793893129770993</v>
      </c>
      <c r="F33" s="222">
        <f>E33</f>
        <v>0.16793893129770993</v>
      </c>
      <c r="G33" s="201">
        <v>204.60027777779845</v>
      </c>
      <c r="H33" s="223">
        <f t="shared" ref="H33:H61" ca="1" si="6">IF(OR(B33=1,OFFSET($E$32,B33-1,0,1,1)&lt;=$E$31),OFFSET($D$32,B33,0,1,1),"")</f>
        <v>110</v>
      </c>
      <c r="I33" s="224" t="str">
        <f t="shared" ref="I33:I61" ca="1" si="7">IF(H33="",OFFSET($D$32,B33,0,1,1),"")</f>
        <v/>
      </c>
      <c r="J33" s="225">
        <f t="shared" ref="J33:J62" si="8">$E$31</f>
        <v>0.8</v>
      </c>
      <c r="K33" s="95"/>
      <c r="M33" s="72" t="s">
        <v>25</v>
      </c>
      <c r="N33" s="72" t="s">
        <v>26</v>
      </c>
      <c r="O33" s="72" t="s">
        <v>45</v>
      </c>
      <c r="P33" s="72" t="s">
        <v>62</v>
      </c>
      <c r="Q33" s="80" t="str">
        <f t="shared" si="0"/>
        <v>Spud System (Spud Sheaves)</v>
      </c>
      <c r="R33" s="81">
        <v>0</v>
      </c>
      <c r="S33" s="157">
        <v>0</v>
      </c>
      <c r="T33" s="58"/>
      <c r="U33" s="83">
        <v>5</v>
      </c>
      <c r="V33" s="84">
        <v>5.53</v>
      </c>
      <c r="W33" s="58"/>
      <c r="X33" s="85">
        <f t="shared" si="1"/>
        <v>5</v>
      </c>
      <c r="Y33" s="163">
        <f t="shared" si="1"/>
        <v>5.53</v>
      </c>
      <c r="Z33" s="43"/>
      <c r="AA33" s="86" t="s">
        <v>83</v>
      </c>
      <c r="AB33" s="87">
        <f t="shared" si="4"/>
        <v>2</v>
      </c>
      <c r="AC33" s="161">
        <f t="shared" si="4"/>
        <v>2.41</v>
      </c>
    </row>
    <row r="34" spans="2:29" x14ac:dyDescent="0.2">
      <c r="B34" s="216">
        <f t="shared" si="5"/>
        <v>2</v>
      </c>
      <c r="C34" s="214" t="s">
        <v>175</v>
      </c>
      <c r="D34" s="215">
        <v>79</v>
      </c>
      <c r="E34" s="217">
        <f>SUM(D$33:D34)/SUM($D$33:$D$62)</f>
        <v>0.28854961832061071</v>
      </c>
      <c r="F34" s="222">
        <f t="shared" ref="F34:F62" si="9">E34-E33</f>
        <v>0.12061068702290079</v>
      </c>
      <c r="G34" s="201">
        <v>143.89000000000001</v>
      </c>
      <c r="H34" s="223">
        <f t="shared" ca="1" si="6"/>
        <v>79</v>
      </c>
      <c r="I34" s="224" t="str">
        <f t="shared" ca="1" si="7"/>
        <v/>
      </c>
      <c r="J34" s="225">
        <f t="shared" si="8"/>
        <v>0.8</v>
      </c>
      <c r="K34" s="95"/>
      <c r="M34" s="72" t="s">
        <v>25</v>
      </c>
      <c r="N34" s="72" t="s">
        <v>26</v>
      </c>
      <c r="O34" s="72" t="s">
        <v>45</v>
      </c>
      <c r="P34" s="72" t="s">
        <v>63</v>
      </c>
      <c r="Q34" s="80" t="str">
        <f t="shared" si="0"/>
        <v>Spud System (Spud Structure)</v>
      </c>
      <c r="R34" s="81">
        <v>0</v>
      </c>
      <c r="S34" s="157">
        <v>0</v>
      </c>
      <c r="T34" s="58"/>
      <c r="U34" s="83">
        <v>1</v>
      </c>
      <c r="V34" s="84">
        <v>0.41</v>
      </c>
      <c r="W34" s="58"/>
      <c r="X34" s="85">
        <f t="shared" si="1"/>
        <v>1</v>
      </c>
      <c r="Y34" s="163">
        <f t="shared" si="1"/>
        <v>0.41</v>
      </c>
      <c r="Z34" s="43"/>
    </row>
    <row r="35" spans="2:29" x14ac:dyDescent="0.2">
      <c r="B35" s="216">
        <f t="shared" si="5"/>
        <v>3</v>
      </c>
      <c r="C35" s="214" t="s">
        <v>176</v>
      </c>
      <c r="D35" s="215">
        <v>57</v>
      </c>
      <c r="E35" s="217">
        <f>SUM(D$33:D35)/SUM($D$33:$D$62)</f>
        <v>0.37557251908396949</v>
      </c>
      <c r="F35" s="222">
        <f t="shared" si="9"/>
        <v>8.7022900763358779E-2</v>
      </c>
      <c r="G35" s="201">
        <v>1182.08</v>
      </c>
      <c r="H35" s="223">
        <f t="shared" ca="1" si="6"/>
        <v>57</v>
      </c>
      <c r="I35" s="224" t="str">
        <f t="shared" ca="1" si="7"/>
        <v/>
      </c>
      <c r="J35" s="225">
        <f t="shared" si="8"/>
        <v>0.8</v>
      </c>
      <c r="K35" s="95"/>
      <c r="M35" s="72" t="s">
        <v>25</v>
      </c>
      <c r="N35" s="72" t="s">
        <v>26</v>
      </c>
      <c r="O35" s="72" t="s">
        <v>45</v>
      </c>
      <c r="P35" s="72" t="s">
        <v>64</v>
      </c>
      <c r="Q35" s="80" t="str">
        <f t="shared" si="0"/>
        <v>Spud System (Spud Winch)</v>
      </c>
      <c r="R35" s="81">
        <v>1</v>
      </c>
      <c r="S35" s="157">
        <v>0.14027777774026617</v>
      </c>
      <c r="T35" s="58"/>
      <c r="U35" s="83">
        <v>21</v>
      </c>
      <c r="V35" s="84">
        <v>112.63</v>
      </c>
      <c r="W35" s="58"/>
      <c r="X35" s="85">
        <f t="shared" si="1"/>
        <v>22</v>
      </c>
      <c r="Y35" s="163">
        <f t="shared" si="1"/>
        <v>112.77027777774026</v>
      </c>
      <c r="Z35" s="43"/>
    </row>
    <row r="36" spans="2:29" x14ac:dyDescent="0.2">
      <c r="B36" s="216">
        <f t="shared" si="5"/>
        <v>4</v>
      </c>
      <c r="C36" s="214" t="s">
        <v>89</v>
      </c>
      <c r="D36" s="215">
        <v>55</v>
      </c>
      <c r="E36" s="217">
        <f>SUM(D$33:D36)/SUM($D$33:$D$62)</f>
        <v>0.45954198473282443</v>
      </c>
      <c r="F36" s="222">
        <f t="shared" si="9"/>
        <v>8.3969465648854935E-2</v>
      </c>
      <c r="G36" s="201">
        <v>96.69</v>
      </c>
      <c r="H36" s="223">
        <f t="shared" ca="1" si="6"/>
        <v>55</v>
      </c>
      <c r="I36" s="224" t="str">
        <f t="shared" ca="1" si="7"/>
        <v/>
      </c>
      <c r="J36" s="225">
        <f t="shared" si="8"/>
        <v>0.8</v>
      </c>
      <c r="K36" s="95"/>
      <c r="M36" s="72" t="s">
        <v>25</v>
      </c>
      <c r="N36" s="72" t="s">
        <v>26</v>
      </c>
      <c r="O36" s="72" t="s">
        <v>45</v>
      </c>
      <c r="P36" s="72" t="s">
        <v>65</v>
      </c>
      <c r="Q36" s="80" t="str">
        <f t="shared" si="0"/>
        <v>Spud System (Spud Wires)</v>
      </c>
      <c r="R36" s="81">
        <v>0</v>
      </c>
      <c r="S36" s="157">
        <v>0</v>
      </c>
      <c r="T36" s="58"/>
      <c r="U36" s="83">
        <v>6</v>
      </c>
      <c r="V36" s="84">
        <v>5.35</v>
      </c>
      <c r="W36" s="58"/>
      <c r="X36" s="85">
        <f t="shared" si="1"/>
        <v>6</v>
      </c>
      <c r="Y36" s="163">
        <f t="shared" si="1"/>
        <v>5.35</v>
      </c>
      <c r="Z36" s="43"/>
      <c r="AA36" s="86" t="s">
        <v>129</v>
      </c>
      <c r="AB36" s="87">
        <f>X24</f>
        <v>1</v>
      </c>
      <c r="AC36" s="161">
        <f>Y24</f>
        <v>0.78</v>
      </c>
    </row>
    <row r="37" spans="2:29" x14ac:dyDescent="0.2">
      <c r="B37" s="216">
        <f t="shared" si="5"/>
        <v>5</v>
      </c>
      <c r="C37" s="214" t="s">
        <v>90</v>
      </c>
      <c r="D37" s="215">
        <v>49</v>
      </c>
      <c r="E37" s="217">
        <f>SUM(D$33:D37)/SUM($D$33:$D$62)</f>
        <v>0.53435114503816794</v>
      </c>
      <c r="F37" s="222">
        <f t="shared" si="9"/>
        <v>7.4809160305343514E-2</v>
      </c>
      <c r="G37" s="201">
        <v>104.00999999999999</v>
      </c>
      <c r="H37" s="223">
        <f t="shared" ca="1" si="6"/>
        <v>49</v>
      </c>
      <c r="I37" s="224" t="str">
        <f t="shared" ca="1" si="7"/>
        <v/>
      </c>
      <c r="J37" s="225">
        <f t="shared" si="8"/>
        <v>0.8</v>
      </c>
      <c r="K37" s="95"/>
      <c r="M37" s="94" t="s">
        <v>25</v>
      </c>
      <c r="N37" s="88" t="s">
        <v>26</v>
      </c>
      <c r="O37" s="88" t="s">
        <v>45</v>
      </c>
      <c r="P37" s="88" t="s">
        <v>166</v>
      </c>
      <c r="Q37" s="89" t="str">
        <f t="shared" si="0"/>
        <v>Spud System (Walking Mechanisms (Carriage / Travel))</v>
      </c>
      <c r="R37" s="90">
        <v>0</v>
      </c>
      <c r="S37" s="158">
        <v>0</v>
      </c>
      <c r="T37" s="61"/>
      <c r="U37" s="92">
        <v>22</v>
      </c>
      <c r="V37" s="118">
        <v>62.84</v>
      </c>
      <c r="W37" s="61"/>
      <c r="X37" s="119">
        <f t="shared" si="1"/>
        <v>22</v>
      </c>
      <c r="Y37" s="164">
        <f t="shared" si="1"/>
        <v>62.84</v>
      </c>
      <c r="Z37" s="43"/>
      <c r="AA37" s="86" t="s">
        <v>84</v>
      </c>
      <c r="AB37" s="87">
        <f>X25</f>
        <v>7</v>
      </c>
      <c r="AC37" s="161">
        <f>Y25</f>
        <v>41.3</v>
      </c>
    </row>
    <row r="38" spans="2:29" x14ac:dyDescent="0.2">
      <c r="B38" s="216">
        <f t="shared" si="5"/>
        <v>6</v>
      </c>
      <c r="C38" s="214" t="s">
        <v>91</v>
      </c>
      <c r="D38" s="215">
        <v>36</v>
      </c>
      <c r="E38" s="217">
        <f>SUM(D$33:D38)/SUM($D$33:$D$62)</f>
        <v>0.58931297709923669</v>
      </c>
      <c r="F38" s="222">
        <f t="shared" si="9"/>
        <v>5.4961832061068749E-2</v>
      </c>
      <c r="G38" s="213">
        <v>54.8</v>
      </c>
      <c r="H38" s="223">
        <f t="shared" ca="1" si="6"/>
        <v>36</v>
      </c>
      <c r="I38" s="224" t="str">
        <f t="shared" ca="1" si="7"/>
        <v/>
      </c>
      <c r="J38" s="225">
        <f t="shared" si="8"/>
        <v>0.8</v>
      </c>
      <c r="K38" s="95"/>
      <c r="M38" s="72" t="s">
        <v>25</v>
      </c>
      <c r="N38" s="72" t="s">
        <v>26</v>
      </c>
      <c r="O38" s="72" t="s">
        <v>46</v>
      </c>
      <c r="P38" s="72" t="s">
        <v>119</v>
      </c>
      <c r="Q38" s="80" t="str">
        <f t="shared" si="0"/>
        <v>Tagline (Tagline Sheaves)</v>
      </c>
      <c r="R38" s="81">
        <v>0</v>
      </c>
      <c r="S38" s="157">
        <v>0</v>
      </c>
      <c r="T38" s="58"/>
      <c r="U38" s="83">
        <v>5</v>
      </c>
      <c r="V38" s="84">
        <v>0.60000000000000009</v>
      </c>
      <c r="W38" s="58"/>
      <c r="X38" s="85">
        <f t="shared" si="1"/>
        <v>5</v>
      </c>
      <c r="Y38" s="163">
        <f t="shared" si="1"/>
        <v>0.60000000000000009</v>
      </c>
      <c r="Z38" s="43"/>
    </row>
    <row r="39" spans="2:29" x14ac:dyDescent="0.2">
      <c r="B39" s="216">
        <f t="shared" si="5"/>
        <v>7</v>
      </c>
      <c r="C39" s="214" t="s">
        <v>178</v>
      </c>
      <c r="D39" s="215">
        <v>33</v>
      </c>
      <c r="E39" s="217">
        <f>SUM(D$33:D39)/SUM($D$33:$D$62)</f>
        <v>0.63969465648854962</v>
      </c>
      <c r="F39" s="222">
        <f t="shared" si="9"/>
        <v>5.0381679389312928E-2</v>
      </c>
      <c r="G39" s="213">
        <v>71.22</v>
      </c>
      <c r="H39" s="223">
        <f t="shared" ca="1" si="6"/>
        <v>33</v>
      </c>
      <c r="I39" s="224" t="str">
        <f t="shared" ca="1" si="7"/>
        <v/>
      </c>
      <c r="J39" s="225">
        <f t="shared" si="8"/>
        <v>0.8</v>
      </c>
      <c r="K39" s="95"/>
      <c r="M39" s="72" t="s">
        <v>25</v>
      </c>
      <c r="N39" s="72" t="s">
        <v>26</v>
      </c>
      <c r="O39" s="72" t="s">
        <v>46</v>
      </c>
      <c r="P39" s="72" t="s">
        <v>168</v>
      </c>
      <c r="Q39" s="80" t="str">
        <f t="shared" si="0"/>
        <v>Tagline (Tagline Winch (motor, gearbox, etc.))</v>
      </c>
      <c r="R39" s="81">
        <v>0</v>
      </c>
      <c r="S39" s="157">
        <v>0</v>
      </c>
      <c r="T39" s="58"/>
      <c r="U39" s="83">
        <v>8</v>
      </c>
      <c r="V39" s="84">
        <v>211.26</v>
      </c>
      <c r="W39" s="58"/>
      <c r="X39" s="85">
        <f t="shared" si="1"/>
        <v>8</v>
      </c>
      <c r="Y39" s="163">
        <f t="shared" si="1"/>
        <v>211.26</v>
      </c>
      <c r="Z39" s="43"/>
    </row>
    <row r="40" spans="2:29" x14ac:dyDescent="0.2">
      <c r="B40" s="216">
        <f t="shared" si="5"/>
        <v>8</v>
      </c>
      <c r="C40" s="214" t="s">
        <v>163</v>
      </c>
      <c r="D40" s="215">
        <v>30</v>
      </c>
      <c r="E40" s="217">
        <f>SUM(D$33:D40)/SUM($D$33:$D$62)</f>
        <v>0.68549618320610683</v>
      </c>
      <c r="F40" s="222">
        <f t="shared" si="9"/>
        <v>4.5801526717557217E-2</v>
      </c>
      <c r="G40" s="213">
        <v>35.940000000000005</v>
      </c>
      <c r="H40" s="223">
        <f t="shared" ca="1" si="6"/>
        <v>30</v>
      </c>
      <c r="I40" s="224" t="str">
        <f t="shared" ca="1" si="7"/>
        <v/>
      </c>
      <c r="J40" s="225">
        <f t="shared" si="8"/>
        <v>0.8</v>
      </c>
      <c r="K40" s="95"/>
      <c r="M40" s="94" t="s">
        <v>25</v>
      </c>
      <c r="N40" s="88" t="s">
        <v>26</v>
      </c>
      <c r="O40" s="88" t="s">
        <v>46</v>
      </c>
      <c r="P40" s="88" t="s">
        <v>162</v>
      </c>
      <c r="Q40" s="89" t="str">
        <f t="shared" si="0"/>
        <v>Tagline (Tagline Wire)</v>
      </c>
      <c r="R40" s="90">
        <v>0</v>
      </c>
      <c r="S40" s="158">
        <v>0</v>
      </c>
      <c r="T40" s="61"/>
      <c r="U40" s="92">
        <v>30</v>
      </c>
      <c r="V40" s="118">
        <v>35.940000000000005</v>
      </c>
      <c r="W40" s="61"/>
      <c r="X40" s="119">
        <f t="shared" si="1"/>
        <v>30</v>
      </c>
      <c r="Y40" s="164">
        <f t="shared" si="1"/>
        <v>35.940000000000005</v>
      </c>
      <c r="Z40" s="43"/>
      <c r="AA40" s="86" t="s">
        <v>85</v>
      </c>
      <c r="AB40" s="87">
        <f t="shared" ref="AB40:AC42" si="10">X26</f>
        <v>0</v>
      </c>
      <c r="AC40" s="161">
        <f t="shared" si="10"/>
        <v>0</v>
      </c>
    </row>
    <row r="41" spans="2:29" x14ac:dyDescent="0.2">
      <c r="B41" s="216">
        <f t="shared" si="5"/>
        <v>9</v>
      </c>
      <c r="C41" s="214" t="s">
        <v>80</v>
      </c>
      <c r="D41" s="215">
        <v>25</v>
      </c>
      <c r="E41" s="217">
        <f>SUM(D$33:D41)/SUM($D$33:$D$62)</f>
        <v>0.72366412213740461</v>
      </c>
      <c r="F41" s="222">
        <f t="shared" si="9"/>
        <v>3.8167938931297773E-2</v>
      </c>
      <c r="G41" s="213">
        <v>11.728888888864311</v>
      </c>
      <c r="H41" s="223">
        <f t="shared" ca="1" si="6"/>
        <v>25</v>
      </c>
      <c r="I41" s="224" t="str">
        <f t="shared" ca="1" si="7"/>
        <v/>
      </c>
      <c r="J41" s="225">
        <f t="shared" si="8"/>
        <v>0.8</v>
      </c>
      <c r="K41" s="95"/>
      <c r="M41" s="72" t="s">
        <v>25</v>
      </c>
      <c r="N41" s="72" t="s">
        <v>26</v>
      </c>
      <c r="O41" s="72" t="s">
        <v>47</v>
      </c>
      <c r="P41" s="72" t="s">
        <v>67</v>
      </c>
      <c r="Q41" s="80" t="str">
        <f t="shared" si="0"/>
        <v>Tugs and Scows (Scow Repair)</v>
      </c>
      <c r="R41" s="81">
        <v>1</v>
      </c>
      <c r="S41" s="157">
        <v>2.8902777777984738</v>
      </c>
      <c r="T41" s="58"/>
      <c r="U41" s="83">
        <v>109</v>
      </c>
      <c r="V41" s="84">
        <v>201.70999999999998</v>
      </c>
      <c r="W41" s="58"/>
      <c r="X41" s="85">
        <f t="shared" si="1"/>
        <v>110</v>
      </c>
      <c r="Y41" s="163">
        <f t="shared" si="1"/>
        <v>204.60027777779845</v>
      </c>
      <c r="Z41" s="43"/>
      <c r="AA41" s="86" t="s">
        <v>86</v>
      </c>
      <c r="AB41" s="87">
        <f t="shared" si="10"/>
        <v>18</v>
      </c>
      <c r="AC41" s="161">
        <f t="shared" si="10"/>
        <v>86.33</v>
      </c>
    </row>
    <row r="42" spans="2:29" x14ac:dyDescent="0.2">
      <c r="B42" s="216">
        <f t="shared" si="5"/>
        <v>10</v>
      </c>
      <c r="C42" s="214" t="s">
        <v>174</v>
      </c>
      <c r="D42" s="215">
        <v>22</v>
      </c>
      <c r="E42" s="217">
        <f>SUM(D$33:D42)/SUM($D$33:$D$62)</f>
        <v>0.75725190839694656</v>
      </c>
      <c r="F42" s="222">
        <f t="shared" si="9"/>
        <v>3.3587786259541952E-2</v>
      </c>
      <c r="G42" s="213">
        <v>62.84</v>
      </c>
      <c r="H42" s="223">
        <f t="shared" ca="1" si="6"/>
        <v>22</v>
      </c>
      <c r="I42" s="224" t="str">
        <f t="shared" ca="1" si="7"/>
        <v/>
      </c>
      <c r="J42" s="225">
        <f t="shared" si="8"/>
        <v>0.8</v>
      </c>
      <c r="K42" s="95"/>
      <c r="M42" s="72" t="s">
        <v>25</v>
      </c>
      <c r="N42" s="72" t="s">
        <v>26</v>
      </c>
      <c r="O42" s="72" t="s">
        <v>47</v>
      </c>
      <c r="P42" s="72" t="s">
        <v>68</v>
      </c>
      <c r="Q42" s="80" t="str">
        <f t="shared" si="0"/>
        <v>Tugs and Scows (Tug Repair)</v>
      </c>
      <c r="R42" s="81">
        <v>0</v>
      </c>
      <c r="S42" s="157">
        <v>0</v>
      </c>
      <c r="T42" s="58"/>
      <c r="U42" s="83">
        <v>4</v>
      </c>
      <c r="V42" s="84">
        <v>31.17</v>
      </c>
      <c r="W42" s="58"/>
      <c r="X42" s="85">
        <f t="shared" si="1"/>
        <v>4</v>
      </c>
      <c r="Y42" s="163">
        <f t="shared" si="1"/>
        <v>31.17</v>
      </c>
      <c r="Z42" s="43"/>
      <c r="AA42" s="86" t="s">
        <v>87</v>
      </c>
      <c r="AB42" s="87">
        <f t="shared" si="10"/>
        <v>57</v>
      </c>
      <c r="AC42" s="161">
        <f t="shared" si="10"/>
        <v>1182.08</v>
      </c>
    </row>
    <row r="43" spans="2:29" x14ac:dyDescent="0.2">
      <c r="B43" s="216">
        <f t="shared" si="5"/>
        <v>11</v>
      </c>
      <c r="C43" s="214" t="s">
        <v>94</v>
      </c>
      <c r="D43" s="215">
        <v>22</v>
      </c>
      <c r="E43" s="217">
        <f>SUM(D$33:D43)/SUM($D$33:$D$62)</f>
        <v>0.79083969465648851</v>
      </c>
      <c r="F43" s="222">
        <f t="shared" si="9"/>
        <v>3.3587786259541952E-2</v>
      </c>
      <c r="G43" s="201">
        <v>112.77027777774026</v>
      </c>
      <c r="H43" s="223">
        <f t="shared" ca="1" si="6"/>
        <v>22</v>
      </c>
      <c r="I43" s="224" t="str">
        <f t="shared" ca="1" si="7"/>
        <v/>
      </c>
      <c r="J43" s="225">
        <f t="shared" si="8"/>
        <v>0.8</v>
      </c>
      <c r="K43" s="95"/>
      <c r="M43" s="37"/>
      <c r="N43" s="37"/>
      <c r="O43" s="37"/>
      <c r="P43" s="37"/>
      <c r="Q43" s="32"/>
      <c r="R43" s="36"/>
      <c r="S43" s="36"/>
      <c r="T43" s="36"/>
      <c r="U43" s="36"/>
      <c r="V43" s="36"/>
      <c r="W43" s="36"/>
      <c r="X43" s="36"/>
      <c r="Y43" s="36"/>
      <c r="Z43" s="32"/>
    </row>
    <row r="44" spans="2:29" x14ac:dyDescent="0.2">
      <c r="B44" s="216">
        <f t="shared" si="5"/>
        <v>12</v>
      </c>
      <c r="C44" s="214" t="s">
        <v>177</v>
      </c>
      <c r="D44" s="215">
        <v>18</v>
      </c>
      <c r="E44" s="217">
        <f>SUM(D$33:D44)/SUM($D$33:$D$62)</f>
        <v>0.81832061068702289</v>
      </c>
      <c r="F44" s="222">
        <f t="shared" si="9"/>
        <v>2.7480916030534375E-2</v>
      </c>
      <c r="G44" s="201">
        <v>86.33</v>
      </c>
      <c r="H44" s="223">
        <f t="shared" ca="1" si="6"/>
        <v>18</v>
      </c>
      <c r="I44" s="224" t="str">
        <f t="shared" ca="1" si="7"/>
        <v/>
      </c>
      <c r="J44" s="225">
        <f t="shared" si="8"/>
        <v>0.8</v>
      </c>
      <c r="K44" s="95"/>
    </row>
    <row r="45" spans="2:29" x14ac:dyDescent="0.2">
      <c r="B45" s="216">
        <f t="shared" si="5"/>
        <v>13</v>
      </c>
      <c r="C45" s="203" t="s">
        <v>173</v>
      </c>
      <c r="D45" s="204">
        <v>18</v>
      </c>
      <c r="E45" s="217">
        <f>SUM(D$33:D45)/SUM($D$33:$D$62)</f>
        <v>0.84580152671755726</v>
      </c>
      <c r="F45" s="222">
        <f t="shared" ref="F45" si="11">E45-E44</f>
        <v>2.7480916030534375E-2</v>
      </c>
      <c r="G45" s="213">
        <v>17.43</v>
      </c>
      <c r="H45" s="223" t="str">
        <f t="shared" ca="1" si="6"/>
        <v/>
      </c>
      <c r="I45" s="224">
        <f t="shared" ca="1" si="7"/>
        <v>18</v>
      </c>
      <c r="J45" s="225">
        <f t="shared" si="8"/>
        <v>0.8</v>
      </c>
      <c r="K45" s="95"/>
      <c r="U45" s="154"/>
      <c r="V45" s="154"/>
      <c r="AA45" s="86" t="s">
        <v>88</v>
      </c>
      <c r="AB45" s="87">
        <f t="shared" ref="AB45:AC48" si="12">X29</f>
        <v>8</v>
      </c>
      <c r="AC45" s="161">
        <f t="shared" si="12"/>
        <v>81.38</v>
      </c>
    </row>
    <row r="46" spans="2:29" x14ac:dyDescent="0.2">
      <c r="B46" s="216">
        <f t="shared" si="5"/>
        <v>14</v>
      </c>
      <c r="C46" s="203" t="s">
        <v>27</v>
      </c>
      <c r="D46" s="204">
        <v>14</v>
      </c>
      <c r="E46" s="217">
        <f>SUM(D$33:D46)/SUM($D$33:$D$62)</f>
        <v>0.86717557251908395</v>
      </c>
      <c r="F46" s="222">
        <f t="shared" si="9"/>
        <v>2.1374045801526687E-2</v>
      </c>
      <c r="G46" s="213">
        <v>7.6400000000000006</v>
      </c>
      <c r="H46" s="223" t="str">
        <f t="shared" ca="1" si="6"/>
        <v/>
      </c>
      <c r="I46" s="224">
        <f t="shared" ca="1" si="7"/>
        <v>14</v>
      </c>
      <c r="J46" s="225">
        <f t="shared" si="8"/>
        <v>0.8</v>
      </c>
      <c r="K46" s="95"/>
      <c r="O46" s="244" t="s">
        <v>133</v>
      </c>
      <c r="P46" s="244"/>
      <c r="Q46" s="244"/>
      <c r="R46" s="36"/>
      <c r="S46" s="36"/>
      <c r="U46" s="154"/>
      <c r="V46" s="154"/>
      <c r="AA46" s="86" t="s">
        <v>89</v>
      </c>
      <c r="AB46" s="87">
        <f t="shared" si="12"/>
        <v>55</v>
      </c>
      <c r="AC46" s="161">
        <f t="shared" si="12"/>
        <v>96.69</v>
      </c>
    </row>
    <row r="47" spans="2:29" x14ac:dyDescent="0.2">
      <c r="B47" s="216">
        <f t="shared" si="5"/>
        <v>15</v>
      </c>
      <c r="C47" s="203" t="s">
        <v>79</v>
      </c>
      <c r="D47" s="204">
        <v>11</v>
      </c>
      <c r="E47" s="217">
        <f>SUM(D$33:D47)/SUM($D$33:$D$62)</f>
        <v>0.88396946564885492</v>
      </c>
      <c r="F47" s="222">
        <f t="shared" si="9"/>
        <v>1.6793893129770976E-2</v>
      </c>
      <c r="G47" s="213">
        <v>5.4447222222131675</v>
      </c>
      <c r="H47" s="223" t="str">
        <f t="shared" ca="1" si="6"/>
        <v/>
      </c>
      <c r="I47" s="224">
        <f t="shared" ca="1" si="7"/>
        <v>11</v>
      </c>
      <c r="J47" s="225">
        <f t="shared" si="8"/>
        <v>0.8</v>
      </c>
      <c r="K47" s="95"/>
      <c r="O47" s="37"/>
      <c r="P47" s="144"/>
      <c r="Q47" s="144"/>
      <c r="R47" s="36"/>
      <c r="S47" s="36"/>
      <c r="U47" s="154"/>
      <c r="V47" s="154"/>
      <c r="AA47" s="86" t="s">
        <v>90</v>
      </c>
      <c r="AB47" s="87">
        <f t="shared" si="12"/>
        <v>49</v>
      </c>
      <c r="AC47" s="161">
        <f t="shared" si="12"/>
        <v>104.00999999999999</v>
      </c>
    </row>
    <row r="48" spans="2:29" x14ac:dyDescent="0.2">
      <c r="B48" s="216">
        <f t="shared" si="5"/>
        <v>16</v>
      </c>
      <c r="C48" s="203" t="s">
        <v>181</v>
      </c>
      <c r="D48" s="204">
        <v>10</v>
      </c>
      <c r="E48" s="217">
        <f>SUM(D$33:D48)/SUM($D$33:$D$62)</f>
        <v>0.89923664122137403</v>
      </c>
      <c r="F48" s="222">
        <f t="shared" si="9"/>
        <v>1.5267175572519109E-2</v>
      </c>
      <c r="G48" s="213">
        <v>24.76</v>
      </c>
      <c r="H48" s="223" t="str">
        <f t="shared" ca="1" si="6"/>
        <v/>
      </c>
      <c r="I48" s="224">
        <f t="shared" ca="1" si="7"/>
        <v>10</v>
      </c>
      <c r="J48" s="225">
        <f t="shared" si="8"/>
        <v>0.8</v>
      </c>
      <c r="K48" s="95"/>
      <c r="O48" s="37"/>
      <c r="P48" s="144"/>
      <c r="Q48" s="144"/>
      <c r="R48" s="36"/>
      <c r="S48" s="36"/>
      <c r="U48" s="154"/>
      <c r="V48" s="154"/>
      <c r="AA48" s="86" t="s">
        <v>91</v>
      </c>
      <c r="AB48" s="87">
        <f t="shared" si="12"/>
        <v>36</v>
      </c>
      <c r="AC48" s="161">
        <f t="shared" si="12"/>
        <v>54.8</v>
      </c>
    </row>
    <row r="49" spans="2:29" x14ac:dyDescent="0.2">
      <c r="B49" s="216">
        <f t="shared" si="5"/>
        <v>17</v>
      </c>
      <c r="C49" s="203" t="s">
        <v>180</v>
      </c>
      <c r="D49" s="204">
        <v>8</v>
      </c>
      <c r="E49" s="217">
        <f>SUM(D$33:D49)/SUM($D$33:$D$62)</f>
        <v>0.9114503816793893</v>
      </c>
      <c r="F49" s="222">
        <f t="shared" si="9"/>
        <v>1.2213740458015265E-2</v>
      </c>
      <c r="G49" s="201">
        <v>211.26</v>
      </c>
      <c r="H49" s="223" t="str">
        <f t="shared" ca="1" si="6"/>
        <v/>
      </c>
      <c r="I49" s="224">
        <f t="shared" ca="1" si="7"/>
        <v>8</v>
      </c>
      <c r="J49" s="225">
        <f t="shared" si="8"/>
        <v>0.8</v>
      </c>
      <c r="K49" s="95"/>
      <c r="O49" s="108"/>
      <c r="P49" s="144"/>
      <c r="Q49" s="144"/>
      <c r="R49" s="36"/>
      <c r="S49" s="36"/>
      <c r="U49" s="154"/>
      <c r="V49" s="154"/>
    </row>
    <row r="50" spans="2:29" x14ac:dyDescent="0.2">
      <c r="B50" s="216">
        <f t="shared" si="5"/>
        <v>18</v>
      </c>
      <c r="C50" s="203" t="s">
        <v>88</v>
      </c>
      <c r="D50" s="204">
        <v>8</v>
      </c>
      <c r="E50" s="217">
        <f>SUM(D$33:D50)/SUM($D$33:$D$62)</f>
        <v>0.92366412213740456</v>
      </c>
      <c r="F50" s="222">
        <f t="shared" si="9"/>
        <v>1.2213740458015265E-2</v>
      </c>
      <c r="G50" s="213">
        <v>81.38</v>
      </c>
      <c r="H50" s="223" t="str">
        <f t="shared" ca="1" si="6"/>
        <v/>
      </c>
      <c r="I50" s="224">
        <f t="shared" ca="1" si="7"/>
        <v>8</v>
      </c>
      <c r="J50" s="225">
        <f t="shared" si="8"/>
        <v>0.8</v>
      </c>
      <c r="K50" s="95"/>
      <c r="O50" s="109"/>
      <c r="P50" s="37"/>
      <c r="Q50" s="32"/>
      <c r="R50" s="32"/>
      <c r="S50" s="32"/>
      <c r="U50" s="154"/>
      <c r="V50" s="154"/>
    </row>
    <row r="51" spans="2:29" x14ac:dyDescent="0.2">
      <c r="B51" s="216">
        <f t="shared" si="5"/>
        <v>19</v>
      </c>
      <c r="C51" s="203" t="s">
        <v>84</v>
      </c>
      <c r="D51" s="204">
        <v>7</v>
      </c>
      <c r="E51" s="217">
        <f>SUM(D$33:D51)/SUM($D$33:$D$62)</f>
        <v>0.93435114503816796</v>
      </c>
      <c r="F51" s="222">
        <f t="shared" si="9"/>
        <v>1.0687022900763399E-2</v>
      </c>
      <c r="G51" s="213">
        <v>41.3</v>
      </c>
      <c r="H51" s="223" t="str">
        <f t="shared" ca="1" si="6"/>
        <v/>
      </c>
      <c r="I51" s="224">
        <f t="shared" ca="1" si="7"/>
        <v>7</v>
      </c>
      <c r="J51" s="225">
        <f t="shared" si="8"/>
        <v>0.8</v>
      </c>
      <c r="K51" s="95"/>
      <c r="O51" s="108"/>
      <c r="P51" s="37"/>
      <c r="Q51" s="32"/>
      <c r="R51" s="32"/>
      <c r="S51" s="32"/>
      <c r="U51"/>
      <c r="V51" s="155"/>
      <c r="AA51" s="86" t="s">
        <v>92</v>
      </c>
      <c r="AB51" s="87">
        <f t="shared" ref="AB51:AC55" si="13">X33</f>
        <v>5</v>
      </c>
      <c r="AC51" s="161">
        <f t="shared" si="13"/>
        <v>5.53</v>
      </c>
    </row>
    <row r="52" spans="2:29" x14ac:dyDescent="0.2">
      <c r="B52" s="216">
        <f t="shared" si="5"/>
        <v>20</v>
      </c>
      <c r="C52" s="203" t="s">
        <v>76</v>
      </c>
      <c r="D52" s="204">
        <v>7</v>
      </c>
      <c r="E52" s="217">
        <f>SUM(D$33:D52)/SUM($D$33:$D$62)</f>
        <v>0.94503816793893125</v>
      </c>
      <c r="F52" s="222">
        <f t="shared" si="9"/>
        <v>1.0687022900763288E-2</v>
      </c>
      <c r="G52" s="213">
        <v>34.583611111098435</v>
      </c>
      <c r="H52" s="223" t="str">
        <f t="shared" ca="1" si="6"/>
        <v/>
      </c>
      <c r="I52" s="224">
        <f t="shared" ca="1" si="7"/>
        <v>7</v>
      </c>
      <c r="J52" s="225">
        <f t="shared" si="8"/>
        <v>0.8</v>
      </c>
      <c r="K52" s="95"/>
      <c r="O52" s="108"/>
      <c r="P52" s="110" t="s">
        <v>135</v>
      </c>
      <c r="Q52" s="241" t="s">
        <v>134</v>
      </c>
      <c r="R52" s="241"/>
      <c r="S52" s="241"/>
      <c r="U52" s="154"/>
      <c r="V52" s="155"/>
      <c r="AA52" s="86" t="s">
        <v>93</v>
      </c>
      <c r="AB52" s="87">
        <f t="shared" si="13"/>
        <v>1</v>
      </c>
      <c r="AC52" s="161">
        <f t="shared" si="13"/>
        <v>0.41</v>
      </c>
    </row>
    <row r="53" spans="2:29" x14ac:dyDescent="0.2">
      <c r="B53" s="216">
        <f t="shared" si="5"/>
        <v>21</v>
      </c>
      <c r="C53" s="203" t="s">
        <v>95</v>
      </c>
      <c r="D53" s="204">
        <v>6</v>
      </c>
      <c r="E53" s="217">
        <f>SUM(D$33:D53)/SUM($D$33:$D$62)</f>
        <v>0.95419847328244278</v>
      </c>
      <c r="F53" s="222">
        <f t="shared" si="9"/>
        <v>9.1603053435115323E-3</v>
      </c>
      <c r="G53" s="213">
        <v>5.35</v>
      </c>
      <c r="H53" s="223" t="str">
        <f t="shared" ca="1" si="6"/>
        <v/>
      </c>
      <c r="I53" s="224">
        <f t="shared" ca="1" si="7"/>
        <v>6</v>
      </c>
      <c r="J53" s="225">
        <f t="shared" si="8"/>
        <v>0.8</v>
      </c>
      <c r="K53" s="95"/>
      <c r="O53" s="108"/>
      <c r="P53" s="37"/>
      <c r="Q53" s="32"/>
      <c r="R53" s="32"/>
      <c r="S53" s="32"/>
      <c r="U53" s="154"/>
      <c r="V53" s="155"/>
      <c r="AA53" s="86" t="s">
        <v>94</v>
      </c>
      <c r="AB53" s="87">
        <f t="shared" si="13"/>
        <v>22</v>
      </c>
      <c r="AC53" s="161">
        <f t="shared" si="13"/>
        <v>112.77027777774026</v>
      </c>
    </row>
    <row r="54" spans="2:29" x14ac:dyDescent="0.2">
      <c r="B54" s="216">
        <f t="shared" si="5"/>
        <v>22</v>
      </c>
      <c r="C54" s="203" t="s">
        <v>130</v>
      </c>
      <c r="D54" s="204">
        <v>5</v>
      </c>
      <c r="E54" s="217">
        <f>SUM(D$33:D54)/SUM($D$33:$D$62)</f>
        <v>0.96183206106870234</v>
      </c>
      <c r="F54" s="222">
        <f t="shared" si="9"/>
        <v>7.6335877862595547E-3</v>
      </c>
      <c r="G54" s="213">
        <v>0.60000000000000009</v>
      </c>
      <c r="H54" s="223" t="str">
        <f t="shared" ca="1" si="6"/>
        <v/>
      </c>
      <c r="I54" s="224">
        <f t="shared" ca="1" si="7"/>
        <v>5</v>
      </c>
      <c r="J54" s="225">
        <f t="shared" si="8"/>
        <v>0.8</v>
      </c>
      <c r="K54" s="95"/>
      <c r="O54" s="108"/>
      <c r="P54" s="36">
        <f>RANK(R54,$Q$54:$R$93,0)+COUNTIF($Q54:R$93,R54)-1</f>
        <v>14</v>
      </c>
      <c r="Q54" s="111" t="str">
        <f>Q3</f>
        <v>Auxiliary Systems (Compressed Air)</v>
      </c>
      <c r="R54" s="112">
        <f>X3</f>
        <v>14</v>
      </c>
      <c r="S54" s="165">
        <f>Y3</f>
        <v>7.6400000000000006</v>
      </c>
      <c r="AA54" s="86" t="s">
        <v>95</v>
      </c>
      <c r="AB54" s="87">
        <f t="shared" si="13"/>
        <v>6</v>
      </c>
      <c r="AC54" s="161">
        <f t="shared" si="13"/>
        <v>5.35</v>
      </c>
    </row>
    <row r="55" spans="2:29" x14ac:dyDescent="0.2">
      <c r="B55" s="216">
        <f t="shared" si="5"/>
        <v>23</v>
      </c>
      <c r="C55" s="203" t="s">
        <v>92</v>
      </c>
      <c r="D55" s="204">
        <v>5</v>
      </c>
      <c r="E55" s="217">
        <f>SUM(D$33:D55)/SUM($D$33:$D$62)</f>
        <v>0.96946564885496178</v>
      </c>
      <c r="F55" s="222">
        <f t="shared" si="9"/>
        <v>7.6335877862594437E-3</v>
      </c>
      <c r="G55" s="213">
        <v>5.53</v>
      </c>
      <c r="H55" s="223" t="str">
        <f t="shared" ca="1" si="6"/>
        <v/>
      </c>
      <c r="I55" s="224">
        <f t="shared" ca="1" si="7"/>
        <v>5</v>
      </c>
      <c r="J55" s="225">
        <f t="shared" si="8"/>
        <v>0.8</v>
      </c>
      <c r="K55" s="95"/>
      <c r="O55" s="108"/>
      <c r="P55" s="36">
        <f>RANK(R55,$Q$54:$R$93,0)+COUNTIF($Q55:R$93,R55)-1</f>
        <v>24</v>
      </c>
      <c r="Q55" s="111" t="str">
        <f t="shared" ref="Q55:Q93" si="14">Q4</f>
        <v>Auxiliary Systems (Deck Crane)</v>
      </c>
      <c r="R55" s="112">
        <f t="shared" ref="R55:S70" si="15">X4</f>
        <v>5</v>
      </c>
      <c r="S55" s="165">
        <f t="shared" si="15"/>
        <v>2.81</v>
      </c>
      <c r="AA55" s="86" t="s">
        <v>96</v>
      </c>
      <c r="AB55" s="87">
        <f t="shared" si="13"/>
        <v>22</v>
      </c>
      <c r="AC55" s="161">
        <f t="shared" si="13"/>
        <v>62.84</v>
      </c>
    </row>
    <row r="56" spans="2:29" x14ac:dyDescent="0.2">
      <c r="B56" s="216">
        <f t="shared" si="5"/>
        <v>24</v>
      </c>
      <c r="C56" s="203" t="s">
        <v>69</v>
      </c>
      <c r="D56" s="204">
        <v>5</v>
      </c>
      <c r="E56" s="217">
        <f>SUM(D$33:D56)/SUM($D$33:$D$62)</f>
        <v>0.97709923664122134</v>
      </c>
      <c r="F56" s="222">
        <f t="shared" si="9"/>
        <v>7.6335877862595547E-3</v>
      </c>
      <c r="G56" s="213">
        <v>2.81</v>
      </c>
      <c r="H56" s="223" t="str">
        <f t="shared" ca="1" si="6"/>
        <v/>
      </c>
      <c r="I56" s="224">
        <f t="shared" ca="1" si="7"/>
        <v>5</v>
      </c>
      <c r="J56" s="225">
        <f t="shared" si="8"/>
        <v>0.8</v>
      </c>
      <c r="K56" s="95"/>
      <c r="O56" s="108"/>
      <c r="P56" s="36">
        <f>RANK(R56,$Q$54:$R$93,0)+COUNTIF($Q56:R$93,R56)-1</f>
        <v>40</v>
      </c>
      <c r="Q56" s="111" t="str">
        <f t="shared" si="14"/>
        <v>Auxiliary Systems (Fire Main)</v>
      </c>
      <c r="R56" s="112">
        <f t="shared" si="15"/>
        <v>0</v>
      </c>
      <c r="S56" s="165">
        <f t="shared" si="15"/>
        <v>0</v>
      </c>
    </row>
    <row r="57" spans="2:29" x14ac:dyDescent="0.2">
      <c r="B57" s="216">
        <f t="shared" si="5"/>
        <v>25</v>
      </c>
      <c r="C57" s="203" t="s">
        <v>98</v>
      </c>
      <c r="D57" s="204">
        <v>4</v>
      </c>
      <c r="E57" s="217">
        <f>SUM(D$33:D57)/SUM($D$33:$D$62)</f>
        <v>0.98320610687022902</v>
      </c>
      <c r="F57" s="222">
        <f t="shared" si="9"/>
        <v>6.1068702290076882E-3</v>
      </c>
      <c r="G57" s="213">
        <v>31.17</v>
      </c>
      <c r="H57" s="223" t="str">
        <f t="shared" ca="1" si="6"/>
        <v/>
      </c>
      <c r="I57" s="224">
        <f t="shared" ca="1" si="7"/>
        <v>4</v>
      </c>
      <c r="J57" s="225">
        <f t="shared" si="8"/>
        <v>0.8</v>
      </c>
      <c r="K57" s="95"/>
      <c r="O57" s="108"/>
      <c r="P57" s="36">
        <f>RANK(R57,$Q$54:$R$93,0)+COUNTIF($Q57:R$93,R57)-1</f>
        <v>39</v>
      </c>
      <c r="Q57" s="111" t="str">
        <f t="shared" si="14"/>
        <v>Auxiliary Systems (Fuel)</v>
      </c>
      <c r="R57" s="112">
        <f t="shared" si="15"/>
        <v>0</v>
      </c>
      <c r="S57" s="165">
        <f t="shared" si="15"/>
        <v>0</v>
      </c>
    </row>
    <row r="58" spans="2:29" x14ac:dyDescent="0.2">
      <c r="B58" s="216">
        <f t="shared" si="5"/>
        <v>26</v>
      </c>
      <c r="C58" s="203" t="s">
        <v>182</v>
      </c>
      <c r="D58" s="204">
        <v>4</v>
      </c>
      <c r="E58" s="217">
        <f>SUM(D$33:D58)/SUM($D$33:$D$62)</f>
        <v>0.9893129770992366</v>
      </c>
      <c r="F58" s="222">
        <f t="shared" si="9"/>
        <v>6.1068702290075771E-3</v>
      </c>
      <c r="G58" s="213">
        <v>0.57000000000000006</v>
      </c>
      <c r="H58" s="223" t="str">
        <f t="shared" ca="1" si="6"/>
        <v/>
      </c>
      <c r="I58" s="224">
        <f t="shared" ca="1" si="7"/>
        <v>4</v>
      </c>
      <c r="J58" s="225">
        <f t="shared" si="8"/>
        <v>0.8</v>
      </c>
      <c r="K58" s="95"/>
      <c r="O58" s="108"/>
      <c r="P58" s="36">
        <f>RANK(R58,$Q$54:$R$93,0)+COUNTIF($Q58:R$93,R58)-1</f>
        <v>38</v>
      </c>
      <c r="Q58" s="111" t="str">
        <f t="shared" si="14"/>
        <v>Auxiliary Systems (Heating, Ventilation, A/C)</v>
      </c>
      <c r="R58" s="112">
        <f t="shared" si="15"/>
        <v>0</v>
      </c>
      <c r="S58" s="165">
        <f t="shared" si="15"/>
        <v>0</v>
      </c>
      <c r="AA58" s="86" t="s">
        <v>130</v>
      </c>
      <c r="AB58" s="87">
        <f t="shared" ref="AB58:AC60" si="16">X38</f>
        <v>5</v>
      </c>
      <c r="AC58" s="161">
        <f t="shared" si="16"/>
        <v>0.60000000000000009</v>
      </c>
    </row>
    <row r="59" spans="2:29" x14ac:dyDescent="0.2">
      <c r="B59" s="216">
        <f t="shared" si="5"/>
        <v>27</v>
      </c>
      <c r="C59" s="203" t="s">
        <v>74</v>
      </c>
      <c r="D59" s="204">
        <v>3</v>
      </c>
      <c r="E59" s="217">
        <f>SUM(D$33:D59)/SUM($D$33:$D$62)</f>
        <v>0.99389312977099231</v>
      </c>
      <c r="F59" s="222">
        <f t="shared" si="9"/>
        <v>4.5801526717557106E-3</v>
      </c>
      <c r="G59" s="213">
        <v>1.73</v>
      </c>
      <c r="H59" s="223" t="str">
        <f t="shared" ca="1" si="6"/>
        <v/>
      </c>
      <c r="I59" s="224">
        <f t="shared" ca="1" si="7"/>
        <v>3</v>
      </c>
      <c r="J59" s="225">
        <f t="shared" si="8"/>
        <v>0.8</v>
      </c>
      <c r="K59" s="95"/>
      <c r="O59" s="108"/>
      <c r="P59" s="36">
        <f>RANK(R59,$Q$54:$R$93,0)+COUNTIF($Q59:R$93,R59)-1</f>
        <v>37</v>
      </c>
      <c r="Q59" s="111" t="str">
        <f t="shared" si="14"/>
        <v>Auxiliary Systems (Potable Water)</v>
      </c>
      <c r="R59" s="112">
        <f t="shared" si="15"/>
        <v>0</v>
      </c>
      <c r="S59" s="165">
        <f t="shared" si="15"/>
        <v>0</v>
      </c>
      <c r="AA59" s="86" t="s">
        <v>131</v>
      </c>
      <c r="AB59" s="87">
        <f t="shared" si="16"/>
        <v>8</v>
      </c>
      <c r="AC59" s="161">
        <f t="shared" si="16"/>
        <v>211.26</v>
      </c>
    </row>
    <row r="60" spans="2:29" x14ac:dyDescent="0.2">
      <c r="B60" s="216">
        <f t="shared" si="5"/>
        <v>28</v>
      </c>
      <c r="C60" s="203" t="s">
        <v>185</v>
      </c>
      <c r="D60" s="204">
        <v>2</v>
      </c>
      <c r="E60" s="217">
        <f>SUM(D$33:D60)/SUM($D$33:$D$62)</f>
        <v>0.99694656488549616</v>
      </c>
      <c r="F60" s="222">
        <f t="shared" si="9"/>
        <v>3.0534351145038441E-3</v>
      </c>
      <c r="G60" s="213">
        <v>2.41</v>
      </c>
      <c r="H60" s="223" t="str">
        <f t="shared" ca="1" si="6"/>
        <v/>
      </c>
      <c r="I60" s="224">
        <f t="shared" ca="1" si="7"/>
        <v>2</v>
      </c>
      <c r="J60" s="225">
        <f t="shared" si="8"/>
        <v>0.8</v>
      </c>
      <c r="K60" s="95"/>
      <c r="O60" s="108"/>
      <c r="P60" s="61">
        <f>RANK(R60,$Q$54:$R$93,0)+COUNTIF($Q60:R$93,R60)-1</f>
        <v>36</v>
      </c>
      <c r="Q60" s="189" t="str">
        <f t="shared" si="14"/>
        <v>Auxiliary Systems (Sanitary System)</v>
      </c>
      <c r="R60" s="190">
        <f t="shared" si="15"/>
        <v>0</v>
      </c>
      <c r="S60" s="191">
        <f t="shared" si="15"/>
        <v>0</v>
      </c>
      <c r="AA60" s="86" t="s">
        <v>132</v>
      </c>
      <c r="AB60" s="87">
        <f t="shared" si="16"/>
        <v>30</v>
      </c>
      <c r="AC60" s="161">
        <f t="shared" si="16"/>
        <v>35.940000000000005</v>
      </c>
    </row>
    <row r="61" spans="2:29" x14ac:dyDescent="0.2">
      <c r="B61" s="216">
        <f t="shared" si="5"/>
        <v>29</v>
      </c>
      <c r="C61" s="203" t="s">
        <v>93</v>
      </c>
      <c r="D61" s="204">
        <v>1</v>
      </c>
      <c r="E61" s="217">
        <f>SUM(D$33:D61)/SUM($D$33:$D$62)</f>
        <v>0.99847328244274813</v>
      </c>
      <c r="F61" s="222">
        <f t="shared" si="9"/>
        <v>1.5267175572519776E-3</v>
      </c>
      <c r="G61" s="213">
        <v>0.41</v>
      </c>
      <c r="H61" s="223" t="str">
        <f t="shared" ca="1" si="6"/>
        <v/>
      </c>
      <c r="I61" s="224">
        <f t="shared" ca="1" si="7"/>
        <v>1</v>
      </c>
      <c r="J61" s="225">
        <f t="shared" si="8"/>
        <v>0.8</v>
      </c>
      <c r="K61" s="95"/>
      <c r="O61" s="108"/>
      <c r="P61" s="61">
        <f>RANK(R61,$Q$54:$R$93,0)+COUNTIF($Q61:R$93,R61)-1</f>
        <v>2</v>
      </c>
      <c r="Q61" s="189" t="str">
        <f t="shared" si="14"/>
        <v>Buckets (Weld / Repair Bucket)</v>
      </c>
      <c r="R61" s="190">
        <f t="shared" si="15"/>
        <v>79</v>
      </c>
      <c r="S61" s="191">
        <f t="shared" si="15"/>
        <v>143.89000000000001</v>
      </c>
    </row>
    <row r="62" spans="2:29" x14ac:dyDescent="0.2">
      <c r="B62" s="216">
        <f t="shared" si="5"/>
        <v>30</v>
      </c>
      <c r="C62" s="203" t="s">
        <v>179</v>
      </c>
      <c r="D62" s="204">
        <v>1</v>
      </c>
      <c r="E62" s="217">
        <f>SUM(D$33:D62)/SUM($D$33:$D$62)</f>
        <v>1</v>
      </c>
      <c r="F62" s="222">
        <f t="shared" si="9"/>
        <v>1.5267175572518665E-3</v>
      </c>
      <c r="G62" s="213">
        <v>0.78</v>
      </c>
      <c r="H62" s="223" t="str">
        <f t="shared" ref="H62" ca="1" si="17">IF(OR(B62=1,OFFSET($E$32,B62-1,0,1,1)&lt;=$E$31),OFFSET($D$32,B62,0,1,1),"")</f>
        <v/>
      </c>
      <c r="I62" s="224">
        <f t="shared" ref="I62" ca="1" si="18">IF(H62="",OFFSET($D$32,B62,0,1,1),"")</f>
        <v>1</v>
      </c>
      <c r="J62" s="225">
        <f t="shared" si="8"/>
        <v>0.8</v>
      </c>
      <c r="K62" s="95"/>
      <c r="O62" s="108"/>
      <c r="P62" s="36">
        <f>RANK(R62,$Q$54:$R$93,0)+COUNTIF($Q62:R$93,R62)-1</f>
        <v>27</v>
      </c>
      <c r="Q62" s="111" t="str">
        <f t="shared" si="14"/>
        <v>Crane Boom (Boom / Gantry Sheaves)</v>
      </c>
      <c r="R62" s="112">
        <f t="shared" si="15"/>
        <v>3</v>
      </c>
      <c r="S62" s="165">
        <f t="shared" si="15"/>
        <v>1.73</v>
      </c>
    </row>
    <row r="63" spans="2:29" x14ac:dyDescent="0.2">
      <c r="B63" s="19" t="s">
        <v>12</v>
      </c>
      <c r="C63" s="1"/>
      <c r="D63" s="1"/>
      <c r="E63" s="1"/>
      <c r="F63" s="1"/>
      <c r="G63" s="1"/>
      <c r="H63" s="1"/>
      <c r="I63" s="1"/>
      <c r="J63" s="1"/>
      <c r="K63" s="95"/>
      <c r="O63" s="108"/>
      <c r="P63" s="36">
        <f>RANK(R63,$Q$54:$R$93,0)+COUNTIF($Q63:R$93,R63)-1</f>
        <v>35</v>
      </c>
      <c r="Q63" s="111" t="str">
        <f t="shared" si="14"/>
        <v>Crane Boom (Boom / Gantry Structure)</v>
      </c>
      <c r="R63" s="112">
        <f t="shared" si="15"/>
        <v>0</v>
      </c>
      <c r="S63" s="165">
        <f t="shared" si="15"/>
        <v>0</v>
      </c>
      <c r="AA63" s="86" t="s">
        <v>97</v>
      </c>
      <c r="AB63" s="87">
        <f>X41</f>
        <v>110</v>
      </c>
      <c r="AC63" s="161">
        <f>Y41</f>
        <v>204.60027777779845</v>
      </c>
    </row>
    <row r="64" spans="2:29" x14ac:dyDescent="0.2">
      <c r="K64" s="95"/>
      <c r="O64" s="108"/>
      <c r="P64" s="36">
        <f>RANK(R64,$Q$54:$R$93,0)+COUNTIF($Q64:R$93,R64)-1</f>
        <v>20</v>
      </c>
      <c r="Q64" s="111" t="str">
        <f t="shared" si="14"/>
        <v>Crane Boom (Boom Winch)</v>
      </c>
      <c r="R64" s="112">
        <f t="shared" si="15"/>
        <v>7</v>
      </c>
      <c r="S64" s="165">
        <f t="shared" si="15"/>
        <v>34.583611111098435</v>
      </c>
      <c r="AA64" s="86" t="s">
        <v>98</v>
      </c>
      <c r="AB64" s="87">
        <f>X42</f>
        <v>4</v>
      </c>
      <c r="AC64" s="161">
        <f>Y42</f>
        <v>31.17</v>
      </c>
    </row>
    <row r="65" spans="2:19" x14ac:dyDescent="0.2">
      <c r="K65" s="95"/>
      <c r="O65" s="108"/>
      <c r="P65" s="36">
        <f>RANK(R65,$Q$54:$R$93,0)+COUNTIF($Q65:R$93,R65)-1</f>
        <v>34</v>
      </c>
      <c r="Q65" s="111" t="str">
        <f t="shared" si="14"/>
        <v>Crane Boom (Boom Wires)</v>
      </c>
      <c r="R65" s="112">
        <f t="shared" si="15"/>
        <v>0</v>
      </c>
      <c r="S65" s="165">
        <f t="shared" si="15"/>
        <v>0</v>
      </c>
    </row>
    <row r="66" spans="2:19" x14ac:dyDescent="0.2">
      <c r="K66" s="95"/>
      <c r="O66" s="108"/>
      <c r="P66" s="61">
        <f>RANK(R66,$Q$54:$R$93,0)+COUNTIF($Q66:R$93,R66)-1</f>
        <v>33</v>
      </c>
      <c r="Q66" s="189" t="str">
        <f t="shared" si="14"/>
        <v>Crane Boom (Penant Wire)</v>
      </c>
      <c r="R66" s="190">
        <f t="shared" si="15"/>
        <v>0</v>
      </c>
      <c r="S66" s="191">
        <f t="shared" si="15"/>
        <v>0</v>
      </c>
    </row>
    <row r="67" spans="2:19" x14ac:dyDescent="0.2">
      <c r="K67" s="95"/>
      <c r="O67" s="108"/>
      <c r="P67" s="36">
        <f>RANK(R67,$Q$54:$R$93,0)+COUNTIF($Q67:R$93,R67)-1</f>
        <v>13</v>
      </c>
      <c r="Q67" s="111" t="str">
        <f t="shared" si="14"/>
        <v>Crane Swing (Drive (motor, gear box, etc.))</v>
      </c>
      <c r="R67" s="112">
        <f t="shared" si="15"/>
        <v>18</v>
      </c>
      <c r="S67" s="165">
        <f t="shared" si="15"/>
        <v>17.43</v>
      </c>
    </row>
    <row r="68" spans="2:19" x14ac:dyDescent="0.2">
      <c r="B68" s="114" t="s">
        <v>3</v>
      </c>
      <c r="C68" s="115" t="s">
        <v>136</v>
      </c>
      <c r="D68" s="115"/>
      <c r="E68" s="116" t="s">
        <v>137</v>
      </c>
      <c r="K68" s="95"/>
      <c r="O68" s="108"/>
      <c r="P68" s="61">
        <f>RANK(R68,$Q$54:$R$93,0)+COUNTIF($Q68:R$93,R68)-1</f>
        <v>26</v>
      </c>
      <c r="Q68" s="189" t="str">
        <f t="shared" si="14"/>
        <v>Crane Swing (Swing Circle (rollers, etc.))</v>
      </c>
      <c r="R68" s="190">
        <f t="shared" si="15"/>
        <v>4</v>
      </c>
      <c r="S68" s="191">
        <f t="shared" si="15"/>
        <v>0.57000000000000006</v>
      </c>
    </row>
    <row r="69" spans="2:19" x14ac:dyDescent="0.2">
      <c r="B69" s="32"/>
      <c r="C69" s="32"/>
      <c r="D69" s="32"/>
      <c r="E69" s="32"/>
      <c r="K69" s="95"/>
      <c r="O69" s="108"/>
      <c r="P69" s="36">
        <f>RANK(R69,$Q$54:$R$93,0)+COUNTIF($Q69:R$93,R69)-1</f>
        <v>15</v>
      </c>
      <c r="Q69" s="111" t="str">
        <f t="shared" si="14"/>
        <v>Deck Winch (Fairleads)</v>
      </c>
      <c r="R69" s="112">
        <f t="shared" si="15"/>
        <v>11</v>
      </c>
      <c r="S69" s="165">
        <f t="shared" si="15"/>
        <v>5.4447222222131675</v>
      </c>
    </row>
    <row r="70" spans="2:19" x14ac:dyDescent="0.2">
      <c r="B70" s="114">
        <v>1</v>
      </c>
      <c r="C70" s="32" t="str">
        <f>VLOOKUP(B70,$P$4:$S$93,2,0)</f>
        <v>Tugs and Scows (Scow Repair)</v>
      </c>
      <c r="D70" s="114">
        <f>VLOOKUP(B70,$P$4:$S$93,3,0)</f>
        <v>110</v>
      </c>
      <c r="E70" s="166">
        <f>VLOOKUP(B70,$P$4:$S$93,4,0)</f>
        <v>204.60027777779845</v>
      </c>
      <c r="K70" s="95"/>
      <c r="O70" s="108"/>
      <c r="P70" s="61">
        <f>RANK(R70,$Q$54:$R$93,0)+COUNTIF($Q70:R$93,R70)-1</f>
        <v>9</v>
      </c>
      <c r="Q70" s="189" t="str">
        <f t="shared" si="14"/>
        <v>Deck Winch (Winch)</v>
      </c>
      <c r="R70" s="190">
        <f t="shared" si="15"/>
        <v>25</v>
      </c>
      <c r="S70" s="191">
        <f t="shared" si="15"/>
        <v>11.728888888864311</v>
      </c>
    </row>
    <row r="71" spans="2:19" x14ac:dyDescent="0.2">
      <c r="B71" s="114">
        <v>2</v>
      </c>
      <c r="C71" s="32" t="str">
        <f t="shared" ref="C71:C109" si="19">VLOOKUP(B71,$P$4:$S$93,2,0)</f>
        <v>Buckets (Weld / Repair Bucket)</v>
      </c>
      <c r="D71" s="114">
        <f t="shared" ref="D71:D109" si="20">VLOOKUP(B71,$P$4:$S$93,3,0)</f>
        <v>79</v>
      </c>
      <c r="E71" s="166">
        <f t="shared" ref="E71:E109" si="21">VLOOKUP(B71,$P$4:$S$93,4,0)</f>
        <v>143.89000000000001</v>
      </c>
      <c r="K71" s="95"/>
      <c r="O71" s="108"/>
      <c r="P71" s="36">
        <f>RANK(R71,$Q$54:$R$93,0)+COUNTIF($Q71:R$93,R71)-1</f>
        <v>16</v>
      </c>
      <c r="Q71" s="111" t="str">
        <f t="shared" si="14"/>
        <v>Electrical/Electronics (MCC / Switch Gear)</v>
      </c>
      <c r="R71" s="112">
        <f t="shared" ref="R71:S86" si="22">X20</f>
        <v>10</v>
      </c>
      <c r="S71" s="165">
        <f t="shared" si="22"/>
        <v>24.76</v>
      </c>
    </row>
    <row r="72" spans="2:19" x14ac:dyDescent="0.2">
      <c r="B72" s="114">
        <v>3</v>
      </c>
      <c r="C72" s="32" t="str">
        <f t="shared" si="19"/>
        <v>Main / Aux. Generators (Main Generator Engine)</v>
      </c>
      <c r="D72" s="114">
        <f t="shared" si="20"/>
        <v>57</v>
      </c>
      <c r="E72" s="166">
        <f t="shared" si="21"/>
        <v>1182.08</v>
      </c>
      <c r="K72" s="95"/>
      <c r="O72" s="108"/>
      <c r="P72" s="36">
        <f>RANK(R72,$Q$54:$R$93,0)+COUNTIF($Q72:R$93,R72)-1</f>
        <v>32</v>
      </c>
      <c r="Q72" s="111" t="str">
        <f t="shared" si="14"/>
        <v>Electrical/Electronics (Navigation Lights)</v>
      </c>
      <c r="R72" s="112">
        <f t="shared" si="22"/>
        <v>0</v>
      </c>
      <c r="S72" s="165">
        <f t="shared" si="22"/>
        <v>0</v>
      </c>
    </row>
    <row r="73" spans="2:19" x14ac:dyDescent="0.2">
      <c r="B73" s="114">
        <v>4</v>
      </c>
      <c r="C73" s="32" t="str">
        <f t="shared" si="19"/>
        <v>Main Hoist (Closer Wire)</v>
      </c>
      <c r="D73" s="114">
        <f t="shared" si="20"/>
        <v>55</v>
      </c>
      <c r="E73" s="166">
        <f t="shared" si="21"/>
        <v>96.69</v>
      </c>
      <c r="K73" s="1"/>
      <c r="O73" s="108"/>
      <c r="P73" s="36">
        <f>RANK(R73,$Q$54:$R$93,0)+COUNTIF($Q73:R$93,R73)-1</f>
        <v>7</v>
      </c>
      <c r="Q73" s="111" t="str">
        <f t="shared" si="14"/>
        <v>Electrical/Electronics (PLC)</v>
      </c>
      <c r="R73" s="112">
        <f t="shared" si="22"/>
        <v>33</v>
      </c>
      <c r="S73" s="165">
        <f t="shared" si="22"/>
        <v>71.22</v>
      </c>
    </row>
    <row r="74" spans="2:19" x14ac:dyDescent="0.2">
      <c r="B74" s="114">
        <v>5</v>
      </c>
      <c r="C74" s="32" t="str">
        <f t="shared" si="19"/>
        <v>Main Hoist (Holder)</v>
      </c>
      <c r="D74" s="114">
        <f t="shared" si="20"/>
        <v>49</v>
      </c>
      <c r="E74" s="166">
        <f t="shared" si="21"/>
        <v>104.00999999999999</v>
      </c>
      <c r="O74" s="108"/>
      <c r="P74" s="61">
        <f>RANK(R74,$Q$54:$R$93,0)+COUNTIF($Q74:R$93,R74)-1</f>
        <v>28</v>
      </c>
      <c r="Q74" s="189" t="str">
        <f t="shared" si="14"/>
        <v>Electrical/Electronics (Transformers)</v>
      </c>
      <c r="R74" s="190">
        <f t="shared" si="22"/>
        <v>2</v>
      </c>
      <c r="S74" s="191">
        <f t="shared" si="22"/>
        <v>2.41</v>
      </c>
    </row>
    <row r="75" spans="2:19" x14ac:dyDescent="0.2">
      <c r="B75" s="114">
        <v>6</v>
      </c>
      <c r="C75" s="32" t="str">
        <f t="shared" si="19"/>
        <v>Main Hoist (Holder Wire)</v>
      </c>
      <c r="D75" s="114">
        <f t="shared" si="20"/>
        <v>36</v>
      </c>
      <c r="E75" s="166">
        <f t="shared" si="21"/>
        <v>54.8</v>
      </c>
      <c r="O75" s="108"/>
      <c r="P75" s="36">
        <f>RANK(R75,$Q$54:$R$93,0)+COUNTIF($Q75:R$93,R75)-1</f>
        <v>30</v>
      </c>
      <c r="Q75" s="111" t="str">
        <f t="shared" si="14"/>
        <v>Hull (Deck Fittings (cleats, timbers, etc.))</v>
      </c>
      <c r="R75" s="112">
        <f t="shared" si="22"/>
        <v>1</v>
      </c>
      <c r="S75" s="165">
        <f t="shared" si="22"/>
        <v>0.78</v>
      </c>
    </row>
    <row r="76" spans="2:19" x14ac:dyDescent="0.2">
      <c r="B76" s="114">
        <v>7</v>
      </c>
      <c r="C76" s="32" t="str">
        <f t="shared" si="19"/>
        <v>Electrical/Electronics (PLC)</v>
      </c>
      <c r="D76" s="114">
        <f t="shared" si="20"/>
        <v>33</v>
      </c>
      <c r="E76" s="166">
        <f t="shared" si="21"/>
        <v>71.22</v>
      </c>
      <c r="O76" s="108"/>
      <c r="P76" s="61">
        <f>RANK(R76,$Q$54:$R$93,0)+COUNTIF($Q76:R$93,R76)-1</f>
        <v>19</v>
      </c>
      <c r="Q76" s="189" t="str">
        <f t="shared" si="14"/>
        <v>Hull (Hull / House Repair)</v>
      </c>
      <c r="R76" s="190">
        <f t="shared" si="22"/>
        <v>7</v>
      </c>
      <c r="S76" s="191">
        <f t="shared" si="22"/>
        <v>41.3</v>
      </c>
    </row>
    <row r="77" spans="2:19" x14ac:dyDescent="0.2">
      <c r="B77" s="114">
        <v>8</v>
      </c>
      <c r="C77" s="32" t="str">
        <f t="shared" si="19"/>
        <v>Tagline (Tagline Wire)</v>
      </c>
      <c r="D77" s="114">
        <f t="shared" si="20"/>
        <v>30</v>
      </c>
      <c r="E77" s="166">
        <f t="shared" si="21"/>
        <v>35.940000000000005</v>
      </c>
      <c r="O77" s="108"/>
      <c r="P77" s="36">
        <f>RANK(R77,$Q$54:$R$93,0)+COUNTIF($Q77:R$93,R77)-1</f>
        <v>31</v>
      </c>
      <c r="Q77" s="111" t="str">
        <f t="shared" si="14"/>
        <v>Main / Aux. Generators (Auxiliary Generator)</v>
      </c>
      <c r="R77" s="112">
        <f t="shared" si="22"/>
        <v>0</v>
      </c>
      <c r="S77" s="165">
        <f t="shared" si="22"/>
        <v>0</v>
      </c>
    </row>
    <row r="78" spans="2:19" x14ac:dyDescent="0.2">
      <c r="B78" s="114">
        <v>9</v>
      </c>
      <c r="C78" s="32" t="str">
        <f t="shared" si="19"/>
        <v>Deck Winch (Winch)</v>
      </c>
      <c r="D78" s="114">
        <f t="shared" si="20"/>
        <v>25</v>
      </c>
      <c r="E78" s="166">
        <f t="shared" si="21"/>
        <v>11.728888888864311</v>
      </c>
      <c r="O78" s="108"/>
      <c r="P78" s="36">
        <f>RANK(R78,$Q$54:$R$93,0)+COUNTIF($Q78:R$93,R78)-1</f>
        <v>12</v>
      </c>
      <c r="Q78" s="111" t="str">
        <f t="shared" si="14"/>
        <v>Main / Aux. Generators (Main Generator)</v>
      </c>
      <c r="R78" s="112">
        <f t="shared" si="22"/>
        <v>18</v>
      </c>
      <c r="S78" s="165">
        <f t="shared" si="22"/>
        <v>86.33</v>
      </c>
    </row>
    <row r="79" spans="2:19" x14ac:dyDescent="0.2">
      <c r="B79" s="114">
        <v>10</v>
      </c>
      <c r="C79" s="32" t="str">
        <f t="shared" si="19"/>
        <v>Spud System (Walking Mechanisms (Carriage / Travel))</v>
      </c>
      <c r="D79" s="114">
        <f t="shared" si="20"/>
        <v>22</v>
      </c>
      <c r="E79" s="166">
        <f t="shared" si="21"/>
        <v>62.84</v>
      </c>
      <c r="O79" s="108"/>
      <c r="P79" s="61">
        <f>RANK(R79,$Q$54:$R$93,0)+COUNTIF($Q79:R$93,R79)-1</f>
        <v>3</v>
      </c>
      <c r="Q79" s="189" t="str">
        <f t="shared" si="14"/>
        <v>Main / Aux. Generators (Main Generator Engine)</v>
      </c>
      <c r="R79" s="190">
        <f t="shared" si="22"/>
        <v>57</v>
      </c>
      <c r="S79" s="191">
        <f t="shared" si="22"/>
        <v>1182.08</v>
      </c>
    </row>
    <row r="80" spans="2:19" x14ac:dyDescent="0.2">
      <c r="B80" s="114">
        <v>11</v>
      </c>
      <c r="C80" s="32" t="str">
        <f t="shared" si="19"/>
        <v>Spud System (Spud Winch)</v>
      </c>
      <c r="D80" s="114">
        <f t="shared" si="20"/>
        <v>22</v>
      </c>
      <c r="E80" s="166">
        <f t="shared" si="21"/>
        <v>112.77027777774026</v>
      </c>
      <c r="O80" s="108"/>
      <c r="P80" s="36">
        <f>RANK(R80,$Q$54:$R$93,0)+COUNTIF($Q80:R$93,R80)-1</f>
        <v>18</v>
      </c>
      <c r="Q80" s="111" t="str">
        <f t="shared" si="14"/>
        <v>Main Hoist (Closer)</v>
      </c>
      <c r="R80" s="112">
        <f t="shared" si="22"/>
        <v>8</v>
      </c>
      <c r="S80" s="165">
        <f t="shared" si="22"/>
        <v>81.38</v>
      </c>
    </row>
    <row r="81" spans="2:19" x14ac:dyDescent="0.2">
      <c r="B81" s="114">
        <v>12</v>
      </c>
      <c r="C81" s="32" t="str">
        <f t="shared" si="19"/>
        <v>Main / Aux. Generators (Main Generator)</v>
      </c>
      <c r="D81" s="114">
        <f t="shared" si="20"/>
        <v>18</v>
      </c>
      <c r="E81" s="166">
        <f t="shared" si="21"/>
        <v>86.33</v>
      </c>
      <c r="O81" s="108"/>
      <c r="P81" s="36">
        <f>RANK(R81,$Q$54:$R$93,0)+COUNTIF($Q81:R$93,R81)-1</f>
        <v>4</v>
      </c>
      <c r="Q81" s="111" t="str">
        <f t="shared" si="14"/>
        <v>Main Hoist (Closer Wire)</v>
      </c>
      <c r="R81" s="112">
        <f t="shared" si="22"/>
        <v>55</v>
      </c>
      <c r="S81" s="165">
        <f t="shared" si="22"/>
        <v>96.69</v>
      </c>
    </row>
    <row r="82" spans="2:19" x14ac:dyDescent="0.2">
      <c r="B82" s="114">
        <v>13</v>
      </c>
      <c r="C82" s="32" t="str">
        <f t="shared" si="19"/>
        <v>Crane Swing (Drive (motor, gear box, etc.))</v>
      </c>
      <c r="D82" s="114">
        <f t="shared" si="20"/>
        <v>18</v>
      </c>
      <c r="E82" s="166">
        <f t="shared" si="21"/>
        <v>17.43</v>
      </c>
      <c r="O82" s="108"/>
      <c r="P82" s="58">
        <f>RANK(R82,$Q$54:$R$93,0)+COUNTIF($Q82:R$93,R82)-1</f>
        <v>5</v>
      </c>
      <c r="Q82" s="192" t="str">
        <f t="shared" si="14"/>
        <v>Main Hoist (Holder)</v>
      </c>
      <c r="R82" s="193">
        <f t="shared" si="22"/>
        <v>49</v>
      </c>
      <c r="S82" s="194">
        <f t="shared" si="22"/>
        <v>104.00999999999999</v>
      </c>
    </row>
    <row r="83" spans="2:19" x14ac:dyDescent="0.2">
      <c r="B83" s="114">
        <v>14</v>
      </c>
      <c r="C83" s="32" t="str">
        <f t="shared" si="19"/>
        <v>Auxiliary Systems (Compressed Air)</v>
      </c>
      <c r="D83" s="114">
        <f t="shared" si="20"/>
        <v>14</v>
      </c>
      <c r="E83" s="166">
        <f t="shared" si="21"/>
        <v>7.6400000000000006</v>
      </c>
      <c r="O83" s="108"/>
      <c r="P83" s="61">
        <f>RANK(R83,$Q$54:$R$93,0)+COUNTIF($Q83:R$93,R83)-1</f>
        <v>6</v>
      </c>
      <c r="Q83" s="189" t="str">
        <f t="shared" si="14"/>
        <v>Main Hoist (Holder Wire)</v>
      </c>
      <c r="R83" s="190">
        <f t="shared" si="22"/>
        <v>36</v>
      </c>
      <c r="S83" s="191">
        <f t="shared" si="22"/>
        <v>54.8</v>
      </c>
    </row>
    <row r="84" spans="2:19" x14ac:dyDescent="0.2">
      <c r="B84" s="114">
        <v>15</v>
      </c>
      <c r="C84" s="32" t="str">
        <f t="shared" si="19"/>
        <v>Deck Winch (Fairleads)</v>
      </c>
      <c r="D84" s="114">
        <f t="shared" si="20"/>
        <v>11</v>
      </c>
      <c r="E84" s="166">
        <f t="shared" si="21"/>
        <v>5.4447222222131675</v>
      </c>
      <c r="O84" s="108"/>
      <c r="P84" s="36">
        <f>RANK(R84,$Q$54:$R$93,0)+COUNTIF($Q84:R$93,R84)-1</f>
        <v>23</v>
      </c>
      <c r="Q84" s="111" t="str">
        <f t="shared" si="14"/>
        <v>Spud System (Spud Sheaves)</v>
      </c>
      <c r="R84" s="112">
        <f t="shared" si="22"/>
        <v>5</v>
      </c>
      <c r="S84" s="165">
        <f t="shared" si="22"/>
        <v>5.53</v>
      </c>
    </row>
    <row r="85" spans="2:19" x14ac:dyDescent="0.2">
      <c r="B85" s="114">
        <v>16</v>
      </c>
      <c r="C85" s="32" t="str">
        <f t="shared" si="19"/>
        <v>Electrical/Electronics (MCC / Switch Gear)</v>
      </c>
      <c r="D85" s="114">
        <f t="shared" si="20"/>
        <v>10</v>
      </c>
      <c r="E85" s="166">
        <f t="shared" si="21"/>
        <v>24.76</v>
      </c>
      <c r="O85" s="108"/>
      <c r="P85" s="36">
        <f>RANK(R85,$Q$54:$R$93,0)+COUNTIF($Q85:R$93,R85)-1</f>
        <v>29</v>
      </c>
      <c r="Q85" s="111" t="str">
        <f t="shared" si="14"/>
        <v>Spud System (Spud Structure)</v>
      </c>
      <c r="R85" s="112">
        <f t="shared" si="22"/>
        <v>1</v>
      </c>
      <c r="S85" s="165">
        <f t="shared" si="22"/>
        <v>0.41</v>
      </c>
    </row>
    <row r="86" spans="2:19" x14ac:dyDescent="0.2">
      <c r="B86" s="114">
        <v>17</v>
      </c>
      <c r="C86" s="32" t="str">
        <f t="shared" si="19"/>
        <v>Tagline (Tagline Winch (motor, gearbox, etc.))</v>
      </c>
      <c r="D86" s="114">
        <f t="shared" si="20"/>
        <v>8</v>
      </c>
      <c r="E86" s="166">
        <f t="shared" si="21"/>
        <v>211.26</v>
      </c>
      <c r="O86" s="108"/>
      <c r="P86" s="36">
        <f>RANK(R86,$Q$54:$R$93,0)+COUNTIF($Q86:R$93,R86)-1</f>
        <v>11</v>
      </c>
      <c r="Q86" s="111" t="str">
        <f t="shared" si="14"/>
        <v>Spud System (Spud Winch)</v>
      </c>
      <c r="R86" s="112">
        <f t="shared" si="22"/>
        <v>22</v>
      </c>
      <c r="S86" s="165">
        <f t="shared" si="22"/>
        <v>112.77027777774026</v>
      </c>
    </row>
    <row r="87" spans="2:19" x14ac:dyDescent="0.2">
      <c r="B87" s="114">
        <v>18</v>
      </c>
      <c r="C87" s="32" t="str">
        <f t="shared" si="19"/>
        <v>Main Hoist (Closer)</v>
      </c>
      <c r="D87" s="114">
        <f t="shared" si="20"/>
        <v>8</v>
      </c>
      <c r="E87" s="166">
        <f t="shared" si="21"/>
        <v>81.38</v>
      </c>
      <c r="O87" s="108"/>
      <c r="P87" s="36">
        <f>RANK(R87,$Q$54:$R$93,0)+COUNTIF($Q87:R$93,R87)-1</f>
        <v>21</v>
      </c>
      <c r="Q87" s="111" t="str">
        <f t="shared" si="14"/>
        <v>Spud System (Spud Wires)</v>
      </c>
      <c r="R87" s="112">
        <f t="shared" ref="R87:S93" si="23">X36</f>
        <v>6</v>
      </c>
      <c r="S87" s="165">
        <f t="shared" si="23"/>
        <v>5.35</v>
      </c>
    </row>
    <row r="88" spans="2:19" x14ac:dyDescent="0.2">
      <c r="B88" s="114">
        <v>19</v>
      </c>
      <c r="C88" s="32" t="str">
        <f t="shared" si="19"/>
        <v>Hull (Hull / House Repair)</v>
      </c>
      <c r="D88" s="114">
        <f t="shared" si="20"/>
        <v>7</v>
      </c>
      <c r="E88" s="166">
        <f t="shared" si="21"/>
        <v>41.3</v>
      </c>
      <c r="O88" s="108"/>
      <c r="P88" s="61">
        <f>RANK(R88,$Q$54:$R$93,0)+COUNTIF($Q88:R$93,R88)-1</f>
        <v>10</v>
      </c>
      <c r="Q88" s="189" t="str">
        <f t="shared" si="14"/>
        <v>Spud System (Walking Mechanisms (Carriage / Travel))</v>
      </c>
      <c r="R88" s="190">
        <f t="shared" si="23"/>
        <v>22</v>
      </c>
      <c r="S88" s="191">
        <f t="shared" si="23"/>
        <v>62.84</v>
      </c>
    </row>
    <row r="89" spans="2:19" x14ac:dyDescent="0.2">
      <c r="B89" s="114">
        <v>20</v>
      </c>
      <c r="C89" s="32" t="str">
        <f t="shared" si="19"/>
        <v>Crane Boom (Boom Winch)</v>
      </c>
      <c r="D89" s="114">
        <f t="shared" si="20"/>
        <v>7</v>
      </c>
      <c r="E89" s="166">
        <f t="shared" si="21"/>
        <v>34.583611111098435</v>
      </c>
      <c r="O89" s="108"/>
      <c r="P89" s="36">
        <f>RANK(R89,$Q$54:$R$93,0)+COUNTIF($Q89:R$93,R89)-1</f>
        <v>22</v>
      </c>
      <c r="Q89" s="111" t="str">
        <f t="shared" si="14"/>
        <v>Tagline (Tagline Sheaves)</v>
      </c>
      <c r="R89" s="112">
        <f t="shared" si="23"/>
        <v>5</v>
      </c>
      <c r="S89" s="165">
        <f t="shared" si="23"/>
        <v>0.60000000000000009</v>
      </c>
    </row>
    <row r="90" spans="2:19" x14ac:dyDescent="0.2">
      <c r="B90" s="114">
        <v>21</v>
      </c>
      <c r="C90" s="32" t="str">
        <f t="shared" si="19"/>
        <v>Spud System (Spud Wires)</v>
      </c>
      <c r="D90" s="114">
        <f t="shared" si="20"/>
        <v>6</v>
      </c>
      <c r="E90" s="166">
        <f t="shared" si="21"/>
        <v>5.35</v>
      </c>
      <c r="O90" s="108"/>
      <c r="P90" s="36">
        <f>RANK(R90,$Q$54:$R$93,0)+COUNTIF($Q90:R$93,R90)-1</f>
        <v>17</v>
      </c>
      <c r="Q90" s="111" t="str">
        <f t="shared" si="14"/>
        <v>Tagline (Tagline Winch (motor, gearbox, etc.))</v>
      </c>
      <c r="R90" s="112">
        <f t="shared" si="23"/>
        <v>8</v>
      </c>
      <c r="S90" s="165">
        <f t="shared" si="23"/>
        <v>211.26</v>
      </c>
    </row>
    <row r="91" spans="2:19" x14ac:dyDescent="0.2">
      <c r="B91" s="114">
        <v>22</v>
      </c>
      <c r="C91" s="32" t="str">
        <f t="shared" si="19"/>
        <v>Tagline (Tagline Sheaves)</v>
      </c>
      <c r="D91" s="114">
        <f t="shared" si="20"/>
        <v>5</v>
      </c>
      <c r="E91" s="166">
        <f t="shared" si="21"/>
        <v>0.60000000000000009</v>
      </c>
      <c r="O91" s="108"/>
      <c r="P91" s="61">
        <f>RANK(R91,$Q$54:$R$93,0)+COUNTIF($Q91:R$93,R91)-1</f>
        <v>8</v>
      </c>
      <c r="Q91" s="189" t="str">
        <f t="shared" si="14"/>
        <v>Tagline (Tagline Wire)</v>
      </c>
      <c r="R91" s="190">
        <f t="shared" si="23"/>
        <v>30</v>
      </c>
      <c r="S91" s="191">
        <f t="shared" si="23"/>
        <v>35.940000000000005</v>
      </c>
    </row>
    <row r="92" spans="2:19" x14ac:dyDescent="0.2">
      <c r="B92" s="114">
        <v>23</v>
      </c>
      <c r="C92" s="32" t="str">
        <f t="shared" si="19"/>
        <v>Spud System (Spud Sheaves)</v>
      </c>
      <c r="D92" s="114">
        <f t="shared" si="20"/>
        <v>5</v>
      </c>
      <c r="E92" s="166">
        <f t="shared" si="21"/>
        <v>5.53</v>
      </c>
      <c r="O92" s="108"/>
      <c r="P92" s="36">
        <f>RANK(R92,$Q$54:$R$93,0)+COUNTIF($Q92:R$93,R92)-1</f>
        <v>1</v>
      </c>
      <c r="Q92" s="111" t="str">
        <f t="shared" si="14"/>
        <v>Tugs and Scows (Scow Repair)</v>
      </c>
      <c r="R92" s="112">
        <f t="shared" si="23"/>
        <v>110</v>
      </c>
      <c r="S92" s="165">
        <f t="shared" si="23"/>
        <v>204.60027777779845</v>
      </c>
    </row>
    <row r="93" spans="2:19" x14ac:dyDescent="0.2">
      <c r="B93" s="114">
        <v>24</v>
      </c>
      <c r="C93" s="32" t="str">
        <f t="shared" si="19"/>
        <v>Auxiliary Systems (Deck Crane)</v>
      </c>
      <c r="D93" s="114">
        <f t="shared" si="20"/>
        <v>5</v>
      </c>
      <c r="E93" s="166">
        <f t="shared" si="21"/>
        <v>2.81</v>
      </c>
      <c r="O93" s="108"/>
      <c r="P93" s="36">
        <f>RANK(R93,$Q$54:$R$93,0)+COUNTIF($Q93:R$93,R93)-1</f>
        <v>25</v>
      </c>
      <c r="Q93" s="111" t="str">
        <f t="shared" si="14"/>
        <v>Tugs and Scows (Tug Repair)</v>
      </c>
      <c r="R93" s="112">
        <f t="shared" si="23"/>
        <v>4</v>
      </c>
      <c r="S93" s="165">
        <f t="shared" si="23"/>
        <v>31.17</v>
      </c>
    </row>
    <row r="94" spans="2:19" x14ac:dyDescent="0.2">
      <c r="B94" s="114">
        <v>25</v>
      </c>
      <c r="C94" s="32" t="str">
        <f t="shared" si="19"/>
        <v>Tugs and Scows (Tug Repair)</v>
      </c>
      <c r="D94" s="114">
        <f t="shared" si="20"/>
        <v>4</v>
      </c>
      <c r="E94" s="166">
        <f t="shared" si="21"/>
        <v>31.17</v>
      </c>
      <c r="O94" s="108"/>
      <c r="P94" s="36"/>
      <c r="Q94" s="113"/>
      <c r="R94" s="144"/>
      <c r="S94" s="144"/>
    </row>
    <row r="95" spans="2:19" x14ac:dyDescent="0.2">
      <c r="B95" s="114">
        <v>26</v>
      </c>
      <c r="C95" s="32" t="str">
        <f t="shared" si="19"/>
        <v>Crane Swing (Swing Circle (rollers, etc.))</v>
      </c>
      <c r="D95" s="114">
        <f t="shared" si="20"/>
        <v>4</v>
      </c>
      <c r="E95" s="166">
        <f t="shared" si="21"/>
        <v>0.57000000000000006</v>
      </c>
      <c r="O95" s="108"/>
      <c r="P95" s="36"/>
      <c r="Q95" s="113"/>
      <c r="R95" s="144"/>
      <c r="S95" s="144"/>
    </row>
    <row r="96" spans="2:19" x14ac:dyDescent="0.2">
      <c r="B96" s="114">
        <v>27</v>
      </c>
      <c r="C96" s="32" t="str">
        <f t="shared" si="19"/>
        <v>Crane Boom (Boom / Gantry Sheaves)</v>
      </c>
      <c r="D96" s="114">
        <f t="shared" si="20"/>
        <v>3</v>
      </c>
      <c r="E96" s="166">
        <f t="shared" si="21"/>
        <v>1.73</v>
      </c>
      <c r="O96" s="108"/>
      <c r="P96" s="108"/>
      <c r="Q96" s="113"/>
      <c r="R96" s="144"/>
      <c r="S96" s="144"/>
    </row>
    <row r="97" spans="2:19" x14ac:dyDescent="0.2">
      <c r="B97" s="114">
        <v>28</v>
      </c>
      <c r="C97" s="32" t="str">
        <f t="shared" si="19"/>
        <v>Electrical/Electronics (Transformers)</v>
      </c>
      <c r="D97" s="114">
        <f t="shared" si="20"/>
        <v>2</v>
      </c>
      <c r="E97" s="166">
        <f t="shared" si="21"/>
        <v>2.41</v>
      </c>
      <c r="O97" s="108"/>
      <c r="P97" s="108"/>
      <c r="Q97" s="113"/>
      <c r="R97" s="144"/>
      <c r="S97" s="144"/>
    </row>
    <row r="98" spans="2:19" x14ac:dyDescent="0.2">
      <c r="B98" s="114">
        <v>29</v>
      </c>
      <c r="C98" s="32" t="str">
        <f t="shared" si="19"/>
        <v>Spud System (Spud Structure)</v>
      </c>
      <c r="D98" s="114">
        <f t="shared" si="20"/>
        <v>1</v>
      </c>
      <c r="E98" s="166">
        <f t="shared" si="21"/>
        <v>0.41</v>
      </c>
      <c r="O98" s="108"/>
      <c r="P98" s="108"/>
      <c r="Q98" s="113"/>
      <c r="R98" s="144"/>
      <c r="S98" s="144"/>
    </row>
    <row r="99" spans="2:19" x14ac:dyDescent="0.2">
      <c r="B99" s="114">
        <v>30</v>
      </c>
      <c r="C99" s="32" t="str">
        <f t="shared" si="19"/>
        <v>Hull (Deck Fittings (cleats, timbers, etc.))</v>
      </c>
      <c r="D99" s="114">
        <f t="shared" si="20"/>
        <v>1</v>
      </c>
      <c r="E99" s="166">
        <f t="shared" si="21"/>
        <v>0.78</v>
      </c>
      <c r="O99" s="108"/>
      <c r="P99" s="108"/>
      <c r="Q99" s="113"/>
      <c r="R99" s="144"/>
      <c r="S99" s="144"/>
    </row>
    <row r="100" spans="2:19" x14ac:dyDescent="0.2">
      <c r="B100" s="114">
        <v>31</v>
      </c>
      <c r="C100" s="32" t="str">
        <f t="shared" si="19"/>
        <v>Main / Aux. Generators (Auxiliary Generator)</v>
      </c>
      <c r="D100" s="114">
        <f t="shared" si="20"/>
        <v>0</v>
      </c>
      <c r="E100" s="166">
        <f t="shared" si="21"/>
        <v>0</v>
      </c>
      <c r="O100" s="108"/>
      <c r="P100" s="108"/>
      <c r="Q100" s="113"/>
      <c r="R100" s="144"/>
      <c r="S100" s="144"/>
    </row>
    <row r="101" spans="2:19" x14ac:dyDescent="0.2">
      <c r="B101" s="114">
        <v>32</v>
      </c>
      <c r="C101" s="32" t="str">
        <f t="shared" si="19"/>
        <v>Electrical/Electronics (Navigation Lights)</v>
      </c>
      <c r="D101" s="114">
        <f t="shared" si="20"/>
        <v>0</v>
      </c>
      <c r="E101" s="166">
        <f t="shared" si="21"/>
        <v>0</v>
      </c>
      <c r="O101" s="108"/>
      <c r="P101" s="108"/>
      <c r="Q101" s="113"/>
      <c r="R101" s="144"/>
      <c r="S101" s="144"/>
    </row>
    <row r="102" spans="2:19" x14ac:dyDescent="0.2">
      <c r="B102" s="114">
        <v>33</v>
      </c>
      <c r="C102" s="32" t="str">
        <f t="shared" si="19"/>
        <v>Crane Boom (Penant Wire)</v>
      </c>
      <c r="D102" s="114">
        <f t="shared" si="20"/>
        <v>0</v>
      </c>
      <c r="E102" s="166">
        <f t="shared" si="21"/>
        <v>0</v>
      </c>
      <c r="O102" s="108"/>
      <c r="P102" s="108"/>
      <c r="Q102" s="113"/>
      <c r="R102" s="144"/>
      <c r="S102" s="144"/>
    </row>
    <row r="103" spans="2:19" x14ac:dyDescent="0.2">
      <c r="B103" s="114">
        <v>34</v>
      </c>
      <c r="C103" s="32" t="str">
        <f t="shared" si="19"/>
        <v>Crane Boom (Boom Wires)</v>
      </c>
      <c r="D103" s="114">
        <f t="shared" si="20"/>
        <v>0</v>
      </c>
      <c r="E103" s="166">
        <f t="shared" si="21"/>
        <v>0</v>
      </c>
      <c r="O103" s="32"/>
      <c r="P103" s="108"/>
      <c r="Q103" s="113"/>
      <c r="R103" s="144"/>
      <c r="S103" s="144"/>
    </row>
    <row r="104" spans="2:19" x14ac:dyDescent="0.2">
      <c r="B104" s="114">
        <v>35</v>
      </c>
      <c r="C104" s="32" t="str">
        <f t="shared" si="19"/>
        <v>Crane Boom (Boom / Gantry Structure)</v>
      </c>
      <c r="D104" s="114">
        <f t="shared" si="20"/>
        <v>0</v>
      </c>
      <c r="E104" s="166">
        <f t="shared" si="21"/>
        <v>0</v>
      </c>
      <c r="O104" s="32"/>
      <c r="P104" s="108"/>
      <c r="Q104" s="113"/>
      <c r="R104" s="144"/>
      <c r="S104" s="144"/>
    </row>
    <row r="105" spans="2:19" x14ac:dyDescent="0.2">
      <c r="B105" s="114">
        <v>36</v>
      </c>
      <c r="C105" s="32" t="str">
        <f t="shared" si="19"/>
        <v>Auxiliary Systems (Sanitary System)</v>
      </c>
      <c r="D105" s="114">
        <f t="shared" si="20"/>
        <v>0</v>
      </c>
      <c r="E105" s="166">
        <f t="shared" si="21"/>
        <v>0</v>
      </c>
      <c r="O105" s="32"/>
      <c r="P105" s="108"/>
      <c r="Q105" s="113"/>
      <c r="R105" s="144"/>
      <c r="S105" s="144"/>
    </row>
    <row r="106" spans="2:19" x14ac:dyDescent="0.2">
      <c r="B106" s="114">
        <v>37</v>
      </c>
      <c r="C106" s="32" t="str">
        <f t="shared" si="19"/>
        <v>Auxiliary Systems (Potable Water)</v>
      </c>
      <c r="D106" s="114">
        <f t="shared" si="20"/>
        <v>0</v>
      </c>
      <c r="E106" s="166">
        <f t="shared" si="21"/>
        <v>0</v>
      </c>
      <c r="O106" s="32"/>
      <c r="P106" s="113"/>
      <c r="Q106" s="113"/>
      <c r="R106" s="113"/>
      <c r="S106" s="113"/>
    </row>
    <row r="107" spans="2:19" x14ac:dyDescent="0.2">
      <c r="B107" s="114">
        <v>38</v>
      </c>
      <c r="C107" s="32" t="str">
        <f t="shared" si="19"/>
        <v>Auxiliary Systems (Heating, Ventilation, A/C)</v>
      </c>
      <c r="D107" s="114">
        <f t="shared" si="20"/>
        <v>0</v>
      </c>
      <c r="E107" s="166">
        <f t="shared" si="21"/>
        <v>0</v>
      </c>
      <c r="O107" s="32"/>
      <c r="P107" s="113"/>
      <c r="Q107" s="113"/>
      <c r="R107" s="113"/>
      <c r="S107" s="113"/>
    </row>
    <row r="108" spans="2:19" x14ac:dyDescent="0.2">
      <c r="B108" s="114">
        <v>39</v>
      </c>
      <c r="C108" s="32" t="str">
        <f t="shared" si="19"/>
        <v>Auxiliary Systems (Fuel)</v>
      </c>
      <c r="D108" s="114">
        <f t="shared" si="20"/>
        <v>0</v>
      </c>
      <c r="E108" s="166">
        <f t="shared" si="21"/>
        <v>0</v>
      </c>
    </row>
    <row r="109" spans="2:19" x14ac:dyDescent="0.2">
      <c r="B109" s="114">
        <v>40</v>
      </c>
      <c r="C109" s="32" t="str">
        <f t="shared" si="19"/>
        <v>Auxiliary Systems (Fire Main)</v>
      </c>
      <c r="D109" s="114">
        <f t="shared" si="20"/>
        <v>0</v>
      </c>
      <c r="E109" s="166">
        <f t="shared" si="21"/>
        <v>0</v>
      </c>
    </row>
    <row r="110" spans="2:19" x14ac:dyDescent="0.2">
      <c r="B110" s="114"/>
      <c r="C110" s="32"/>
      <c r="D110" s="114"/>
      <c r="E110" s="114"/>
    </row>
    <row r="111" spans="2:19" x14ac:dyDescent="0.2">
      <c r="B111" s="114"/>
      <c r="C111" s="32"/>
      <c r="D111" s="114"/>
      <c r="E111" s="114"/>
    </row>
    <row r="112" spans="2:19" x14ac:dyDescent="0.2">
      <c r="B112" s="114"/>
      <c r="C112" s="32"/>
      <c r="D112" s="114"/>
      <c r="E112" s="114"/>
    </row>
    <row r="113" spans="2:5" x14ac:dyDescent="0.2">
      <c r="B113" s="114"/>
      <c r="C113" s="32"/>
      <c r="D113" s="114"/>
      <c r="E113" s="114"/>
    </row>
    <row r="114" spans="2:5" x14ac:dyDescent="0.2">
      <c r="B114" s="114"/>
      <c r="C114" s="32"/>
      <c r="D114" s="114"/>
      <c r="E114" s="114"/>
    </row>
    <row r="115" spans="2:5" x14ac:dyDescent="0.2">
      <c r="B115" s="114"/>
      <c r="C115" s="32"/>
      <c r="D115" s="114"/>
      <c r="E115" s="114"/>
    </row>
  </sheetData>
  <mergeCells count="7">
    <mergeCell ref="AB1:AC1"/>
    <mergeCell ref="O46:Q46"/>
    <mergeCell ref="Q52:S52"/>
    <mergeCell ref="O1:Q1"/>
    <mergeCell ref="R1:S1"/>
    <mergeCell ref="U1:V1"/>
    <mergeCell ref="X1:Y1"/>
  </mergeCells>
  <pageMargins left="0.75" right="0.75" top="0.5" bottom="0.5" header="0.5" footer="0.25"/>
  <pageSetup scale="64"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9"/>
  <sheetViews>
    <sheetView showGridLines="0" zoomScaleNormal="100" workbookViewId="0">
      <selection activeCell="H62" sqref="H33:J62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35" bestFit="1" customWidth="1"/>
    <col min="7" max="7" width="7.5703125" style="2" bestFit="1" customWidth="1"/>
    <col min="8" max="10" width="13.42578125" style="2" customWidth="1"/>
    <col min="11" max="11" width="9.140625" style="2"/>
    <col min="12" max="12" width="10.42578125" style="2" bestFit="1" customWidth="1"/>
    <col min="13" max="13" width="39.7109375" style="2" customWidth="1"/>
    <col min="14" max="14" width="4.7109375" style="2" bestFit="1" customWidth="1"/>
    <col min="15" max="15" width="8.140625" style="162" bestFit="1" customWidth="1"/>
    <col min="16" max="16384" width="9.140625" style="2"/>
  </cols>
  <sheetData>
    <row r="1" spans="1:15" s="22" customFormat="1" ht="30" customHeight="1" x14ac:dyDescent="0.2">
      <c r="A1" s="27" t="s">
        <v>2</v>
      </c>
      <c r="B1" s="20"/>
      <c r="C1" s="21"/>
      <c r="D1" s="21"/>
      <c r="E1" s="21"/>
      <c r="F1" s="41"/>
      <c r="O1" s="167"/>
    </row>
    <row r="2" spans="1:15" ht="15.75" x14ac:dyDescent="0.25">
      <c r="A2" s="3"/>
      <c r="C2" s="4"/>
      <c r="D2" s="4"/>
      <c r="E2" s="4"/>
      <c r="H2" s="30"/>
    </row>
    <row r="3" spans="1:15" ht="15.75" x14ac:dyDescent="0.25">
      <c r="A3" s="5" t="s">
        <v>0</v>
      </c>
      <c r="C3" s="6"/>
      <c r="D3" s="7"/>
      <c r="E3" s="7"/>
      <c r="H3" s="8"/>
      <c r="L3" s="153" t="s">
        <v>135</v>
      </c>
      <c r="M3" s="241" t="s">
        <v>134</v>
      </c>
      <c r="N3" s="241"/>
      <c r="O3" s="241"/>
    </row>
    <row r="4" spans="1:15" x14ac:dyDescent="0.2">
      <c r="A4" s="9" t="s">
        <v>8</v>
      </c>
      <c r="C4" s="6"/>
      <c r="D4" s="7"/>
      <c r="E4" s="7"/>
      <c r="L4" s="114">
        <f>RANK(O4,$O$4:$O$43,0)+COUNTIF($O$4:O4,O4)-1</f>
        <v>20</v>
      </c>
      <c r="M4" s="111" t="str">
        <f>'55 count'!Q54</f>
        <v>Auxiliary Systems (Compressed Air)</v>
      </c>
      <c r="N4" s="111">
        <f>'55 count'!R54</f>
        <v>14</v>
      </c>
      <c r="O4" s="168">
        <f>'55 count'!S54</f>
        <v>7.6400000000000006</v>
      </c>
    </row>
    <row r="5" spans="1:15" x14ac:dyDescent="0.2">
      <c r="A5" s="10" t="s">
        <v>1</v>
      </c>
      <c r="C5" s="6"/>
      <c r="D5" s="7"/>
      <c r="E5" s="7"/>
      <c r="L5" s="114">
        <f>RANK(O5,$O$4:$O$43,0)+COUNTIF($O$4:O5,O5)-1</f>
        <v>24</v>
      </c>
      <c r="M5" s="111" t="str">
        <f>'55 count'!Q55</f>
        <v>Auxiliary Systems (Deck Crane)</v>
      </c>
      <c r="N5" s="111">
        <f>'55 count'!R55</f>
        <v>5</v>
      </c>
      <c r="O5" s="168">
        <f>'55 count'!S55</f>
        <v>2.81</v>
      </c>
    </row>
    <row r="6" spans="1:15" x14ac:dyDescent="0.2">
      <c r="L6" s="114">
        <f>RANK(O6,$O$4:$O$43,0)+COUNTIF($O$4:O6,O6)-1</f>
        <v>31</v>
      </c>
      <c r="M6" s="111" t="str">
        <f>'55 count'!Q56</f>
        <v>Auxiliary Systems (Fire Main)</v>
      </c>
      <c r="N6" s="111">
        <f>'55 count'!R56</f>
        <v>0</v>
      </c>
      <c r="O6" s="168">
        <f>'55 count'!S56</f>
        <v>0</v>
      </c>
    </row>
    <row r="7" spans="1:15" x14ac:dyDescent="0.2">
      <c r="L7" s="114">
        <f>RANK(O7,$O$4:$O$43,0)+COUNTIF($O$4:O7,O7)-1</f>
        <v>32</v>
      </c>
      <c r="M7" s="111" t="str">
        <f>'55 count'!Q57</f>
        <v>Auxiliary Systems (Fuel)</v>
      </c>
      <c r="N7" s="111">
        <f>'55 count'!R57</f>
        <v>0</v>
      </c>
      <c r="O7" s="168">
        <f>'55 count'!S57</f>
        <v>0</v>
      </c>
    </row>
    <row r="8" spans="1:15" x14ac:dyDescent="0.2">
      <c r="L8" s="114">
        <f>RANK(O8,$O$4:$O$43,0)+COUNTIF($O$4:O8,O8)-1</f>
        <v>33</v>
      </c>
      <c r="M8" s="111" t="str">
        <f>'55 count'!Q58</f>
        <v>Auxiliary Systems (Heating, Ventilation, A/C)</v>
      </c>
      <c r="N8" s="111">
        <f>'55 count'!R58</f>
        <v>0</v>
      </c>
      <c r="O8" s="168">
        <f>'55 count'!S58</f>
        <v>0</v>
      </c>
    </row>
    <row r="9" spans="1:15" x14ac:dyDescent="0.2">
      <c r="L9" s="114">
        <f>RANK(O9,$O$4:$O$43,0)+COUNTIF($O$4:O9,O9)-1</f>
        <v>34</v>
      </c>
      <c r="M9" s="111" t="str">
        <f>'55 count'!Q59</f>
        <v>Auxiliary Systems (Potable Water)</v>
      </c>
      <c r="N9" s="111">
        <f>'55 count'!R59</f>
        <v>0</v>
      </c>
      <c r="O9" s="168">
        <f>'55 count'!S59</f>
        <v>0</v>
      </c>
    </row>
    <row r="10" spans="1:15" x14ac:dyDescent="0.2">
      <c r="L10" s="198">
        <f>RANK(O10,$O$4:$O$43,0)+COUNTIF($O$4:O10,O10)-1</f>
        <v>35</v>
      </c>
      <c r="M10" s="189" t="str">
        <f>'55 count'!Q60</f>
        <v>Auxiliary Systems (Sanitary System)</v>
      </c>
      <c r="N10" s="189">
        <f>'55 count'!R60</f>
        <v>0</v>
      </c>
      <c r="O10" s="199">
        <f>'55 count'!S60</f>
        <v>0</v>
      </c>
    </row>
    <row r="11" spans="1:15" x14ac:dyDescent="0.2">
      <c r="L11" s="198">
        <f>RANK(O11,$O$4:$O$43,0)+COUNTIF($O$4:O11,O11)-1</f>
        <v>4</v>
      </c>
      <c r="M11" s="189" t="str">
        <f>'55 count'!Q61</f>
        <v>Buckets (Weld / Repair Bucket)</v>
      </c>
      <c r="N11" s="189">
        <f>'55 count'!R61</f>
        <v>79</v>
      </c>
      <c r="O11" s="199">
        <f>'55 count'!S61</f>
        <v>143.89000000000001</v>
      </c>
    </row>
    <row r="12" spans="1:15" x14ac:dyDescent="0.2">
      <c r="L12" s="114">
        <f>RANK(O12,$O$4:$O$43,0)+COUNTIF($O$4:O12,O12)-1</f>
        <v>26</v>
      </c>
      <c r="M12" s="111" t="str">
        <f>'55 count'!Q62</f>
        <v>Crane Boom (Boom / Gantry Sheaves)</v>
      </c>
      <c r="N12" s="111">
        <f>'55 count'!R62</f>
        <v>3</v>
      </c>
      <c r="O12" s="168">
        <f>'55 count'!S62</f>
        <v>1.73</v>
      </c>
    </row>
    <row r="13" spans="1:15" x14ac:dyDescent="0.2">
      <c r="L13" s="114">
        <f>RANK(O13,$O$4:$O$43,0)+COUNTIF($O$4:O13,O13)-1</f>
        <v>36</v>
      </c>
      <c r="M13" s="111" t="str">
        <f>'55 count'!Q63</f>
        <v>Crane Boom (Boom / Gantry Structure)</v>
      </c>
      <c r="N13" s="111">
        <f>'55 count'!R63</f>
        <v>0</v>
      </c>
      <c r="O13" s="168">
        <f>'55 count'!S63</f>
        <v>0</v>
      </c>
    </row>
    <row r="14" spans="1:15" x14ac:dyDescent="0.2">
      <c r="L14" s="114">
        <f>RANK(O14,$O$4:$O$43,0)+COUNTIF($O$4:O14,O14)-1</f>
        <v>15</v>
      </c>
      <c r="M14" s="111" t="str">
        <f>'55 count'!Q64</f>
        <v>Crane Boom (Boom Winch)</v>
      </c>
      <c r="N14" s="111">
        <f>'55 count'!R64</f>
        <v>7</v>
      </c>
      <c r="O14" s="168">
        <f>'55 count'!S64</f>
        <v>34.583611111098435</v>
      </c>
    </row>
    <row r="15" spans="1:15" x14ac:dyDescent="0.2">
      <c r="L15" s="114">
        <f>RANK(O15,$O$4:$O$43,0)+COUNTIF($O$4:O15,O15)-1</f>
        <v>37</v>
      </c>
      <c r="M15" s="111" t="str">
        <f>'55 count'!Q65</f>
        <v>Crane Boom (Boom Wires)</v>
      </c>
      <c r="N15" s="111">
        <f>'55 count'!R65</f>
        <v>0</v>
      </c>
      <c r="O15" s="168">
        <f>'55 count'!S65</f>
        <v>0</v>
      </c>
    </row>
    <row r="16" spans="1:15" x14ac:dyDescent="0.2">
      <c r="L16" s="198">
        <f>RANK(O16,$O$4:$O$43,0)+COUNTIF($O$4:O16,O16)-1</f>
        <v>38</v>
      </c>
      <c r="M16" s="189" t="str">
        <f>'55 count'!Q66</f>
        <v>Crane Boom (Penant Wire)</v>
      </c>
      <c r="N16" s="189">
        <f>'55 count'!R66</f>
        <v>0</v>
      </c>
      <c r="O16" s="199">
        <f>'55 count'!S66</f>
        <v>0</v>
      </c>
    </row>
    <row r="17" spans="2:15" x14ac:dyDescent="0.2">
      <c r="L17" s="114">
        <f>RANK(O17,$O$4:$O$43,0)+COUNTIF($O$4:O17,O17)-1</f>
        <v>18</v>
      </c>
      <c r="M17" s="111" t="str">
        <f>'55 count'!Q67</f>
        <v>Crane Swing (Drive (motor, gear box, etc.))</v>
      </c>
      <c r="N17" s="111">
        <f>'55 count'!R67</f>
        <v>18</v>
      </c>
      <c r="O17" s="168">
        <f>'55 count'!S67</f>
        <v>17.43</v>
      </c>
    </row>
    <row r="18" spans="2:15" x14ac:dyDescent="0.2">
      <c r="L18" s="198">
        <f>RANK(O18,$O$4:$O$43,0)+COUNTIF($O$4:O18,O18)-1</f>
        <v>29</v>
      </c>
      <c r="M18" s="189" t="str">
        <f>'55 count'!Q68</f>
        <v>Crane Swing (Swing Circle (rollers, etc.))</v>
      </c>
      <c r="N18" s="189">
        <f>'55 count'!R68</f>
        <v>4</v>
      </c>
      <c r="O18" s="199">
        <f>'55 count'!S68</f>
        <v>0.57000000000000006</v>
      </c>
    </row>
    <row r="19" spans="2:15" x14ac:dyDescent="0.2">
      <c r="L19" s="114">
        <f>RANK(O19,$O$4:$O$43,0)+COUNTIF($O$4:O19,O19)-1</f>
        <v>22</v>
      </c>
      <c r="M19" s="111" t="str">
        <f>'55 count'!Q69</f>
        <v>Deck Winch (Fairleads)</v>
      </c>
      <c r="N19" s="111">
        <f>'55 count'!R69</f>
        <v>11</v>
      </c>
      <c r="O19" s="168">
        <f>'55 count'!S69</f>
        <v>5.4447222222131675</v>
      </c>
    </row>
    <row r="20" spans="2:15" x14ac:dyDescent="0.2">
      <c r="L20" s="198">
        <f>RANK(O20,$O$4:$O$43,0)+COUNTIF($O$4:O20,O20)-1</f>
        <v>19</v>
      </c>
      <c r="M20" s="189" t="str">
        <f>'55 count'!Q70</f>
        <v>Deck Winch (Winch)</v>
      </c>
      <c r="N20" s="189">
        <f>'55 count'!R70</f>
        <v>25</v>
      </c>
      <c r="O20" s="199">
        <f>'55 count'!S70</f>
        <v>11.728888888864311</v>
      </c>
    </row>
    <row r="21" spans="2:15" x14ac:dyDescent="0.2">
      <c r="L21" s="114">
        <f>RANK(O21,$O$4:$O$43,0)+COUNTIF($O$4:O21,O21)-1</f>
        <v>17</v>
      </c>
      <c r="M21" s="111" t="str">
        <f>'55 count'!Q71</f>
        <v>Electrical/Electronics (MCC / Switch Gear)</v>
      </c>
      <c r="N21" s="111">
        <f>'55 count'!R71</f>
        <v>10</v>
      </c>
      <c r="O21" s="168">
        <f>'55 count'!S71</f>
        <v>24.76</v>
      </c>
    </row>
    <row r="22" spans="2:15" x14ac:dyDescent="0.2">
      <c r="L22" s="114">
        <f>RANK(O22,$O$4:$O$43,0)+COUNTIF($O$4:O22,O22)-1</f>
        <v>39</v>
      </c>
      <c r="M22" s="111" t="str">
        <f>'55 count'!Q72</f>
        <v>Electrical/Electronics (Navigation Lights)</v>
      </c>
      <c r="N22" s="111">
        <f>'55 count'!R72</f>
        <v>0</v>
      </c>
      <c r="O22" s="168">
        <f>'55 count'!S72</f>
        <v>0</v>
      </c>
    </row>
    <row r="23" spans="2:15" x14ac:dyDescent="0.2">
      <c r="B23" s="11" t="s">
        <v>11</v>
      </c>
      <c r="L23" s="114">
        <f>RANK(O23,$O$4:$O$43,0)+COUNTIF($O$4:O23,O23)-1</f>
        <v>10</v>
      </c>
      <c r="M23" s="111" t="str">
        <f>'55 count'!Q73</f>
        <v>Electrical/Electronics (PLC)</v>
      </c>
      <c r="N23" s="111">
        <f>'55 count'!R73</f>
        <v>33</v>
      </c>
      <c r="O23" s="168">
        <f>'55 count'!S73</f>
        <v>71.22</v>
      </c>
    </row>
    <row r="24" spans="2:15" x14ac:dyDescent="0.2">
      <c r="L24" s="198">
        <f>RANK(O24,$O$4:$O$43,0)+COUNTIF($O$4:O24,O24)-1</f>
        <v>25</v>
      </c>
      <c r="M24" s="189" t="str">
        <f>'55 count'!Q74</f>
        <v>Electrical/Electronics (Transformers)</v>
      </c>
      <c r="N24" s="189">
        <f>'55 count'!R74</f>
        <v>2</v>
      </c>
      <c r="O24" s="199">
        <f>'55 count'!S74</f>
        <v>2.41</v>
      </c>
    </row>
    <row r="25" spans="2:15" x14ac:dyDescent="0.2">
      <c r="L25" s="114">
        <f>RANK(O25,$O$4:$O$43,0)+COUNTIF($O$4:O25,O25)-1</f>
        <v>27</v>
      </c>
      <c r="M25" s="111" t="str">
        <f>'55 count'!Q75</f>
        <v>Hull (Deck Fittings (cleats, timbers, etc.))</v>
      </c>
      <c r="N25" s="111">
        <f>'55 count'!R75</f>
        <v>1</v>
      </c>
      <c r="O25" s="168">
        <f>'55 count'!S75</f>
        <v>0.78</v>
      </c>
    </row>
    <row r="26" spans="2:15" x14ac:dyDescent="0.2">
      <c r="L26" s="198">
        <f>RANK(O26,$O$4:$O$43,0)+COUNTIF($O$4:O26,O26)-1</f>
        <v>13</v>
      </c>
      <c r="M26" s="189" t="str">
        <f>'55 count'!Q76</f>
        <v>Hull (Hull / House Repair)</v>
      </c>
      <c r="N26" s="189">
        <f>'55 count'!R76</f>
        <v>7</v>
      </c>
      <c r="O26" s="199">
        <f>'55 count'!S76</f>
        <v>41.3</v>
      </c>
    </row>
    <row r="27" spans="2:15" x14ac:dyDescent="0.2">
      <c r="L27" s="114">
        <f>RANK(O27,$O$4:$O$43,0)+COUNTIF($O$4:O27,O27)-1</f>
        <v>40</v>
      </c>
      <c r="M27" s="111" t="str">
        <f>'55 count'!Q77</f>
        <v>Main / Aux. Generators (Auxiliary Generator)</v>
      </c>
      <c r="N27" s="111">
        <f>'55 count'!R77</f>
        <v>0</v>
      </c>
      <c r="O27" s="168">
        <f>'55 count'!S77</f>
        <v>0</v>
      </c>
    </row>
    <row r="28" spans="2:15" ht="15.75" x14ac:dyDescent="0.25">
      <c r="B28" s="28" t="str">
        <f ca="1">"The first "&amp;COUNT(H33:H62)&amp;" "&amp;C32&amp;" cover "&amp;TEXT(OFFSET(E32,COUNT(H33:H62),0,1,1),"0.??%")&amp;" of the Total "&amp;D32</f>
        <v>The first 8 Causes cover 81.06% of the Total Hours</v>
      </c>
      <c r="C28" s="7"/>
      <c r="L28" s="114">
        <f>RANK(O28,$O$4:$O$43,0)+COUNTIF($O$4:O28,O28)-1</f>
        <v>8</v>
      </c>
      <c r="M28" s="111" t="str">
        <f>'55 count'!Q78</f>
        <v>Main / Aux. Generators (Main Generator)</v>
      </c>
      <c r="N28" s="111">
        <f>'55 count'!R78</f>
        <v>18</v>
      </c>
      <c r="O28" s="168">
        <f>'55 count'!S78</f>
        <v>86.33</v>
      </c>
    </row>
    <row r="29" spans="2:15" x14ac:dyDescent="0.2">
      <c r="L29" s="198">
        <f>RANK(O29,$O$4:$O$43,0)+COUNTIF($O$4:O29,O29)-1</f>
        <v>1</v>
      </c>
      <c r="M29" s="189" t="str">
        <f>'55 count'!Q79</f>
        <v>Main / Aux. Generators (Main Generator Engine)</v>
      </c>
      <c r="N29" s="189">
        <f>'55 count'!R79</f>
        <v>57</v>
      </c>
      <c r="O29" s="199">
        <f>'55 count'!S79</f>
        <v>1182.08</v>
      </c>
    </row>
    <row r="30" spans="2:15" x14ac:dyDescent="0.2">
      <c r="L30" s="114">
        <f>RANK(O30,$O$4:$O$43,0)+COUNTIF($O$4:O30,O30)-1</f>
        <v>9</v>
      </c>
      <c r="M30" s="111" t="str">
        <f>'55 count'!Q80</f>
        <v>Main Hoist (Closer)</v>
      </c>
      <c r="N30" s="111">
        <f>'55 count'!R80</f>
        <v>8</v>
      </c>
      <c r="O30" s="168">
        <f>'55 count'!S80</f>
        <v>81.38</v>
      </c>
    </row>
    <row r="31" spans="2:15" x14ac:dyDescent="0.2">
      <c r="D31" s="12" t="s">
        <v>9</v>
      </c>
      <c r="E31" s="29">
        <v>0.8</v>
      </c>
      <c r="L31" s="114">
        <f>RANK(O31,$O$4:$O$43,0)+COUNTIF($O$4:O31,O31)-1</f>
        <v>7</v>
      </c>
      <c r="M31" s="111" t="str">
        <f>'55 count'!Q81</f>
        <v>Main Hoist (Closer Wire)</v>
      </c>
      <c r="N31" s="111">
        <f>'55 count'!R81</f>
        <v>55</v>
      </c>
      <c r="O31" s="168">
        <f>'55 count'!S81</f>
        <v>96.69</v>
      </c>
    </row>
    <row r="32" spans="2:15" ht="15.75" x14ac:dyDescent="0.25">
      <c r="B32" s="24" t="s">
        <v>3</v>
      </c>
      <c r="C32" s="25" t="s">
        <v>5</v>
      </c>
      <c r="D32" s="26" t="s">
        <v>13</v>
      </c>
      <c r="E32" s="24" t="s">
        <v>4</v>
      </c>
      <c r="F32" s="38" t="s">
        <v>31</v>
      </c>
      <c r="G32" s="38" t="s">
        <v>14</v>
      </c>
      <c r="H32" s="13" t="s">
        <v>6</v>
      </c>
      <c r="I32" s="13" t="s">
        <v>7</v>
      </c>
      <c r="J32" s="13" t="s">
        <v>10</v>
      </c>
      <c r="L32" s="200">
        <f>RANK(O32,$O$4:$O$43,0)+COUNTIF($O$4:O32,O32)-1</f>
        <v>6</v>
      </c>
      <c r="M32" s="111" t="str">
        <f>'55 count'!Q82</f>
        <v>Main Hoist (Holder)</v>
      </c>
      <c r="N32" s="111">
        <f>'55 count'!R82</f>
        <v>49</v>
      </c>
      <c r="O32" s="168">
        <f>'55 count'!S82</f>
        <v>104.00999999999999</v>
      </c>
    </row>
    <row r="33" spans="2:15" x14ac:dyDescent="0.2">
      <c r="B33" s="14">
        <f t="shared" ref="B33:B62" si="0">ROW(B33)-ROW($B$32)</f>
        <v>1</v>
      </c>
      <c r="C33" s="220" t="s">
        <v>176</v>
      </c>
      <c r="D33" s="221">
        <v>1182.08</v>
      </c>
      <c r="E33" s="217">
        <f>SUM(D33:D$33)/SUM($D$33:$D$62)</f>
        <v>0.44740883789236047</v>
      </c>
      <c r="F33" s="218">
        <f>E33</f>
        <v>0.44740883789236047</v>
      </c>
      <c r="G33" s="202">
        <v>57</v>
      </c>
      <c r="H33" s="16">
        <f t="shared" ref="H33:H61" ca="1" si="1">IF(OR(B33=1,OFFSET($E$32,B33-1,0,1,1)&lt;=$E$31),OFFSET($D$32,B33,0,1,1),"")</f>
        <v>1182.08</v>
      </c>
      <c r="I33" s="17" t="str">
        <f t="shared" ref="I33:I61" ca="1" si="2">IF(H33="",OFFSET($D$32,B33,0,1,1),"")</f>
        <v/>
      </c>
      <c r="J33" s="18">
        <f t="shared" ref="J33:J62" si="3">$E$31</f>
        <v>0.8</v>
      </c>
      <c r="L33" s="198">
        <f>RANK(O33,$O$4:$O$43,0)+COUNTIF($O$4:O33,O33)-1</f>
        <v>12</v>
      </c>
      <c r="M33" s="189" t="str">
        <f>'55 count'!Q83</f>
        <v>Main Hoist (Holder Wire)</v>
      </c>
      <c r="N33" s="189">
        <f>'55 count'!R83</f>
        <v>36</v>
      </c>
      <c r="O33" s="199">
        <f>'55 count'!S83</f>
        <v>54.8</v>
      </c>
    </row>
    <row r="34" spans="2:15" x14ac:dyDescent="0.2">
      <c r="B34" s="14">
        <f t="shared" si="0"/>
        <v>2</v>
      </c>
      <c r="C34" s="220" t="s">
        <v>180</v>
      </c>
      <c r="D34" s="221">
        <v>211.26</v>
      </c>
      <c r="E34" s="217">
        <f>SUM(D$33:D34)/SUM($D$33:$D$62)</f>
        <v>0.52736923912843592</v>
      </c>
      <c r="F34" s="218">
        <f>E34-E33</f>
        <v>7.9960401236075451E-2</v>
      </c>
      <c r="G34" s="219">
        <v>8</v>
      </c>
      <c r="H34" s="16">
        <f t="shared" ca="1" si="1"/>
        <v>211.26</v>
      </c>
      <c r="I34" s="17" t="str">
        <f t="shared" ca="1" si="2"/>
        <v/>
      </c>
      <c r="J34" s="18">
        <f t="shared" si="3"/>
        <v>0.8</v>
      </c>
      <c r="L34" s="114">
        <f>RANK(O34,$O$4:$O$43,0)+COUNTIF($O$4:O34,O34)-1</f>
        <v>21</v>
      </c>
      <c r="M34" s="111" t="str">
        <f>'55 count'!Q84</f>
        <v>Spud System (Spud Sheaves)</v>
      </c>
      <c r="N34" s="111">
        <f>'55 count'!R84</f>
        <v>5</v>
      </c>
      <c r="O34" s="168">
        <f>'55 count'!S84</f>
        <v>5.53</v>
      </c>
    </row>
    <row r="35" spans="2:15" x14ac:dyDescent="0.2">
      <c r="B35" s="14">
        <f t="shared" si="0"/>
        <v>3</v>
      </c>
      <c r="C35" s="220" t="s">
        <v>97</v>
      </c>
      <c r="D35" s="221">
        <v>204.60027777779845</v>
      </c>
      <c r="E35" s="217">
        <f>SUM(D$33:D35)/SUM($D$33:$D$62)</f>
        <v>0.60480898306541053</v>
      </c>
      <c r="F35" s="218">
        <f t="shared" ref="F35:F62" si="4">E35-E34</f>
        <v>7.7439743936974614E-2</v>
      </c>
      <c r="G35" s="202">
        <v>110</v>
      </c>
      <c r="H35" s="16">
        <f t="shared" ca="1" si="1"/>
        <v>204.60027777779845</v>
      </c>
      <c r="I35" s="17" t="str">
        <f t="shared" ca="1" si="2"/>
        <v/>
      </c>
      <c r="J35" s="18">
        <f t="shared" si="3"/>
        <v>0.8</v>
      </c>
      <c r="L35" s="114">
        <f>RANK(O35,$O$4:$O$43,0)+COUNTIF($O$4:O35,O35)-1</f>
        <v>30</v>
      </c>
      <c r="M35" s="111" t="str">
        <f>'55 count'!Q85</f>
        <v>Spud System (Spud Structure)</v>
      </c>
      <c r="N35" s="111">
        <f>'55 count'!R85</f>
        <v>1</v>
      </c>
      <c r="O35" s="168">
        <f>'55 count'!S85</f>
        <v>0.41</v>
      </c>
    </row>
    <row r="36" spans="2:15" x14ac:dyDescent="0.2">
      <c r="B36" s="14">
        <f t="shared" si="0"/>
        <v>4</v>
      </c>
      <c r="C36" s="220" t="s">
        <v>175</v>
      </c>
      <c r="D36" s="221">
        <v>143.89000000000001</v>
      </c>
      <c r="E36" s="217">
        <f>SUM(D$33:D36)/SUM($D$33:$D$62)</f>
        <v>0.65927032044048817</v>
      </c>
      <c r="F36" s="218">
        <f t="shared" si="4"/>
        <v>5.4461337375077634E-2</v>
      </c>
      <c r="G36" s="202">
        <v>79</v>
      </c>
      <c r="H36" s="16">
        <f t="shared" ca="1" si="1"/>
        <v>143.89000000000001</v>
      </c>
      <c r="I36" s="17" t="str">
        <f t="shared" ca="1" si="2"/>
        <v/>
      </c>
      <c r="J36" s="18">
        <f t="shared" si="3"/>
        <v>0.8</v>
      </c>
      <c r="L36" s="114">
        <f>RANK(O36,$O$4:$O$43,0)+COUNTIF($O$4:O36,O36)-1</f>
        <v>5</v>
      </c>
      <c r="M36" s="111" t="str">
        <f>'55 count'!Q86</f>
        <v>Spud System (Spud Winch)</v>
      </c>
      <c r="N36" s="111">
        <f>'55 count'!R86</f>
        <v>22</v>
      </c>
      <c r="O36" s="168">
        <f>'55 count'!S86</f>
        <v>112.77027777774026</v>
      </c>
    </row>
    <row r="37" spans="2:15" x14ac:dyDescent="0.2">
      <c r="B37" s="14">
        <f t="shared" si="0"/>
        <v>5</v>
      </c>
      <c r="C37" s="220" t="s">
        <v>94</v>
      </c>
      <c r="D37" s="221">
        <v>112.77027777774026</v>
      </c>
      <c r="E37" s="217">
        <f>SUM(D$33:D37)/SUM($D$33:$D$62)</f>
        <v>0.70195306520339551</v>
      </c>
      <c r="F37" s="218">
        <f t="shared" si="4"/>
        <v>4.2682744762907343E-2</v>
      </c>
      <c r="G37" s="202">
        <v>22</v>
      </c>
      <c r="H37" s="16">
        <f t="shared" ca="1" si="1"/>
        <v>112.77027777774026</v>
      </c>
      <c r="I37" s="17" t="str">
        <f t="shared" ca="1" si="2"/>
        <v/>
      </c>
      <c r="J37" s="18">
        <f t="shared" si="3"/>
        <v>0.8</v>
      </c>
      <c r="L37" s="114">
        <f>RANK(O37,$O$4:$O$43,0)+COUNTIF($O$4:O37,O37)-1</f>
        <v>23</v>
      </c>
      <c r="M37" s="111" t="str">
        <f>'55 count'!Q87</f>
        <v>Spud System (Spud Wires)</v>
      </c>
      <c r="N37" s="111">
        <f>'55 count'!R87</f>
        <v>6</v>
      </c>
      <c r="O37" s="168">
        <f>'55 count'!S87</f>
        <v>5.35</v>
      </c>
    </row>
    <row r="38" spans="2:15" x14ac:dyDescent="0.2">
      <c r="B38" s="14">
        <f t="shared" si="0"/>
        <v>6</v>
      </c>
      <c r="C38" s="220" t="s">
        <v>90</v>
      </c>
      <c r="D38" s="221">
        <v>104.00999999999999</v>
      </c>
      <c r="E38" s="217">
        <f>SUM(D$33:D38)/SUM($D$33:$D$62)</f>
        <v>0.74132010739105159</v>
      </c>
      <c r="F38" s="218">
        <f t="shared" si="4"/>
        <v>3.9367042187656076E-2</v>
      </c>
      <c r="G38" s="202">
        <v>49</v>
      </c>
      <c r="H38" s="16">
        <f t="shared" ca="1" si="1"/>
        <v>104.00999999999999</v>
      </c>
      <c r="I38" s="17" t="str">
        <f t="shared" ca="1" si="2"/>
        <v/>
      </c>
      <c r="J38" s="18">
        <f t="shared" si="3"/>
        <v>0.8</v>
      </c>
      <c r="L38" s="198">
        <f>RANK(O38,$O$4:$O$43,0)+COUNTIF($O$4:O38,O38)-1</f>
        <v>11</v>
      </c>
      <c r="M38" s="189" t="str">
        <f>'55 count'!Q88</f>
        <v>Spud System (Walking Mechanisms (Carriage / Travel))</v>
      </c>
      <c r="N38" s="189">
        <f>'55 count'!R88</f>
        <v>22</v>
      </c>
      <c r="O38" s="199">
        <f>'55 count'!S88</f>
        <v>62.84</v>
      </c>
    </row>
    <row r="39" spans="2:15" x14ac:dyDescent="0.2">
      <c r="B39" s="14">
        <f t="shared" si="0"/>
        <v>7</v>
      </c>
      <c r="C39" s="220" t="s">
        <v>89</v>
      </c>
      <c r="D39" s="221">
        <v>96.69</v>
      </c>
      <c r="E39" s="217">
        <f>SUM(D$33:D39)/SUM($D$33:$D$62)</f>
        <v>0.77791658185624191</v>
      </c>
      <c r="F39" s="218">
        <f t="shared" si="4"/>
        <v>3.6596474465190321E-2</v>
      </c>
      <c r="G39" s="202">
        <v>55</v>
      </c>
      <c r="H39" s="16">
        <f t="shared" ca="1" si="1"/>
        <v>96.69</v>
      </c>
      <c r="I39" s="17" t="str">
        <f t="shared" ca="1" si="2"/>
        <v/>
      </c>
      <c r="J39" s="18">
        <f t="shared" si="3"/>
        <v>0.8</v>
      </c>
      <c r="L39" s="114">
        <f>RANK(O39,$O$4:$O$43,0)+COUNTIF($O$4:O39,O39)-1</f>
        <v>28</v>
      </c>
      <c r="M39" s="111" t="str">
        <f>'55 count'!Q89</f>
        <v>Tagline (Tagline Sheaves)</v>
      </c>
      <c r="N39" s="111">
        <f>'55 count'!R89</f>
        <v>5</v>
      </c>
      <c r="O39" s="168">
        <f>'55 count'!S89</f>
        <v>0.60000000000000009</v>
      </c>
    </row>
    <row r="40" spans="2:15" x14ac:dyDescent="0.2">
      <c r="B40" s="14">
        <f t="shared" si="0"/>
        <v>8</v>
      </c>
      <c r="C40" s="220" t="s">
        <v>177</v>
      </c>
      <c r="D40" s="221">
        <v>86.33</v>
      </c>
      <c r="E40" s="217">
        <f>SUM(D$33:D40)/SUM($D$33:$D$62)</f>
        <v>0.81059187030985547</v>
      </c>
      <c r="F40" s="218">
        <f t="shared" si="4"/>
        <v>3.267528845361356E-2</v>
      </c>
      <c r="G40" s="219">
        <v>18</v>
      </c>
      <c r="H40" s="16">
        <f t="shared" ca="1" si="1"/>
        <v>86.33</v>
      </c>
      <c r="I40" s="17" t="str">
        <f t="shared" ca="1" si="2"/>
        <v/>
      </c>
      <c r="J40" s="18">
        <f t="shared" si="3"/>
        <v>0.8</v>
      </c>
      <c r="L40" s="114">
        <f>RANK(O40,$O$4:$O$43,0)+COUNTIF($O$4:O40,O40)-1</f>
        <v>2</v>
      </c>
      <c r="M40" s="111" t="str">
        <f>'55 count'!Q90</f>
        <v>Tagline (Tagline Winch (motor, gearbox, etc.))</v>
      </c>
      <c r="N40" s="111">
        <f>'55 count'!R90</f>
        <v>8</v>
      </c>
      <c r="O40" s="168">
        <f>'55 count'!S90</f>
        <v>211.26</v>
      </c>
    </row>
    <row r="41" spans="2:15" x14ac:dyDescent="0.2">
      <c r="B41" s="14">
        <f t="shared" si="0"/>
        <v>9</v>
      </c>
      <c r="C41" s="205" t="s">
        <v>88</v>
      </c>
      <c r="D41" s="206">
        <v>81.38</v>
      </c>
      <c r="E41" s="217">
        <f>SUM(D$33:D41)/SUM($D$33:$D$62)</f>
        <v>0.84139361911508037</v>
      </c>
      <c r="F41" s="218">
        <f t="shared" si="4"/>
        <v>3.0801748805224904E-2</v>
      </c>
      <c r="G41" s="219">
        <v>8</v>
      </c>
      <c r="H41" s="16" t="str">
        <f t="shared" ca="1" si="1"/>
        <v/>
      </c>
      <c r="I41" s="17">
        <f t="shared" ca="1" si="2"/>
        <v>81.38</v>
      </c>
      <c r="J41" s="18">
        <f t="shared" si="3"/>
        <v>0.8</v>
      </c>
      <c r="L41" s="198">
        <f>RANK(O41,$O$4:$O$43,0)+COUNTIF($O$4:O41,O41)-1</f>
        <v>14</v>
      </c>
      <c r="M41" s="189" t="str">
        <f>'55 count'!Q91</f>
        <v>Tagline (Tagline Wire)</v>
      </c>
      <c r="N41" s="189">
        <f>'55 count'!R91</f>
        <v>30</v>
      </c>
      <c r="O41" s="199">
        <f>'55 count'!S91</f>
        <v>35.940000000000005</v>
      </c>
    </row>
    <row r="42" spans="2:15" x14ac:dyDescent="0.2">
      <c r="B42" s="14">
        <f t="shared" si="0"/>
        <v>10</v>
      </c>
      <c r="C42" s="205" t="s">
        <v>178</v>
      </c>
      <c r="D42" s="206">
        <v>71.22</v>
      </c>
      <c r="E42" s="217">
        <f>SUM(D$33:D42)/SUM($D$33:$D$62)</f>
        <v>0.86834988048038042</v>
      </c>
      <c r="F42" s="218">
        <f t="shared" si="4"/>
        <v>2.6956261365300049E-2</v>
      </c>
      <c r="G42" s="202">
        <v>33</v>
      </c>
      <c r="H42" s="16" t="str">
        <f t="shared" ca="1" si="1"/>
        <v/>
      </c>
      <c r="I42" s="17">
        <f t="shared" ca="1" si="2"/>
        <v>71.22</v>
      </c>
      <c r="J42" s="18">
        <f t="shared" si="3"/>
        <v>0.8</v>
      </c>
      <c r="L42" s="114">
        <f>RANK(O42,$O$4:$O$43,0)+COUNTIF($O$4:O42,O42)-1</f>
        <v>3</v>
      </c>
      <c r="M42" s="111" t="str">
        <f>'55 count'!Q92</f>
        <v>Tugs and Scows (Scow Repair)</v>
      </c>
      <c r="N42" s="111">
        <f>'55 count'!R92</f>
        <v>110</v>
      </c>
      <c r="O42" s="168">
        <f>'55 count'!S92</f>
        <v>204.60027777779845</v>
      </c>
    </row>
    <row r="43" spans="2:15" x14ac:dyDescent="0.2">
      <c r="B43" s="14">
        <f t="shared" si="0"/>
        <v>11</v>
      </c>
      <c r="C43" s="205" t="s">
        <v>174</v>
      </c>
      <c r="D43" s="206">
        <v>62.84</v>
      </c>
      <c r="E43" s="217">
        <f>SUM(D$33:D43)/SUM($D$33:$D$62)</f>
        <v>0.89213437169345911</v>
      </c>
      <c r="F43" s="218">
        <f t="shared" si="4"/>
        <v>2.3784491213078685E-2</v>
      </c>
      <c r="G43" s="202">
        <v>22</v>
      </c>
      <c r="H43" s="16" t="str">
        <f t="shared" ca="1" si="1"/>
        <v/>
      </c>
      <c r="I43" s="17">
        <f t="shared" ca="1" si="2"/>
        <v>62.84</v>
      </c>
      <c r="J43" s="18">
        <f t="shared" si="3"/>
        <v>0.8</v>
      </c>
      <c r="L43" s="114">
        <f>RANK(O43,$O$4:$O$43,0)+COUNTIF($O$4:O43,O43)-1</f>
        <v>16</v>
      </c>
      <c r="M43" s="111" t="str">
        <f>'55 count'!Q93</f>
        <v>Tugs and Scows (Tug Repair)</v>
      </c>
      <c r="N43" s="111">
        <f>'55 count'!R93</f>
        <v>4</v>
      </c>
      <c r="O43" s="168">
        <f>'55 count'!S93</f>
        <v>31.17</v>
      </c>
    </row>
    <row r="44" spans="2:15" x14ac:dyDescent="0.2">
      <c r="B44" s="14">
        <f t="shared" si="0"/>
        <v>12</v>
      </c>
      <c r="C44" s="205" t="s">
        <v>91</v>
      </c>
      <c r="D44" s="206">
        <v>54.8</v>
      </c>
      <c r="E44" s="217">
        <f>SUM(D$33:D44)/SUM($D$33:$D$62)</f>
        <v>0.91287578032612471</v>
      </c>
      <c r="F44" s="218">
        <f t="shared" si="4"/>
        <v>2.0741408632665603E-2</v>
      </c>
      <c r="G44" s="202">
        <v>36</v>
      </c>
      <c r="H44" s="16" t="str">
        <f t="shared" ca="1" si="1"/>
        <v/>
      </c>
      <c r="I44" s="17">
        <f t="shared" ca="1" si="2"/>
        <v>54.8</v>
      </c>
      <c r="J44" s="18">
        <f t="shared" si="3"/>
        <v>0.8</v>
      </c>
      <c r="L44" s="144"/>
      <c r="M44" s="113"/>
      <c r="N44" s="113"/>
      <c r="O44" s="169"/>
    </row>
    <row r="45" spans="2:15" x14ac:dyDescent="0.2">
      <c r="B45" s="14">
        <f t="shared" si="0"/>
        <v>13</v>
      </c>
      <c r="C45" s="205" t="s">
        <v>84</v>
      </c>
      <c r="D45" s="206">
        <v>41.3</v>
      </c>
      <c r="E45" s="217">
        <f>SUM(D$33:D45)/SUM($D$33:$D$62)</f>
        <v>0.92850753537227604</v>
      </c>
      <c r="F45" s="218">
        <f t="shared" si="4"/>
        <v>1.563175504615133E-2</v>
      </c>
      <c r="G45" s="219">
        <v>7</v>
      </c>
      <c r="H45" s="16" t="str">
        <f t="shared" ca="1" si="1"/>
        <v/>
      </c>
      <c r="I45" s="17">
        <f t="shared" ca="1" si="2"/>
        <v>41.3</v>
      </c>
      <c r="J45" s="18">
        <f t="shared" si="3"/>
        <v>0.8</v>
      </c>
      <c r="L45" s="144"/>
      <c r="M45" s="113"/>
      <c r="N45" s="113"/>
      <c r="O45" s="169"/>
    </row>
    <row r="46" spans="2:15" x14ac:dyDescent="0.2">
      <c r="B46" s="14">
        <f t="shared" si="0"/>
        <v>14</v>
      </c>
      <c r="C46" s="205" t="s">
        <v>163</v>
      </c>
      <c r="D46" s="206">
        <v>35.940000000000005</v>
      </c>
      <c r="E46" s="217">
        <f>SUM(D$33:D46)/SUM($D$33:$D$62)</f>
        <v>0.94211056869815202</v>
      </c>
      <c r="F46" s="218">
        <f t="shared" si="4"/>
        <v>1.3603033325875979E-2</v>
      </c>
      <c r="G46" s="202">
        <v>30</v>
      </c>
      <c r="H46" s="16" t="str">
        <f t="shared" ca="1" si="1"/>
        <v/>
      </c>
      <c r="I46" s="17">
        <f t="shared" ca="1" si="2"/>
        <v>35.940000000000005</v>
      </c>
      <c r="J46" s="18">
        <f t="shared" si="3"/>
        <v>0.8</v>
      </c>
      <c r="L46" s="144"/>
      <c r="M46" s="113"/>
      <c r="N46" s="113"/>
      <c r="O46" s="169"/>
    </row>
    <row r="47" spans="2:15" x14ac:dyDescent="0.2">
      <c r="B47" s="14">
        <f t="shared" si="0"/>
        <v>15</v>
      </c>
      <c r="C47" s="205" t="s">
        <v>76</v>
      </c>
      <c r="D47" s="206">
        <v>34.583611111098435</v>
      </c>
      <c r="E47" s="217">
        <f>SUM(D$33:D47)/SUM($D$33:$D$62)</f>
        <v>0.95520021851655512</v>
      </c>
      <c r="F47" s="218">
        <f t="shared" si="4"/>
        <v>1.3089649818403104E-2</v>
      </c>
      <c r="G47" s="219">
        <v>7</v>
      </c>
      <c r="H47" s="16" t="str">
        <f t="shared" ca="1" si="1"/>
        <v/>
      </c>
      <c r="I47" s="17">
        <f t="shared" ca="1" si="2"/>
        <v>34.583611111098435</v>
      </c>
      <c r="J47" s="18">
        <f t="shared" si="3"/>
        <v>0.8</v>
      </c>
      <c r="L47" s="144"/>
      <c r="M47" s="113"/>
      <c r="N47" s="113"/>
      <c r="O47" s="169"/>
    </row>
    <row r="48" spans="2:15" x14ac:dyDescent="0.2">
      <c r="B48" s="14">
        <f t="shared" si="0"/>
        <v>16</v>
      </c>
      <c r="C48" s="205" t="s">
        <v>98</v>
      </c>
      <c r="D48" s="206">
        <v>31.17</v>
      </c>
      <c r="E48" s="217">
        <f>SUM(D$33:D48)/SUM($D$33:$D$62)</f>
        <v>0.96699784090852936</v>
      </c>
      <c r="F48" s="218">
        <f t="shared" si="4"/>
        <v>1.1797622391974238E-2</v>
      </c>
      <c r="G48" s="219">
        <v>4</v>
      </c>
      <c r="H48" s="16" t="str">
        <f t="shared" ca="1" si="1"/>
        <v/>
      </c>
      <c r="I48" s="17">
        <f t="shared" ca="1" si="2"/>
        <v>31.17</v>
      </c>
      <c r="J48" s="18">
        <f t="shared" si="3"/>
        <v>0.8</v>
      </c>
      <c r="L48" s="144"/>
      <c r="M48" s="113"/>
      <c r="N48" s="113"/>
      <c r="O48" s="169"/>
    </row>
    <row r="49" spans="2:15" x14ac:dyDescent="0.2">
      <c r="B49" s="14">
        <f t="shared" si="0"/>
        <v>17</v>
      </c>
      <c r="C49" s="205" t="s">
        <v>181</v>
      </c>
      <c r="D49" s="206">
        <v>24.76</v>
      </c>
      <c r="E49" s="217">
        <f>SUM(D$33:D49)/SUM($D$33:$D$62)</f>
        <v>0.97636932407905497</v>
      </c>
      <c r="F49" s="218">
        <f t="shared" si="4"/>
        <v>9.3714831705256074E-3</v>
      </c>
      <c r="G49" s="219">
        <v>10</v>
      </c>
      <c r="H49" s="16" t="str">
        <f t="shared" ca="1" si="1"/>
        <v/>
      </c>
      <c r="I49" s="17">
        <f t="shared" ca="1" si="2"/>
        <v>24.76</v>
      </c>
      <c r="J49" s="18">
        <f t="shared" si="3"/>
        <v>0.8</v>
      </c>
      <c r="L49" s="144"/>
      <c r="M49" s="113"/>
      <c r="N49" s="113"/>
      <c r="O49" s="169"/>
    </row>
    <row r="50" spans="2:15" x14ac:dyDescent="0.2">
      <c r="B50" s="14">
        <f t="shared" si="0"/>
        <v>18</v>
      </c>
      <c r="C50" s="205" t="s">
        <v>173</v>
      </c>
      <c r="D50" s="206">
        <v>17.43</v>
      </c>
      <c r="E50" s="217">
        <f>SUM(D$33:D50)/SUM($D$33:$D$62)</f>
        <v>0.98296645459853227</v>
      </c>
      <c r="F50" s="218">
        <f t="shared" si="4"/>
        <v>6.5971305194773011E-3</v>
      </c>
      <c r="G50" s="219">
        <v>18</v>
      </c>
      <c r="H50" s="16" t="str">
        <f t="shared" ca="1" si="1"/>
        <v/>
      </c>
      <c r="I50" s="17">
        <f t="shared" ca="1" si="2"/>
        <v>17.43</v>
      </c>
      <c r="J50" s="18">
        <f t="shared" si="3"/>
        <v>0.8</v>
      </c>
      <c r="L50" s="144"/>
      <c r="M50" s="113"/>
      <c r="N50" s="113"/>
      <c r="O50" s="169"/>
    </row>
    <row r="51" spans="2:15" x14ac:dyDescent="0.2">
      <c r="B51" s="14">
        <f t="shared" si="0"/>
        <v>19</v>
      </c>
      <c r="C51" s="205" t="s">
        <v>80</v>
      </c>
      <c r="D51" s="206">
        <v>11.728888888864311</v>
      </c>
      <c r="E51" s="217">
        <f>SUM(D$33:D51)/SUM($D$33:$D$62)</f>
        <v>0.98740575527829622</v>
      </c>
      <c r="F51" s="218">
        <f t="shared" si="4"/>
        <v>4.4393006797639467E-3</v>
      </c>
      <c r="G51" s="202">
        <v>25</v>
      </c>
      <c r="H51" s="16" t="str">
        <f t="shared" ca="1" si="1"/>
        <v/>
      </c>
      <c r="I51" s="17">
        <f t="shared" ca="1" si="2"/>
        <v>11.728888888864311</v>
      </c>
      <c r="J51" s="18">
        <f t="shared" si="3"/>
        <v>0.8</v>
      </c>
      <c r="L51" s="144"/>
      <c r="M51" s="113"/>
      <c r="N51" s="113"/>
      <c r="O51" s="169"/>
    </row>
    <row r="52" spans="2:15" x14ac:dyDescent="0.2">
      <c r="B52" s="14">
        <f t="shared" si="0"/>
        <v>20</v>
      </c>
      <c r="C52" s="205" t="s">
        <v>27</v>
      </c>
      <c r="D52" s="206">
        <v>7.6400000000000006</v>
      </c>
      <c r="E52" s="217">
        <f>SUM(D$33:D52)/SUM($D$33:$D$62)</f>
        <v>0.99029744071540504</v>
      </c>
      <c r="F52" s="218">
        <f t="shared" si="4"/>
        <v>2.8916854371088263E-3</v>
      </c>
      <c r="G52" s="219">
        <v>14</v>
      </c>
      <c r="H52" s="16" t="str">
        <f t="shared" ca="1" si="1"/>
        <v/>
      </c>
      <c r="I52" s="17">
        <f t="shared" ca="1" si="2"/>
        <v>7.6400000000000006</v>
      </c>
      <c r="J52" s="18">
        <f t="shared" si="3"/>
        <v>0.8</v>
      </c>
      <c r="L52" s="144"/>
      <c r="M52" s="113"/>
      <c r="N52" s="113"/>
      <c r="O52" s="169"/>
    </row>
    <row r="53" spans="2:15" x14ac:dyDescent="0.2">
      <c r="B53" s="14">
        <f t="shared" si="0"/>
        <v>21</v>
      </c>
      <c r="C53" s="205" t="s">
        <v>92</v>
      </c>
      <c r="D53" s="206">
        <v>5.53</v>
      </c>
      <c r="E53" s="217">
        <f>SUM(D$33:D53)/SUM($D$33:$D$62)</f>
        <v>0.99239050622158476</v>
      </c>
      <c r="F53" s="218">
        <f t="shared" si="4"/>
        <v>2.0930655061797143E-3</v>
      </c>
      <c r="G53" s="219">
        <v>5</v>
      </c>
      <c r="H53" s="16" t="str">
        <f t="shared" ca="1" si="1"/>
        <v/>
      </c>
      <c r="I53" s="17">
        <f t="shared" ca="1" si="2"/>
        <v>5.53</v>
      </c>
      <c r="J53" s="18">
        <f t="shared" si="3"/>
        <v>0.8</v>
      </c>
      <c r="L53" s="144"/>
      <c r="M53" s="113"/>
      <c r="N53" s="113"/>
      <c r="O53" s="169"/>
    </row>
    <row r="54" spans="2:15" x14ac:dyDescent="0.2">
      <c r="B54" s="14">
        <f t="shared" si="0"/>
        <v>22</v>
      </c>
      <c r="C54" s="205" t="s">
        <v>79</v>
      </c>
      <c r="D54" s="206">
        <v>5.4447222222131675</v>
      </c>
      <c r="E54" s="217">
        <f>SUM(D$33:D54)/SUM($D$33:$D$62)</f>
        <v>0.99445129469790372</v>
      </c>
      <c r="F54" s="218">
        <f t="shared" si="4"/>
        <v>2.0607884763189643E-3</v>
      </c>
      <c r="G54" s="219">
        <v>11</v>
      </c>
      <c r="H54" s="16" t="str">
        <f t="shared" ca="1" si="1"/>
        <v/>
      </c>
      <c r="I54" s="17">
        <f t="shared" ca="1" si="2"/>
        <v>5.4447222222131675</v>
      </c>
      <c r="J54" s="18">
        <f t="shared" si="3"/>
        <v>0.8</v>
      </c>
      <c r="L54" s="144"/>
      <c r="M54" s="113"/>
      <c r="N54" s="113"/>
      <c r="O54" s="169"/>
    </row>
    <row r="55" spans="2:15" x14ac:dyDescent="0.2">
      <c r="B55" s="14">
        <f t="shared" si="0"/>
        <v>23</v>
      </c>
      <c r="C55" s="205" t="s">
        <v>95</v>
      </c>
      <c r="D55" s="206">
        <v>5.35</v>
      </c>
      <c r="E55" s="217">
        <f>SUM(D$33:D55)/SUM($D$33:$D$62)</f>
        <v>0.99647623148959641</v>
      </c>
      <c r="F55" s="218">
        <f t="shared" si="4"/>
        <v>2.0249367916926886E-3</v>
      </c>
      <c r="G55" s="219">
        <v>6</v>
      </c>
      <c r="H55" s="16" t="str">
        <f t="shared" ca="1" si="1"/>
        <v/>
      </c>
      <c r="I55" s="17">
        <f t="shared" ca="1" si="2"/>
        <v>5.35</v>
      </c>
      <c r="J55" s="18">
        <f t="shared" si="3"/>
        <v>0.8</v>
      </c>
      <c r="L55" s="144"/>
      <c r="M55" s="113"/>
      <c r="N55" s="113"/>
      <c r="O55" s="169"/>
    </row>
    <row r="56" spans="2:15" x14ac:dyDescent="0.2">
      <c r="B56" s="14">
        <f t="shared" si="0"/>
        <v>24</v>
      </c>
      <c r="C56" s="205" t="s">
        <v>69</v>
      </c>
      <c r="D56" s="206">
        <v>2.81</v>
      </c>
      <c r="E56" s="217">
        <f>SUM(D$33:D56)/SUM($D$33:$D$62)</f>
        <v>0.99753979642130797</v>
      </c>
      <c r="F56" s="218">
        <f t="shared" si="4"/>
        <v>1.0635649317115581E-3</v>
      </c>
      <c r="G56" s="219">
        <v>5</v>
      </c>
      <c r="H56" s="16" t="str">
        <f t="shared" ca="1" si="1"/>
        <v/>
      </c>
      <c r="I56" s="17">
        <f t="shared" ca="1" si="2"/>
        <v>2.81</v>
      </c>
      <c r="J56" s="18">
        <f t="shared" si="3"/>
        <v>0.8</v>
      </c>
    </row>
    <row r="57" spans="2:15" x14ac:dyDescent="0.2">
      <c r="B57" s="14">
        <f t="shared" si="0"/>
        <v>25</v>
      </c>
      <c r="C57" s="205" t="s">
        <v>185</v>
      </c>
      <c r="D57" s="206">
        <v>2.41</v>
      </c>
      <c r="E57" s="217">
        <f>SUM(D$33:D57)/SUM($D$33:$D$62)</f>
        <v>0.99845196420971527</v>
      </c>
      <c r="F57" s="218">
        <f t="shared" si="4"/>
        <v>9.1216778840730317E-4</v>
      </c>
      <c r="G57" s="219">
        <v>2</v>
      </c>
      <c r="H57" s="16" t="str">
        <f t="shared" ca="1" si="1"/>
        <v/>
      </c>
      <c r="I57" s="17">
        <f t="shared" ca="1" si="2"/>
        <v>2.41</v>
      </c>
      <c r="J57" s="18">
        <f t="shared" si="3"/>
        <v>0.8</v>
      </c>
    </row>
    <row r="58" spans="2:15" x14ac:dyDescent="0.2">
      <c r="B58" s="14">
        <f t="shared" si="0"/>
        <v>26</v>
      </c>
      <c r="C58" s="205" t="s">
        <v>74</v>
      </c>
      <c r="D58" s="206">
        <v>1.73</v>
      </c>
      <c r="E58" s="217">
        <f>SUM(D$33:D58)/SUM($D$33:$D$62)</f>
        <v>0.99910675685450556</v>
      </c>
      <c r="F58" s="218">
        <f t="shared" si="4"/>
        <v>6.5479264479029187E-4</v>
      </c>
      <c r="G58" s="219">
        <v>3</v>
      </c>
      <c r="H58" s="16" t="str">
        <f t="shared" ca="1" si="1"/>
        <v/>
      </c>
      <c r="I58" s="17">
        <f t="shared" ca="1" si="2"/>
        <v>1.73</v>
      </c>
      <c r="J58" s="18">
        <f t="shared" si="3"/>
        <v>0.8</v>
      </c>
    </row>
    <row r="59" spans="2:15" x14ac:dyDescent="0.2">
      <c r="B59" s="14">
        <f t="shared" si="0"/>
        <v>27</v>
      </c>
      <c r="C59" s="205" t="s">
        <v>179</v>
      </c>
      <c r="D59" s="206">
        <v>0.78</v>
      </c>
      <c r="E59" s="217">
        <f>SUM(D$33:D59)/SUM($D$33:$D$62)</f>
        <v>0.99940198128394875</v>
      </c>
      <c r="F59" s="218">
        <f t="shared" si="4"/>
        <v>2.9522442944318605E-4</v>
      </c>
      <c r="G59" s="219">
        <v>1</v>
      </c>
      <c r="H59" s="16" t="str">
        <f t="shared" ca="1" si="1"/>
        <v/>
      </c>
      <c r="I59" s="17">
        <f t="shared" ca="1" si="2"/>
        <v>0.78</v>
      </c>
      <c r="J59" s="18">
        <f t="shared" si="3"/>
        <v>0.8</v>
      </c>
    </row>
    <row r="60" spans="2:15" x14ac:dyDescent="0.2">
      <c r="B60" s="14">
        <f t="shared" si="0"/>
        <v>28</v>
      </c>
      <c r="C60" s="205" t="s">
        <v>130</v>
      </c>
      <c r="D60" s="206">
        <v>0.60000000000000009</v>
      </c>
      <c r="E60" s="217">
        <f>SUM(D$33:D60)/SUM($D$33:$D$62)</f>
        <v>0.99962907699890491</v>
      </c>
      <c r="F60" s="218">
        <f t="shared" si="4"/>
        <v>2.2709571495616032E-4</v>
      </c>
      <c r="G60" s="219">
        <v>5</v>
      </c>
      <c r="H60" s="16" t="str">
        <f t="shared" ca="1" si="1"/>
        <v/>
      </c>
      <c r="I60" s="17">
        <f t="shared" ca="1" si="2"/>
        <v>0.60000000000000009</v>
      </c>
      <c r="J60" s="18">
        <f t="shared" si="3"/>
        <v>0.8</v>
      </c>
    </row>
    <row r="61" spans="2:15" x14ac:dyDescent="0.2">
      <c r="B61" s="14">
        <f t="shared" si="0"/>
        <v>29</v>
      </c>
      <c r="C61" s="205" t="s">
        <v>182</v>
      </c>
      <c r="D61" s="206">
        <v>0.57000000000000006</v>
      </c>
      <c r="E61" s="217">
        <f>SUM(D$33:D61)/SUM($D$33:$D$62)</f>
        <v>0.99984481792811331</v>
      </c>
      <c r="F61" s="218">
        <f t="shared" si="4"/>
        <v>2.1574092920839671E-4</v>
      </c>
      <c r="G61" s="219">
        <v>4</v>
      </c>
      <c r="H61" s="16" t="str">
        <f t="shared" ca="1" si="1"/>
        <v/>
      </c>
      <c r="I61" s="17">
        <f t="shared" ca="1" si="2"/>
        <v>0.57000000000000006</v>
      </c>
      <c r="J61" s="18">
        <f t="shared" si="3"/>
        <v>0.8</v>
      </c>
    </row>
    <row r="62" spans="2:15" x14ac:dyDescent="0.2">
      <c r="B62" s="14">
        <f t="shared" si="0"/>
        <v>30</v>
      </c>
      <c r="C62" s="205" t="s">
        <v>93</v>
      </c>
      <c r="D62" s="206">
        <v>0.41</v>
      </c>
      <c r="E62" s="217">
        <f>SUM(D$33:D62)/SUM($D$33:$D$62)</f>
        <v>1</v>
      </c>
      <c r="F62" s="218">
        <f t="shared" si="4"/>
        <v>1.5518207188669475E-4</v>
      </c>
      <c r="G62" s="219">
        <v>1</v>
      </c>
      <c r="H62" s="16" t="str">
        <f t="shared" ref="H62" ca="1" si="5">IF(OR(B62=1,OFFSET($E$32,B62-1,0,1,1)&lt;=$E$31),OFFSET($D$32,B62,0,1,1),"")</f>
        <v/>
      </c>
      <c r="I62" s="17">
        <f t="shared" ref="I62" ca="1" si="6">IF(H62="",OFFSET($D$32,B62,0,1,1),"")</f>
        <v>0.41</v>
      </c>
      <c r="J62" s="18">
        <f t="shared" si="3"/>
        <v>0.8</v>
      </c>
    </row>
    <row r="63" spans="2:15" x14ac:dyDescent="0.2">
      <c r="B63" s="19" t="s">
        <v>12</v>
      </c>
      <c r="C63" s="1"/>
      <c r="D63" s="1"/>
      <c r="E63" s="1"/>
      <c r="F63" s="1"/>
      <c r="G63" s="1"/>
      <c r="H63" s="1"/>
      <c r="I63" s="1"/>
      <c r="J63" s="1"/>
    </row>
    <row r="68" spans="2:5" x14ac:dyDescent="0.2">
      <c r="B68" s="114" t="s">
        <v>3</v>
      </c>
      <c r="C68" s="115" t="s">
        <v>136</v>
      </c>
      <c r="D68" s="115"/>
      <c r="E68" s="116" t="s">
        <v>137</v>
      </c>
    </row>
    <row r="69" spans="2:5" x14ac:dyDescent="0.2">
      <c r="B69" s="32"/>
      <c r="C69" s="32"/>
      <c r="D69" s="32"/>
      <c r="E69" s="32"/>
    </row>
    <row r="70" spans="2:5" x14ac:dyDescent="0.2">
      <c r="B70" s="114">
        <v>1</v>
      </c>
      <c r="C70" s="32" t="str">
        <f>VLOOKUP(B70,$L$4:$O$43,2,0)</f>
        <v>Main / Aux. Generators (Main Generator Engine)</v>
      </c>
      <c r="D70" s="166">
        <f>VLOOKUP(B70,$L$4:$O$43,4,0)</f>
        <v>1182.08</v>
      </c>
      <c r="E70" s="114">
        <f>VLOOKUP(B70,$L$4:$O$43,3,0)</f>
        <v>57</v>
      </c>
    </row>
    <row r="71" spans="2:5" x14ac:dyDescent="0.2">
      <c r="B71" s="114">
        <v>2</v>
      </c>
      <c r="C71" s="32" t="str">
        <f t="shared" ref="C71:C109" si="7">VLOOKUP(B71,$L$4:$O$43,2,0)</f>
        <v>Tagline (Tagline Winch (motor, gearbox, etc.))</v>
      </c>
      <c r="D71" s="166">
        <f t="shared" ref="D71:D109" si="8">VLOOKUP(B71,$L$4:$O$43,4,0)</f>
        <v>211.26</v>
      </c>
      <c r="E71" s="114">
        <f t="shared" ref="E71:E109" si="9">VLOOKUP(B71,$L$4:$O$43,3,0)</f>
        <v>8</v>
      </c>
    </row>
    <row r="72" spans="2:5" x14ac:dyDescent="0.2">
      <c r="B72" s="114">
        <v>3</v>
      </c>
      <c r="C72" s="32" t="str">
        <f t="shared" si="7"/>
        <v>Tugs and Scows (Scow Repair)</v>
      </c>
      <c r="D72" s="166">
        <f t="shared" si="8"/>
        <v>204.60027777779845</v>
      </c>
      <c r="E72" s="114">
        <f t="shared" si="9"/>
        <v>110</v>
      </c>
    </row>
    <row r="73" spans="2:5" x14ac:dyDescent="0.2">
      <c r="B73" s="114">
        <v>4</v>
      </c>
      <c r="C73" s="32" t="str">
        <f t="shared" si="7"/>
        <v>Buckets (Weld / Repair Bucket)</v>
      </c>
      <c r="D73" s="166">
        <f t="shared" si="8"/>
        <v>143.89000000000001</v>
      </c>
      <c r="E73" s="114">
        <f t="shared" si="9"/>
        <v>79</v>
      </c>
    </row>
    <row r="74" spans="2:5" x14ac:dyDescent="0.2">
      <c r="B74" s="114">
        <v>5</v>
      </c>
      <c r="C74" s="32" t="str">
        <f t="shared" si="7"/>
        <v>Spud System (Spud Winch)</v>
      </c>
      <c r="D74" s="166">
        <f t="shared" si="8"/>
        <v>112.77027777774026</v>
      </c>
      <c r="E74" s="114">
        <f t="shared" si="9"/>
        <v>22</v>
      </c>
    </row>
    <row r="75" spans="2:5" x14ac:dyDescent="0.2">
      <c r="B75" s="114">
        <v>6</v>
      </c>
      <c r="C75" s="32" t="str">
        <f t="shared" si="7"/>
        <v>Main Hoist (Holder)</v>
      </c>
      <c r="D75" s="166">
        <f t="shared" si="8"/>
        <v>104.00999999999999</v>
      </c>
      <c r="E75" s="114">
        <f t="shared" si="9"/>
        <v>49</v>
      </c>
    </row>
    <row r="76" spans="2:5" x14ac:dyDescent="0.2">
      <c r="B76" s="114">
        <v>7</v>
      </c>
      <c r="C76" s="32" t="str">
        <f t="shared" si="7"/>
        <v>Main Hoist (Closer Wire)</v>
      </c>
      <c r="D76" s="166">
        <f t="shared" si="8"/>
        <v>96.69</v>
      </c>
      <c r="E76" s="114">
        <f t="shared" si="9"/>
        <v>55</v>
      </c>
    </row>
    <row r="77" spans="2:5" x14ac:dyDescent="0.2">
      <c r="B77" s="114">
        <v>8</v>
      </c>
      <c r="C77" s="32" t="str">
        <f t="shared" si="7"/>
        <v>Main / Aux. Generators (Main Generator)</v>
      </c>
      <c r="D77" s="166">
        <f t="shared" si="8"/>
        <v>86.33</v>
      </c>
      <c r="E77" s="114">
        <f t="shared" si="9"/>
        <v>18</v>
      </c>
    </row>
    <row r="78" spans="2:5" x14ac:dyDescent="0.2">
      <c r="B78" s="114">
        <v>9</v>
      </c>
      <c r="C78" s="32" t="str">
        <f t="shared" si="7"/>
        <v>Main Hoist (Closer)</v>
      </c>
      <c r="D78" s="166">
        <f t="shared" si="8"/>
        <v>81.38</v>
      </c>
      <c r="E78" s="114">
        <f t="shared" si="9"/>
        <v>8</v>
      </c>
    </row>
    <row r="79" spans="2:5" x14ac:dyDescent="0.2">
      <c r="B79" s="114">
        <v>10</v>
      </c>
      <c r="C79" s="32" t="str">
        <f t="shared" si="7"/>
        <v>Electrical/Electronics (PLC)</v>
      </c>
      <c r="D79" s="166">
        <f t="shared" si="8"/>
        <v>71.22</v>
      </c>
      <c r="E79" s="114">
        <f t="shared" si="9"/>
        <v>33</v>
      </c>
    </row>
    <row r="80" spans="2:5" x14ac:dyDescent="0.2">
      <c r="B80" s="114">
        <v>11</v>
      </c>
      <c r="C80" s="32" t="str">
        <f t="shared" si="7"/>
        <v>Spud System (Walking Mechanisms (Carriage / Travel))</v>
      </c>
      <c r="D80" s="166">
        <f t="shared" si="8"/>
        <v>62.84</v>
      </c>
      <c r="E80" s="114">
        <f t="shared" si="9"/>
        <v>22</v>
      </c>
    </row>
    <row r="81" spans="2:5" x14ac:dyDescent="0.2">
      <c r="B81" s="114">
        <v>12</v>
      </c>
      <c r="C81" s="32" t="str">
        <f t="shared" si="7"/>
        <v>Main Hoist (Holder Wire)</v>
      </c>
      <c r="D81" s="166">
        <f t="shared" si="8"/>
        <v>54.8</v>
      </c>
      <c r="E81" s="114">
        <f t="shared" si="9"/>
        <v>36</v>
      </c>
    </row>
    <row r="82" spans="2:5" x14ac:dyDescent="0.2">
      <c r="B82" s="114">
        <v>13</v>
      </c>
      <c r="C82" s="32" t="str">
        <f t="shared" si="7"/>
        <v>Hull (Hull / House Repair)</v>
      </c>
      <c r="D82" s="166">
        <f t="shared" si="8"/>
        <v>41.3</v>
      </c>
      <c r="E82" s="114">
        <f t="shared" si="9"/>
        <v>7</v>
      </c>
    </row>
    <row r="83" spans="2:5" x14ac:dyDescent="0.2">
      <c r="B83" s="114">
        <v>14</v>
      </c>
      <c r="C83" s="32" t="str">
        <f t="shared" si="7"/>
        <v>Tagline (Tagline Wire)</v>
      </c>
      <c r="D83" s="166">
        <f t="shared" si="8"/>
        <v>35.940000000000005</v>
      </c>
      <c r="E83" s="114">
        <f t="shared" si="9"/>
        <v>30</v>
      </c>
    </row>
    <row r="84" spans="2:5" x14ac:dyDescent="0.2">
      <c r="B84" s="114">
        <v>15</v>
      </c>
      <c r="C84" s="32" t="str">
        <f t="shared" si="7"/>
        <v>Crane Boom (Boom Winch)</v>
      </c>
      <c r="D84" s="166">
        <f t="shared" si="8"/>
        <v>34.583611111098435</v>
      </c>
      <c r="E84" s="114">
        <f t="shared" si="9"/>
        <v>7</v>
      </c>
    </row>
    <row r="85" spans="2:5" x14ac:dyDescent="0.2">
      <c r="B85" s="114">
        <v>16</v>
      </c>
      <c r="C85" s="32" t="str">
        <f t="shared" si="7"/>
        <v>Tugs and Scows (Tug Repair)</v>
      </c>
      <c r="D85" s="166">
        <f t="shared" si="8"/>
        <v>31.17</v>
      </c>
      <c r="E85" s="114">
        <f t="shared" si="9"/>
        <v>4</v>
      </c>
    </row>
    <row r="86" spans="2:5" x14ac:dyDescent="0.2">
      <c r="B86" s="114">
        <v>17</v>
      </c>
      <c r="C86" s="32" t="str">
        <f t="shared" si="7"/>
        <v>Electrical/Electronics (MCC / Switch Gear)</v>
      </c>
      <c r="D86" s="166">
        <f t="shared" si="8"/>
        <v>24.76</v>
      </c>
      <c r="E86" s="114">
        <f t="shared" si="9"/>
        <v>10</v>
      </c>
    </row>
    <row r="87" spans="2:5" x14ac:dyDescent="0.2">
      <c r="B87" s="114">
        <v>18</v>
      </c>
      <c r="C87" s="32" t="str">
        <f t="shared" si="7"/>
        <v>Crane Swing (Drive (motor, gear box, etc.))</v>
      </c>
      <c r="D87" s="166">
        <f t="shared" si="8"/>
        <v>17.43</v>
      </c>
      <c r="E87" s="114">
        <f t="shared" si="9"/>
        <v>18</v>
      </c>
    </row>
    <row r="88" spans="2:5" x14ac:dyDescent="0.2">
      <c r="B88" s="114">
        <v>19</v>
      </c>
      <c r="C88" s="32" t="str">
        <f t="shared" si="7"/>
        <v>Deck Winch (Winch)</v>
      </c>
      <c r="D88" s="166">
        <f t="shared" si="8"/>
        <v>11.728888888864311</v>
      </c>
      <c r="E88" s="114">
        <f t="shared" si="9"/>
        <v>25</v>
      </c>
    </row>
    <row r="89" spans="2:5" x14ac:dyDescent="0.2">
      <c r="B89" s="114">
        <v>20</v>
      </c>
      <c r="C89" s="32" t="str">
        <f t="shared" si="7"/>
        <v>Auxiliary Systems (Compressed Air)</v>
      </c>
      <c r="D89" s="166">
        <f t="shared" si="8"/>
        <v>7.6400000000000006</v>
      </c>
      <c r="E89" s="114">
        <f t="shared" si="9"/>
        <v>14</v>
      </c>
    </row>
    <row r="90" spans="2:5" x14ac:dyDescent="0.2">
      <c r="B90" s="114">
        <v>21</v>
      </c>
      <c r="C90" s="32" t="str">
        <f t="shared" si="7"/>
        <v>Spud System (Spud Sheaves)</v>
      </c>
      <c r="D90" s="166">
        <f t="shared" si="8"/>
        <v>5.53</v>
      </c>
      <c r="E90" s="114">
        <f t="shared" si="9"/>
        <v>5</v>
      </c>
    </row>
    <row r="91" spans="2:5" x14ac:dyDescent="0.2">
      <c r="B91" s="114">
        <v>22</v>
      </c>
      <c r="C91" s="32" t="str">
        <f t="shared" si="7"/>
        <v>Deck Winch (Fairleads)</v>
      </c>
      <c r="D91" s="166">
        <f t="shared" si="8"/>
        <v>5.4447222222131675</v>
      </c>
      <c r="E91" s="114">
        <f t="shared" si="9"/>
        <v>11</v>
      </c>
    </row>
    <row r="92" spans="2:5" x14ac:dyDescent="0.2">
      <c r="B92" s="114">
        <v>23</v>
      </c>
      <c r="C92" s="32" t="str">
        <f t="shared" si="7"/>
        <v>Spud System (Spud Wires)</v>
      </c>
      <c r="D92" s="166">
        <f t="shared" si="8"/>
        <v>5.35</v>
      </c>
      <c r="E92" s="114">
        <f t="shared" si="9"/>
        <v>6</v>
      </c>
    </row>
    <row r="93" spans="2:5" x14ac:dyDescent="0.2">
      <c r="B93" s="114">
        <v>24</v>
      </c>
      <c r="C93" s="32" t="str">
        <f t="shared" si="7"/>
        <v>Auxiliary Systems (Deck Crane)</v>
      </c>
      <c r="D93" s="166">
        <f t="shared" si="8"/>
        <v>2.81</v>
      </c>
      <c r="E93" s="114">
        <f t="shared" si="9"/>
        <v>5</v>
      </c>
    </row>
    <row r="94" spans="2:5" x14ac:dyDescent="0.2">
      <c r="B94" s="114">
        <v>25</v>
      </c>
      <c r="C94" s="32" t="str">
        <f t="shared" si="7"/>
        <v>Electrical/Electronics (Transformers)</v>
      </c>
      <c r="D94" s="166">
        <f t="shared" si="8"/>
        <v>2.41</v>
      </c>
      <c r="E94" s="114">
        <f t="shared" si="9"/>
        <v>2</v>
      </c>
    </row>
    <row r="95" spans="2:5" x14ac:dyDescent="0.2">
      <c r="B95" s="114">
        <v>26</v>
      </c>
      <c r="C95" s="32" t="str">
        <f t="shared" si="7"/>
        <v>Crane Boom (Boom / Gantry Sheaves)</v>
      </c>
      <c r="D95" s="166">
        <f t="shared" si="8"/>
        <v>1.73</v>
      </c>
      <c r="E95" s="114">
        <f t="shared" si="9"/>
        <v>3</v>
      </c>
    </row>
    <row r="96" spans="2:5" x14ac:dyDescent="0.2">
      <c r="B96" s="114">
        <v>27</v>
      </c>
      <c r="C96" s="32" t="str">
        <f t="shared" si="7"/>
        <v>Hull (Deck Fittings (cleats, timbers, etc.))</v>
      </c>
      <c r="D96" s="166">
        <f t="shared" si="8"/>
        <v>0.78</v>
      </c>
      <c r="E96" s="114">
        <f t="shared" si="9"/>
        <v>1</v>
      </c>
    </row>
    <row r="97" spans="2:5" x14ac:dyDescent="0.2">
      <c r="B97" s="114">
        <v>28</v>
      </c>
      <c r="C97" s="32" t="str">
        <f t="shared" si="7"/>
        <v>Tagline (Tagline Sheaves)</v>
      </c>
      <c r="D97" s="166">
        <f t="shared" si="8"/>
        <v>0.60000000000000009</v>
      </c>
      <c r="E97" s="114">
        <f t="shared" si="9"/>
        <v>5</v>
      </c>
    </row>
    <row r="98" spans="2:5" x14ac:dyDescent="0.2">
      <c r="B98" s="114">
        <v>29</v>
      </c>
      <c r="C98" s="32" t="str">
        <f t="shared" si="7"/>
        <v>Crane Swing (Swing Circle (rollers, etc.))</v>
      </c>
      <c r="D98" s="166">
        <f t="shared" si="8"/>
        <v>0.57000000000000006</v>
      </c>
      <c r="E98" s="114">
        <f t="shared" si="9"/>
        <v>4</v>
      </c>
    </row>
    <row r="99" spans="2:5" x14ac:dyDescent="0.2">
      <c r="B99" s="114">
        <v>30</v>
      </c>
      <c r="C99" s="32" t="str">
        <f t="shared" si="7"/>
        <v>Spud System (Spud Structure)</v>
      </c>
      <c r="D99" s="166">
        <f t="shared" si="8"/>
        <v>0.41</v>
      </c>
      <c r="E99" s="114">
        <f t="shared" si="9"/>
        <v>1</v>
      </c>
    </row>
    <row r="100" spans="2:5" x14ac:dyDescent="0.2">
      <c r="B100" s="114">
        <v>31</v>
      </c>
      <c r="C100" s="32" t="str">
        <f t="shared" si="7"/>
        <v>Auxiliary Systems (Fire Main)</v>
      </c>
      <c r="D100" s="166">
        <f t="shared" si="8"/>
        <v>0</v>
      </c>
      <c r="E100" s="114">
        <f t="shared" si="9"/>
        <v>0</v>
      </c>
    </row>
    <row r="101" spans="2:5" x14ac:dyDescent="0.2">
      <c r="B101" s="114">
        <v>32</v>
      </c>
      <c r="C101" s="32" t="str">
        <f t="shared" si="7"/>
        <v>Auxiliary Systems (Fuel)</v>
      </c>
      <c r="D101" s="166">
        <f t="shared" si="8"/>
        <v>0</v>
      </c>
      <c r="E101" s="114">
        <f t="shared" si="9"/>
        <v>0</v>
      </c>
    </row>
    <row r="102" spans="2:5" x14ac:dyDescent="0.2">
      <c r="B102" s="114">
        <v>33</v>
      </c>
      <c r="C102" s="32" t="str">
        <f t="shared" si="7"/>
        <v>Auxiliary Systems (Heating, Ventilation, A/C)</v>
      </c>
      <c r="D102" s="166">
        <f t="shared" si="8"/>
        <v>0</v>
      </c>
      <c r="E102" s="114">
        <f t="shared" si="9"/>
        <v>0</v>
      </c>
    </row>
    <row r="103" spans="2:5" x14ac:dyDescent="0.2">
      <c r="B103" s="114">
        <v>34</v>
      </c>
      <c r="C103" s="32" t="str">
        <f t="shared" si="7"/>
        <v>Auxiliary Systems (Potable Water)</v>
      </c>
      <c r="D103" s="166">
        <f t="shared" si="8"/>
        <v>0</v>
      </c>
      <c r="E103" s="114">
        <f t="shared" si="9"/>
        <v>0</v>
      </c>
    </row>
    <row r="104" spans="2:5" x14ac:dyDescent="0.2">
      <c r="B104" s="114">
        <v>35</v>
      </c>
      <c r="C104" s="32" t="str">
        <f t="shared" si="7"/>
        <v>Auxiliary Systems (Sanitary System)</v>
      </c>
      <c r="D104" s="166">
        <f t="shared" si="8"/>
        <v>0</v>
      </c>
      <c r="E104" s="114">
        <f t="shared" si="9"/>
        <v>0</v>
      </c>
    </row>
    <row r="105" spans="2:5" x14ac:dyDescent="0.2">
      <c r="B105" s="114">
        <v>36</v>
      </c>
      <c r="C105" s="32" t="str">
        <f t="shared" si="7"/>
        <v>Crane Boom (Boom / Gantry Structure)</v>
      </c>
      <c r="D105" s="166">
        <f t="shared" si="8"/>
        <v>0</v>
      </c>
      <c r="E105" s="114">
        <f t="shared" si="9"/>
        <v>0</v>
      </c>
    </row>
    <row r="106" spans="2:5" x14ac:dyDescent="0.2">
      <c r="B106" s="114">
        <v>37</v>
      </c>
      <c r="C106" s="32" t="str">
        <f t="shared" si="7"/>
        <v>Crane Boom (Boom Wires)</v>
      </c>
      <c r="D106" s="166">
        <f t="shared" si="8"/>
        <v>0</v>
      </c>
      <c r="E106" s="114">
        <f t="shared" si="9"/>
        <v>0</v>
      </c>
    </row>
    <row r="107" spans="2:5" x14ac:dyDescent="0.2">
      <c r="B107" s="114">
        <v>38</v>
      </c>
      <c r="C107" s="32" t="str">
        <f t="shared" si="7"/>
        <v>Crane Boom (Penant Wire)</v>
      </c>
      <c r="D107" s="166">
        <f t="shared" si="8"/>
        <v>0</v>
      </c>
      <c r="E107" s="114">
        <f t="shared" si="9"/>
        <v>0</v>
      </c>
    </row>
    <row r="108" spans="2:5" x14ac:dyDescent="0.2">
      <c r="B108" s="114">
        <v>39</v>
      </c>
      <c r="C108" s="32" t="str">
        <f t="shared" si="7"/>
        <v>Electrical/Electronics (Navigation Lights)</v>
      </c>
      <c r="D108" s="166">
        <f t="shared" si="8"/>
        <v>0</v>
      </c>
      <c r="E108" s="114">
        <f t="shared" si="9"/>
        <v>0</v>
      </c>
    </row>
    <row r="109" spans="2:5" x14ac:dyDescent="0.2">
      <c r="B109" s="114">
        <v>40</v>
      </c>
      <c r="C109" s="32" t="str">
        <f t="shared" si="7"/>
        <v>Main / Aux. Generators (Auxiliary Generator)</v>
      </c>
      <c r="D109" s="166">
        <f t="shared" si="8"/>
        <v>0</v>
      </c>
      <c r="E109" s="114">
        <f t="shared" si="9"/>
        <v>0</v>
      </c>
    </row>
  </sheetData>
  <mergeCells count="1">
    <mergeCell ref="M3:O3"/>
  </mergeCells>
  <pageMargins left="0.75" right="0.75" top="0.5" bottom="0.5" header="0.5" footer="0.25"/>
  <pageSetup scale="88"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15"/>
  <sheetViews>
    <sheetView showGridLines="0" topLeftCell="J13" zoomScaleNormal="100" workbookViewId="0">
      <selection activeCell="V34" sqref="V34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7109375" style="14" bestFit="1" customWidth="1"/>
    <col min="7" max="7" width="7.7109375" style="2" bestFit="1" customWidth="1"/>
    <col min="8" max="8" width="10.140625" style="2" bestFit="1" customWidth="1"/>
    <col min="9" max="9" width="13.140625" style="2" bestFit="1" customWidth="1"/>
    <col min="10" max="10" width="22.7109375" style="2" bestFit="1" customWidth="1"/>
    <col min="11" max="11" width="22.7109375" style="2" customWidth="1"/>
    <col min="13" max="14" width="1.7109375" style="2" bestFit="1" customWidth="1"/>
    <col min="15" max="15" width="20.85546875" style="2" bestFit="1" customWidth="1"/>
    <col min="16" max="16" width="22.5703125" style="2" bestFit="1" customWidth="1"/>
    <col min="17" max="17" width="43.140625" style="2" bestFit="1" customWidth="1"/>
    <col min="18" max="19" width="8.42578125" style="2" bestFit="1" customWidth="1"/>
    <col min="20" max="20" width="2.85546875" style="2" customWidth="1"/>
    <col min="21" max="21" width="10" style="2" bestFit="1" customWidth="1"/>
    <col min="22" max="22" width="8.140625" style="2" bestFit="1" customWidth="1"/>
    <col min="23" max="23" width="3.42578125" style="2" customWidth="1"/>
    <col min="24" max="24" width="8" style="2" bestFit="1" customWidth="1"/>
    <col min="25" max="25" width="8.140625" style="2" bestFit="1" customWidth="1"/>
    <col min="26" max="26" width="4" style="2" customWidth="1"/>
    <col min="27" max="27" width="39" style="2" bestFit="1" customWidth="1"/>
    <col min="28" max="28" width="8" style="2" bestFit="1" customWidth="1"/>
    <col min="29" max="29" width="8.140625" style="162" bestFit="1" customWidth="1"/>
    <col min="30" max="16384" width="9.140625" style="2"/>
  </cols>
  <sheetData>
    <row r="1" spans="1:29" s="22" customFormat="1" ht="30" customHeight="1" x14ac:dyDescent="0.2">
      <c r="A1" s="27" t="s">
        <v>2</v>
      </c>
      <c r="B1" s="20"/>
      <c r="C1" s="21"/>
      <c r="D1" s="21"/>
      <c r="E1" s="21"/>
      <c r="F1" s="41"/>
      <c r="M1" s="34"/>
      <c r="N1" s="34"/>
      <c r="O1" s="245" t="s">
        <v>184</v>
      </c>
      <c r="P1" s="245"/>
      <c r="Q1" s="245"/>
      <c r="R1" s="246" t="s">
        <v>122</v>
      </c>
      <c r="S1" s="246"/>
      <c r="T1" s="104"/>
      <c r="U1" s="242" t="s">
        <v>123</v>
      </c>
      <c r="V1" s="242"/>
      <c r="W1" s="152"/>
      <c r="X1" s="242" t="s">
        <v>124</v>
      </c>
      <c r="Y1" s="242"/>
      <c r="Z1" s="71"/>
      <c r="AA1" s="58"/>
      <c r="AB1" s="243"/>
      <c r="AC1" s="243"/>
    </row>
    <row r="2" spans="1:29" ht="15.75" x14ac:dyDescent="0.25">
      <c r="A2" s="3"/>
      <c r="C2" s="4"/>
      <c r="D2" s="4"/>
      <c r="E2" s="4"/>
      <c r="H2" s="30"/>
      <c r="M2" s="72"/>
      <c r="N2" s="72"/>
      <c r="O2" s="151" t="s">
        <v>15</v>
      </c>
      <c r="P2" s="151" t="s">
        <v>16</v>
      </c>
      <c r="Q2" s="151" t="s">
        <v>30</v>
      </c>
      <c r="R2" s="74" t="s">
        <v>14</v>
      </c>
      <c r="S2" s="75" t="s">
        <v>13</v>
      </c>
      <c r="T2" s="58"/>
      <c r="U2" s="74" t="s">
        <v>14</v>
      </c>
      <c r="V2" s="75" t="s">
        <v>13</v>
      </c>
      <c r="W2" s="76"/>
      <c r="X2" s="74" t="s">
        <v>14</v>
      </c>
      <c r="Y2" s="75" t="s">
        <v>13</v>
      </c>
      <c r="Z2" s="43"/>
      <c r="AA2" s="77" t="s">
        <v>125</v>
      </c>
      <c r="AB2" s="78" t="s">
        <v>14</v>
      </c>
      <c r="AC2" s="160" t="s">
        <v>13</v>
      </c>
    </row>
    <row r="3" spans="1:29" ht="15.75" x14ac:dyDescent="0.25">
      <c r="A3" s="5" t="s">
        <v>0</v>
      </c>
      <c r="C3" s="6"/>
      <c r="D3" s="7"/>
      <c r="E3" s="7"/>
      <c r="H3" s="8"/>
      <c r="M3" s="72" t="s">
        <v>25</v>
      </c>
      <c r="N3" s="72" t="s">
        <v>26</v>
      </c>
      <c r="O3" s="72" t="s">
        <v>17</v>
      </c>
      <c r="P3" s="72" t="s">
        <v>18</v>
      </c>
      <c r="Q3" s="80" t="str">
        <f t="shared" ref="Q3:Q42" si="0">O3&amp;" "&amp;M3&amp;P3&amp;N3</f>
        <v>Auxiliary Systems (Compressed Air)</v>
      </c>
      <c r="R3" s="81">
        <v>0</v>
      </c>
      <c r="S3" s="157">
        <v>0</v>
      </c>
      <c r="T3" s="58"/>
      <c r="U3" s="83">
        <v>1</v>
      </c>
      <c r="V3" s="84">
        <v>0.32</v>
      </c>
      <c r="W3" s="58"/>
      <c r="X3" s="85">
        <f>R3+U3</f>
        <v>1</v>
      </c>
      <c r="Y3" s="163">
        <f>S3+V3</f>
        <v>0.32</v>
      </c>
      <c r="Z3" s="43"/>
      <c r="AA3" s="86" t="s">
        <v>27</v>
      </c>
      <c r="AB3" s="87">
        <f>X3</f>
        <v>1</v>
      </c>
      <c r="AC3" s="161">
        <f>Y3</f>
        <v>0.32</v>
      </c>
    </row>
    <row r="4" spans="1:29" x14ac:dyDescent="0.2">
      <c r="A4" s="9" t="s">
        <v>8</v>
      </c>
      <c r="C4" s="6"/>
      <c r="D4" s="7"/>
      <c r="E4" s="7"/>
      <c r="M4" s="72" t="s">
        <v>25</v>
      </c>
      <c r="N4" s="72" t="s">
        <v>26</v>
      </c>
      <c r="O4" s="72" t="s">
        <v>17</v>
      </c>
      <c r="P4" s="72" t="s">
        <v>32</v>
      </c>
      <c r="Q4" s="80" t="str">
        <f t="shared" si="0"/>
        <v>Auxiliary Systems (Deck Crane)</v>
      </c>
      <c r="R4" s="81">
        <v>0</v>
      </c>
      <c r="S4" s="157">
        <v>0</v>
      </c>
      <c r="T4" s="58"/>
      <c r="U4" s="83">
        <v>0</v>
      </c>
      <c r="V4" s="84">
        <v>0</v>
      </c>
      <c r="W4" s="58"/>
      <c r="X4" s="85">
        <f t="shared" ref="X4:Y42" si="1">R4+U4</f>
        <v>0</v>
      </c>
      <c r="Y4" s="163">
        <f t="shared" si="1"/>
        <v>0</v>
      </c>
      <c r="Z4" s="43"/>
      <c r="AA4" s="86" t="s">
        <v>69</v>
      </c>
      <c r="AB4" s="87">
        <f t="shared" ref="AB4:AC9" si="2">X4</f>
        <v>0</v>
      </c>
      <c r="AC4" s="161">
        <f t="shared" si="2"/>
        <v>0</v>
      </c>
    </row>
    <row r="5" spans="1:29" x14ac:dyDescent="0.2">
      <c r="A5" s="10" t="s">
        <v>1</v>
      </c>
      <c r="C5" s="6"/>
      <c r="D5" s="7"/>
      <c r="E5" s="7"/>
      <c r="M5" s="72" t="s">
        <v>25</v>
      </c>
      <c r="N5" s="72" t="s">
        <v>26</v>
      </c>
      <c r="O5" s="72" t="s">
        <v>17</v>
      </c>
      <c r="P5" s="72" t="s">
        <v>33</v>
      </c>
      <c r="Q5" s="80" t="str">
        <f t="shared" si="0"/>
        <v>Auxiliary Systems (Fire Main)</v>
      </c>
      <c r="R5" s="81">
        <v>0</v>
      </c>
      <c r="S5" s="157">
        <v>0</v>
      </c>
      <c r="T5" s="58"/>
      <c r="U5" s="83">
        <v>0</v>
      </c>
      <c r="V5" s="84">
        <v>0</v>
      </c>
      <c r="W5" s="58"/>
      <c r="X5" s="85">
        <f t="shared" si="1"/>
        <v>0</v>
      </c>
      <c r="Y5" s="163">
        <f t="shared" si="1"/>
        <v>0</v>
      </c>
      <c r="Z5" s="43"/>
      <c r="AA5" s="86" t="s">
        <v>70</v>
      </c>
      <c r="AB5" s="87">
        <f t="shared" si="2"/>
        <v>0</v>
      </c>
      <c r="AC5" s="161">
        <f t="shared" si="2"/>
        <v>0</v>
      </c>
    </row>
    <row r="6" spans="1:29" x14ac:dyDescent="0.2">
      <c r="M6" s="72" t="s">
        <v>25</v>
      </c>
      <c r="N6" s="72" t="s">
        <v>26</v>
      </c>
      <c r="O6" s="72" t="s">
        <v>17</v>
      </c>
      <c r="P6" s="72" t="s">
        <v>19</v>
      </c>
      <c r="Q6" s="80" t="str">
        <f t="shared" si="0"/>
        <v>Auxiliary Systems (Fuel)</v>
      </c>
      <c r="R6" s="81">
        <v>0</v>
      </c>
      <c r="S6" s="157">
        <v>0</v>
      </c>
      <c r="T6" s="58"/>
      <c r="U6" s="83">
        <v>1</v>
      </c>
      <c r="V6" s="84">
        <v>0.4</v>
      </c>
      <c r="W6" s="58"/>
      <c r="X6" s="85">
        <f t="shared" si="1"/>
        <v>1</v>
      </c>
      <c r="Y6" s="163">
        <f t="shared" si="1"/>
        <v>0.4</v>
      </c>
      <c r="Z6" s="43"/>
      <c r="AA6" s="86" t="s">
        <v>28</v>
      </c>
      <c r="AB6" s="87">
        <f t="shared" si="2"/>
        <v>1</v>
      </c>
      <c r="AC6" s="161">
        <f t="shared" si="2"/>
        <v>0.4</v>
      </c>
    </row>
    <row r="7" spans="1:29" x14ac:dyDescent="0.2">
      <c r="M7" s="72" t="s">
        <v>25</v>
      </c>
      <c r="N7" s="72" t="s">
        <v>26</v>
      </c>
      <c r="O7" s="72" t="s">
        <v>17</v>
      </c>
      <c r="P7" s="72" t="s">
        <v>171</v>
      </c>
      <c r="Q7" s="80" t="str">
        <f t="shared" si="0"/>
        <v>Auxiliary Systems (Heating, Ventilation, A/C)</v>
      </c>
      <c r="R7" s="81">
        <v>28</v>
      </c>
      <c r="S7" s="157">
        <v>29.798333333688788</v>
      </c>
      <c r="T7" s="58"/>
      <c r="U7" s="83">
        <v>3</v>
      </c>
      <c r="V7" s="84">
        <v>5.21</v>
      </c>
      <c r="W7" s="58"/>
      <c r="X7" s="85">
        <f t="shared" si="1"/>
        <v>31</v>
      </c>
      <c r="Y7" s="163">
        <f t="shared" si="1"/>
        <v>35.008333333688789</v>
      </c>
      <c r="Z7" s="43"/>
      <c r="AA7" s="86" t="s">
        <v>29</v>
      </c>
      <c r="AB7" s="87">
        <f t="shared" si="2"/>
        <v>31</v>
      </c>
      <c r="AC7" s="161">
        <f t="shared" si="2"/>
        <v>35.008333333688789</v>
      </c>
    </row>
    <row r="8" spans="1:29" x14ac:dyDescent="0.2">
      <c r="M8" s="72" t="s">
        <v>25</v>
      </c>
      <c r="N8" s="72" t="s">
        <v>26</v>
      </c>
      <c r="O8" s="72" t="s">
        <v>17</v>
      </c>
      <c r="P8" s="72" t="s">
        <v>34</v>
      </c>
      <c r="Q8" s="80" t="str">
        <f t="shared" si="0"/>
        <v>Auxiliary Systems (Potable Water)</v>
      </c>
      <c r="R8" s="81">
        <v>0</v>
      </c>
      <c r="S8" s="157">
        <v>0</v>
      </c>
      <c r="T8" s="58"/>
      <c r="U8" s="83">
        <v>0</v>
      </c>
      <c r="V8" s="84">
        <v>0</v>
      </c>
      <c r="W8" s="58"/>
      <c r="X8" s="85">
        <f t="shared" si="1"/>
        <v>0</v>
      </c>
      <c r="Y8" s="163">
        <f t="shared" si="1"/>
        <v>0</v>
      </c>
      <c r="Z8" s="43"/>
      <c r="AA8" s="86" t="s">
        <v>71</v>
      </c>
      <c r="AB8" s="87">
        <f t="shared" si="2"/>
        <v>0</v>
      </c>
      <c r="AC8" s="161">
        <f t="shared" si="2"/>
        <v>0</v>
      </c>
    </row>
    <row r="9" spans="1:29" x14ac:dyDescent="0.2">
      <c r="M9" s="88" t="s">
        <v>25</v>
      </c>
      <c r="N9" s="88" t="s">
        <v>26</v>
      </c>
      <c r="O9" s="88" t="s">
        <v>17</v>
      </c>
      <c r="P9" s="88" t="s">
        <v>35</v>
      </c>
      <c r="Q9" s="89" t="str">
        <f t="shared" si="0"/>
        <v>Auxiliary Systems (Sanitary System)</v>
      </c>
      <c r="R9" s="90">
        <v>0</v>
      </c>
      <c r="S9" s="158">
        <v>0</v>
      </c>
      <c r="T9" s="61"/>
      <c r="U9" s="92">
        <v>0</v>
      </c>
      <c r="V9" s="118">
        <v>0</v>
      </c>
      <c r="W9" s="61"/>
      <c r="X9" s="119">
        <f t="shared" si="1"/>
        <v>0</v>
      </c>
      <c r="Y9" s="164">
        <f t="shared" si="1"/>
        <v>0</v>
      </c>
      <c r="Z9" s="43"/>
      <c r="AA9" s="86" t="s">
        <v>72</v>
      </c>
      <c r="AB9" s="87">
        <f t="shared" si="2"/>
        <v>0</v>
      </c>
      <c r="AC9" s="161">
        <f t="shared" si="2"/>
        <v>0</v>
      </c>
    </row>
    <row r="10" spans="1:29" x14ac:dyDescent="0.2">
      <c r="M10" s="88" t="s">
        <v>25</v>
      </c>
      <c r="N10" s="88" t="s">
        <v>26</v>
      </c>
      <c r="O10" s="88" t="s">
        <v>164</v>
      </c>
      <c r="P10" s="88" t="s">
        <v>37</v>
      </c>
      <c r="Q10" s="145" t="str">
        <f t="shared" si="0"/>
        <v>Buckets (Weld / Repair Bucket)</v>
      </c>
      <c r="R10" s="146">
        <v>7</v>
      </c>
      <c r="S10" s="159">
        <v>4.7533333331812173</v>
      </c>
      <c r="T10" s="61"/>
      <c r="U10" s="92">
        <v>37</v>
      </c>
      <c r="V10" s="118">
        <v>32.629999999999995</v>
      </c>
      <c r="W10" s="61"/>
      <c r="X10" s="119">
        <f t="shared" si="1"/>
        <v>44</v>
      </c>
      <c r="Y10" s="164">
        <f t="shared" si="1"/>
        <v>37.383333333181213</v>
      </c>
      <c r="Z10" s="43"/>
    </row>
    <row r="11" spans="1:29" x14ac:dyDescent="0.2">
      <c r="M11" s="72" t="s">
        <v>25</v>
      </c>
      <c r="N11" s="72" t="s">
        <v>26</v>
      </c>
      <c r="O11" s="72" t="s">
        <v>38</v>
      </c>
      <c r="P11" s="72" t="s">
        <v>48</v>
      </c>
      <c r="Q11" s="80" t="str">
        <f t="shared" si="0"/>
        <v>Crane Boom (Boom / Gantry Sheaves)</v>
      </c>
      <c r="R11" s="81">
        <v>0</v>
      </c>
      <c r="S11" s="157">
        <v>0</v>
      </c>
      <c r="T11" s="58"/>
      <c r="U11" s="83">
        <v>1</v>
      </c>
      <c r="V11" s="84">
        <v>0.49</v>
      </c>
      <c r="W11" s="58"/>
      <c r="X11" s="85">
        <f t="shared" si="1"/>
        <v>1</v>
      </c>
      <c r="Y11" s="163">
        <f t="shared" si="1"/>
        <v>0.49</v>
      </c>
      <c r="Z11" s="43"/>
    </row>
    <row r="12" spans="1:29" x14ac:dyDescent="0.2">
      <c r="M12" s="72" t="s">
        <v>25</v>
      </c>
      <c r="N12" s="72" t="s">
        <v>26</v>
      </c>
      <c r="O12" s="72" t="s">
        <v>38</v>
      </c>
      <c r="P12" s="72" t="s">
        <v>49</v>
      </c>
      <c r="Q12" s="80" t="str">
        <f t="shared" si="0"/>
        <v>Crane Boom (Boom / Gantry Structure)</v>
      </c>
      <c r="R12" s="81">
        <v>0</v>
      </c>
      <c r="S12" s="157">
        <v>0</v>
      </c>
      <c r="T12" s="58"/>
      <c r="U12" s="83">
        <v>0</v>
      </c>
      <c r="V12" s="84">
        <v>0</v>
      </c>
      <c r="W12" s="58"/>
      <c r="X12" s="85">
        <f t="shared" si="1"/>
        <v>0</v>
      </c>
      <c r="Y12" s="163">
        <f t="shared" si="1"/>
        <v>0</v>
      </c>
      <c r="Z12" s="43"/>
      <c r="AA12" s="86" t="s">
        <v>73</v>
      </c>
      <c r="AB12" s="87">
        <f>X10</f>
        <v>44</v>
      </c>
      <c r="AC12" s="161">
        <f>Y10</f>
        <v>37.383333333181213</v>
      </c>
    </row>
    <row r="13" spans="1:29" x14ac:dyDescent="0.2">
      <c r="M13" s="72" t="s">
        <v>25</v>
      </c>
      <c r="N13" s="72" t="s">
        <v>26</v>
      </c>
      <c r="O13" s="72" t="s">
        <v>38</v>
      </c>
      <c r="P13" s="72" t="s">
        <v>51</v>
      </c>
      <c r="Q13" s="80" t="str">
        <f t="shared" si="0"/>
        <v>Crane Boom (Boom Winch)</v>
      </c>
      <c r="R13" s="81">
        <v>0</v>
      </c>
      <c r="S13" s="157">
        <v>0</v>
      </c>
      <c r="T13" s="58"/>
      <c r="U13" s="83">
        <v>5</v>
      </c>
      <c r="V13" s="84">
        <v>16.920000000000002</v>
      </c>
      <c r="W13" s="58"/>
      <c r="X13" s="85">
        <f t="shared" si="1"/>
        <v>5</v>
      </c>
      <c r="Y13" s="163">
        <f t="shared" si="1"/>
        <v>16.920000000000002</v>
      </c>
      <c r="Z13" s="43"/>
    </row>
    <row r="14" spans="1:29" x14ac:dyDescent="0.2">
      <c r="M14" s="72" t="s">
        <v>25</v>
      </c>
      <c r="N14" s="72" t="s">
        <v>26</v>
      </c>
      <c r="O14" s="72" t="s">
        <v>38</v>
      </c>
      <c r="P14" s="72" t="s">
        <v>52</v>
      </c>
      <c r="Q14" s="80" t="str">
        <f t="shared" si="0"/>
        <v>Crane Boom (Boom Wires)</v>
      </c>
      <c r="R14" s="81">
        <v>0</v>
      </c>
      <c r="S14" s="157">
        <v>0</v>
      </c>
      <c r="T14" s="58"/>
      <c r="U14" s="83">
        <v>0</v>
      </c>
      <c r="V14" s="84">
        <v>0</v>
      </c>
      <c r="W14" s="58"/>
      <c r="X14" s="85">
        <f t="shared" si="1"/>
        <v>0</v>
      </c>
      <c r="Y14" s="163">
        <f t="shared" si="1"/>
        <v>0</v>
      </c>
      <c r="Z14" s="43"/>
    </row>
    <row r="15" spans="1:29" x14ac:dyDescent="0.2">
      <c r="M15" s="88" t="s">
        <v>25</v>
      </c>
      <c r="N15" s="88" t="s">
        <v>26</v>
      </c>
      <c r="O15" s="88" t="s">
        <v>38</v>
      </c>
      <c r="P15" s="88" t="s">
        <v>53</v>
      </c>
      <c r="Q15" s="89" t="str">
        <f t="shared" si="0"/>
        <v>Crane Boom (Penant Wire)</v>
      </c>
      <c r="R15" s="90">
        <v>0</v>
      </c>
      <c r="S15" s="158">
        <v>0</v>
      </c>
      <c r="T15" s="61"/>
      <c r="U15" s="92">
        <v>0</v>
      </c>
      <c r="V15" s="118">
        <v>0</v>
      </c>
      <c r="W15" s="61"/>
      <c r="X15" s="119">
        <f t="shared" si="1"/>
        <v>0</v>
      </c>
      <c r="Y15" s="164">
        <f t="shared" si="1"/>
        <v>0</v>
      </c>
      <c r="Z15" s="43"/>
      <c r="AA15" s="86" t="s">
        <v>74</v>
      </c>
      <c r="AB15" s="87">
        <f t="shared" ref="AB15:AC19" si="3">X11</f>
        <v>1</v>
      </c>
      <c r="AC15" s="161">
        <f t="shared" si="3"/>
        <v>0.49</v>
      </c>
    </row>
    <row r="16" spans="1:29" x14ac:dyDescent="0.2">
      <c r="M16" s="72" t="s">
        <v>25</v>
      </c>
      <c r="N16" s="72" t="s">
        <v>26</v>
      </c>
      <c r="O16" s="72" t="s">
        <v>39</v>
      </c>
      <c r="P16" s="72" t="s">
        <v>169</v>
      </c>
      <c r="Q16" s="80" t="str">
        <f t="shared" si="0"/>
        <v>Crane Swing (Drive (motor, gear box, etc.))</v>
      </c>
      <c r="R16" s="81">
        <v>7</v>
      </c>
      <c r="S16" s="157">
        <v>6.441111111198552</v>
      </c>
      <c r="T16" s="58"/>
      <c r="U16" s="83">
        <v>79</v>
      </c>
      <c r="V16" s="84">
        <v>175.29</v>
      </c>
      <c r="W16" s="58"/>
      <c r="X16" s="85">
        <f t="shared" si="1"/>
        <v>86</v>
      </c>
      <c r="Y16" s="163">
        <f t="shared" si="1"/>
        <v>181.73111111119854</v>
      </c>
      <c r="Z16" s="43"/>
      <c r="AA16" s="86" t="s">
        <v>75</v>
      </c>
      <c r="AB16" s="87">
        <f t="shared" si="3"/>
        <v>0</v>
      </c>
      <c r="AC16" s="161">
        <f t="shared" si="3"/>
        <v>0</v>
      </c>
    </row>
    <row r="17" spans="2:29" x14ac:dyDescent="0.2">
      <c r="M17" s="88" t="s">
        <v>25</v>
      </c>
      <c r="N17" s="88" t="s">
        <v>26</v>
      </c>
      <c r="O17" s="88" t="s">
        <v>39</v>
      </c>
      <c r="P17" s="88" t="s">
        <v>170</v>
      </c>
      <c r="Q17" s="89" t="str">
        <f t="shared" si="0"/>
        <v>Crane Swing (Swing Circle (rollers, etc.))</v>
      </c>
      <c r="R17" s="90">
        <v>1</v>
      </c>
      <c r="S17" s="158">
        <v>8.5102777778520249</v>
      </c>
      <c r="T17" s="61"/>
      <c r="U17" s="92">
        <v>1</v>
      </c>
      <c r="V17" s="118">
        <v>0.7</v>
      </c>
      <c r="W17" s="61"/>
      <c r="X17" s="119">
        <f t="shared" si="1"/>
        <v>2</v>
      </c>
      <c r="Y17" s="164">
        <f t="shared" si="1"/>
        <v>9.2102777778520242</v>
      </c>
      <c r="Z17" s="43"/>
      <c r="AA17" s="86" t="s">
        <v>76</v>
      </c>
      <c r="AB17" s="87">
        <f t="shared" si="3"/>
        <v>5</v>
      </c>
      <c r="AC17" s="161">
        <f t="shared" si="3"/>
        <v>16.920000000000002</v>
      </c>
    </row>
    <row r="18" spans="2:29" x14ac:dyDescent="0.2">
      <c r="M18" s="72" t="s">
        <v>25</v>
      </c>
      <c r="N18" s="72" t="s">
        <v>26</v>
      </c>
      <c r="O18" s="72" t="s">
        <v>40</v>
      </c>
      <c r="P18" s="72" t="s">
        <v>24</v>
      </c>
      <c r="Q18" s="80" t="str">
        <f t="shared" si="0"/>
        <v>Deck Winch (Fairleads)</v>
      </c>
      <c r="R18" s="81">
        <v>0</v>
      </c>
      <c r="S18" s="157">
        <v>0</v>
      </c>
      <c r="T18" s="58"/>
      <c r="U18" s="83">
        <v>6</v>
      </c>
      <c r="V18" s="84">
        <v>2.6399999999999997</v>
      </c>
      <c r="W18" s="58"/>
      <c r="X18" s="85">
        <f t="shared" si="1"/>
        <v>6</v>
      </c>
      <c r="Y18" s="163">
        <f t="shared" si="1"/>
        <v>2.6399999999999997</v>
      </c>
      <c r="Z18" s="43"/>
      <c r="AA18" s="86" t="s">
        <v>77</v>
      </c>
      <c r="AB18" s="87">
        <f t="shared" si="3"/>
        <v>0</v>
      </c>
      <c r="AC18" s="161">
        <f t="shared" si="3"/>
        <v>0</v>
      </c>
    </row>
    <row r="19" spans="2:29" x14ac:dyDescent="0.2">
      <c r="M19" s="88" t="s">
        <v>25</v>
      </c>
      <c r="N19" s="88" t="s">
        <v>26</v>
      </c>
      <c r="O19" s="88" t="s">
        <v>40</v>
      </c>
      <c r="P19" s="88" t="s">
        <v>50</v>
      </c>
      <c r="Q19" s="89" t="str">
        <f t="shared" si="0"/>
        <v>Deck Winch (Winch)</v>
      </c>
      <c r="R19" s="90">
        <v>2</v>
      </c>
      <c r="S19" s="158">
        <v>1.0799999999580905</v>
      </c>
      <c r="T19" s="61"/>
      <c r="U19" s="92">
        <v>4</v>
      </c>
      <c r="V19" s="118">
        <v>1.4</v>
      </c>
      <c r="W19" s="61"/>
      <c r="X19" s="119">
        <f t="shared" si="1"/>
        <v>6</v>
      </c>
      <c r="Y19" s="164">
        <f t="shared" si="1"/>
        <v>2.4799999999580904</v>
      </c>
      <c r="Z19" s="43"/>
      <c r="AA19" s="86" t="s">
        <v>78</v>
      </c>
      <c r="AB19" s="87">
        <f t="shared" si="3"/>
        <v>0</v>
      </c>
      <c r="AC19" s="161">
        <f t="shared" si="3"/>
        <v>0</v>
      </c>
    </row>
    <row r="20" spans="2:29" x14ac:dyDescent="0.2">
      <c r="M20" s="72" t="s">
        <v>25</v>
      </c>
      <c r="N20" s="72" t="s">
        <v>26</v>
      </c>
      <c r="O20" s="72" t="s">
        <v>167</v>
      </c>
      <c r="P20" s="72" t="s">
        <v>54</v>
      </c>
      <c r="Q20" s="80" t="str">
        <f t="shared" si="0"/>
        <v>Electrical/Electronics (MCC / Switch Gear)</v>
      </c>
      <c r="R20" s="81">
        <v>0</v>
      </c>
      <c r="S20" s="157">
        <v>0</v>
      </c>
      <c r="T20" s="58"/>
      <c r="U20" s="83">
        <v>1</v>
      </c>
      <c r="V20" s="84">
        <v>70.25</v>
      </c>
      <c r="W20" s="58"/>
      <c r="X20" s="85">
        <f t="shared" si="1"/>
        <v>1</v>
      </c>
      <c r="Y20" s="163">
        <f t="shared" si="1"/>
        <v>70.25</v>
      </c>
      <c r="Z20" s="43"/>
    </row>
    <row r="21" spans="2:29" x14ac:dyDescent="0.2">
      <c r="M21" s="72" t="s">
        <v>25</v>
      </c>
      <c r="N21" s="72" t="s">
        <v>26</v>
      </c>
      <c r="O21" s="72" t="s">
        <v>167</v>
      </c>
      <c r="P21" s="72" t="s">
        <v>112</v>
      </c>
      <c r="Q21" s="80" t="str">
        <f t="shared" si="0"/>
        <v>Electrical/Electronics (Navigation Lights)</v>
      </c>
      <c r="R21" s="81">
        <v>0</v>
      </c>
      <c r="S21" s="157">
        <v>0</v>
      </c>
      <c r="T21" s="58"/>
      <c r="U21" s="83">
        <v>0</v>
      </c>
      <c r="V21" s="84">
        <v>0</v>
      </c>
      <c r="W21" s="58"/>
      <c r="X21" s="85">
        <f t="shared" si="1"/>
        <v>0</v>
      </c>
      <c r="Y21" s="163">
        <f t="shared" si="1"/>
        <v>0</v>
      </c>
      <c r="Z21" s="43"/>
    </row>
    <row r="22" spans="2:29" x14ac:dyDescent="0.2">
      <c r="M22" s="72" t="s">
        <v>25</v>
      </c>
      <c r="N22" s="72" t="s">
        <v>26</v>
      </c>
      <c r="O22" s="72" t="s">
        <v>167</v>
      </c>
      <c r="P22" s="72" t="s">
        <v>55</v>
      </c>
      <c r="Q22" s="80" t="str">
        <f t="shared" si="0"/>
        <v>Electrical/Electronics (PLC)</v>
      </c>
      <c r="R22" s="81">
        <v>0</v>
      </c>
      <c r="S22" s="157">
        <v>0</v>
      </c>
      <c r="T22" s="58"/>
      <c r="U22" s="83">
        <v>8</v>
      </c>
      <c r="V22" s="84">
        <v>29.599999999999998</v>
      </c>
      <c r="W22" s="58"/>
      <c r="X22" s="85">
        <f t="shared" si="1"/>
        <v>8</v>
      </c>
      <c r="Y22" s="163">
        <f t="shared" si="1"/>
        <v>29.599999999999998</v>
      </c>
      <c r="Z22" s="43"/>
      <c r="AA22" s="86" t="s">
        <v>126</v>
      </c>
      <c r="AB22" s="87">
        <f>X16</f>
        <v>86</v>
      </c>
      <c r="AC22" s="161">
        <f>Y16</f>
        <v>181.73111111119854</v>
      </c>
    </row>
    <row r="23" spans="2:29" x14ac:dyDescent="0.2">
      <c r="B23" s="11" t="s">
        <v>11</v>
      </c>
      <c r="M23" s="88" t="s">
        <v>25</v>
      </c>
      <c r="N23" s="88" t="s">
        <v>26</v>
      </c>
      <c r="O23" s="88" t="s">
        <v>167</v>
      </c>
      <c r="P23" s="88" t="s">
        <v>56</v>
      </c>
      <c r="Q23" s="89" t="str">
        <f t="shared" si="0"/>
        <v>Electrical/Electronics (Transformers)</v>
      </c>
      <c r="R23" s="90">
        <v>0</v>
      </c>
      <c r="S23" s="158">
        <v>0</v>
      </c>
      <c r="T23" s="61"/>
      <c r="U23" s="92">
        <v>3</v>
      </c>
      <c r="V23" s="118">
        <v>3.87</v>
      </c>
      <c r="W23" s="61"/>
      <c r="X23" s="119">
        <f t="shared" si="1"/>
        <v>3</v>
      </c>
      <c r="Y23" s="164">
        <f t="shared" si="1"/>
        <v>3.87</v>
      </c>
      <c r="Z23" s="43"/>
      <c r="AA23" s="86" t="s">
        <v>127</v>
      </c>
      <c r="AB23" s="87">
        <f>X17</f>
        <v>2</v>
      </c>
      <c r="AC23" s="161">
        <f>Y17</f>
        <v>9.2102777778520242</v>
      </c>
    </row>
    <row r="24" spans="2:29" x14ac:dyDescent="0.2">
      <c r="M24" s="72" t="s">
        <v>25</v>
      </c>
      <c r="N24" s="72" t="s">
        <v>26</v>
      </c>
      <c r="O24" s="72" t="s">
        <v>42</v>
      </c>
      <c r="P24" s="72" t="s">
        <v>172</v>
      </c>
      <c r="Q24" s="80" t="str">
        <f t="shared" si="0"/>
        <v>Hull (Deck Fittings (cleats, timbers, etc.))</v>
      </c>
      <c r="R24" s="81">
        <v>2</v>
      </c>
      <c r="S24" s="157">
        <v>0.27750000008381903</v>
      </c>
      <c r="T24" s="58"/>
      <c r="U24" s="83">
        <v>4</v>
      </c>
      <c r="V24" s="84">
        <v>0.99</v>
      </c>
      <c r="W24" s="58"/>
      <c r="X24" s="85">
        <f t="shared" si="1"/>
        <v>6</v>
      </c>
      <c r="Y24" s="163">
        <f t="shared" si="1"/>
        <v>1.267500000083819</v>
      </c>
      <c r="Z24" s="43"/>
    </row>
    <row r="25" spans="2:29" x14ac:dyDescent="0.2">
      <c r="M25" s="88" t="s">
        <v>25</v>
      </c>
      <c r="N25" s="88" t="s">
        <v>26</v>
      </c>
      <c r="O25" s="88" t="s">
        <v>42</v>
      </c>
      <c r="P25" s="88" t="s">
        <v>57</v>
      </c>
      <c r="Q25" s="89" t="str">
        <f t="shared" si="0"/>
        <v>Hull (Hull / House Repair)</v>
      </c>
      <c r="R25" s="90">
        <v>0</v>
      </c>
      <c r="S25" s="158">
        <v>0</v>
      </c>
      <c r="T25" s="61"/>
      <c r="U25" s="92">
        <v>1</v>
      </c>
      <c r="V25" s="118">
        <v>0.61</v>
      </c>
      <c r="W25" s="61"/>
      <c r="X25" s="119">
        <f t="shared" si="1"/>
        <v>1</v>
      </c>
      <c r="Y25" s="164">
        <f t="shared" si="1"/>
        <v>0.61</v>
      </c>
      <c r="Z25" s="43"/>
    </row>
    <row r="26" spans="2:29" x14ac:dyDescent="0.2">
      <c r="M26" s="72" t="s">
        <v>25</v>
      </c>
      <c r="N26" s="72" t="s">
        <v>26</v>
      </c>
      <c r="O26" s="72" t="s">
        <v>165</v>
      </c>
      <c r="P26" s="72" t="s">
        <v>21</v>
      </c>
      <c r="Q26" s="80" t="str">
        <f t="shared" si="0"/>
        <v>Main / Aux. Generators (Auxiliary Generator)</v>
      </c>
      <c r="R26" s="81">
        <v>0</v>
      </c>
      <c r="S26" s="157">
        <v>0</v>
      </c>
      <c r="T26" s="58"/>
      <c r="U26" s="83">
        <v>0</v>
      </c>
      <c r="V26" s="84">
        <v>0</v>
      </c>
      <c r="W26" s="58"/>
      <c r="X26" s="85">
        <f t="shared" si="1"/>
        <v>0</v>
      </c>
      <c r="Y26" s="163">
        <f t="shared" si="1"/>
        <v>0</v>
      </c>
      <c r="Z26" s="43"/>
      <c r="AA26" s="86" t="s">
        <v>79</v>
      </c>
      <c r="AB26" s="87">
        <f>X18</f>
        <v>6</v>
      </c>
      <c r="AC26" s="161">
        <f>Y18</f>
        <v>2.6399999999999997</v>
      </c>
    </row>
    <row r="27" spans="2:29" x14ac:dyDescent="0.2">
      <c r="M27" s="72" t="s">
        <v>25</v>
      </c>
      <c r="N27" s="72" t="s">
        <v>26</v>
      </c>
      <c r="O27" s="72" t="s">
        <v>165</v>
      </c>
      <c r="P27" s="72" t="s">
        <v>22</v>
      </c>
      <c r="Q27" s="80" t="str">
        <f t="shared" si="0"/>
        <v>Main / Aux. Generators (Main Generator)</v>
      </c>
      <c r="R27" s="81">
        <v>1</v>
      </c>
      <c r="S27" s="157">
        <v>0.48222222231561318</v>
      </c>
      <c r="T27" s="58"/>
      <c r="U27" s="83">
        <v>7</v>
      </c>
      <c r="V27" s="84">
        <v>8.94</v>
      </c>
      <c r="W27" s="58"/>
      <c r="X27" s="85">
        <f t="shared" si="1"/>
        <v>8</v>
      </c>
      <c r="Y27" s="163">
        <f t="shared" si="1"/>
        <v>9.4222222223156127</v>
      </c>
      <c r="Z27" s="43"/>
      <c r="AA27" s="86" t="s">
        <v>80</v>
      </c>
      <c r="AB27" s="87">
        <f>X19</f>
        <v>6</v>
      </c>
      <c r="AC27" s="161">
        <f>Y19</f>
        <v>2.4799999999580904</v>
      </c>
    </row>
    <row r="28" spans="2:29" ht="15.75" x14ac:dyDescent="0.25">
      <c r="B28" s="28" t="str">
        <f ca="1">"The first "&amp;COUNT(H33:H62)&amp;" "&amp;C32&amp;" cover "&amp;TEXT(OFFSET(E32,COUNT(H33:H62),0,1,1),"0.??%")&amp;" of the Total "&amp;D32</f>
        <v>The first 10 Causes cover 81.7 % of the Total Count</v>
      </c>
      <c r="C28" s="7"/>
      <c r="M28" s="88" t="s">
        <v>25</v>
      </c>
      <c r="N28" s="88" t="s">
        <v>26</v>
      </c>
      <c r="O28" s="88" t="s">
        <v>165</v>
      </c>
      <c r="P28" s="88" t="s">
        <v>23</v>
      </c>
      <c r="Q28" s="89" t="str">
        <f t="shared" si="0"/>
        <v>Main / Aux. Generators (Main Generator Engine)</v>
      </c>
      <c r="R28" s="90">
        <v>2</v>
      </c>
      <c r="S28" s="158">
        <v>1.4602777777472511</v>
      </c>
      <c r="T28" s="61"/>
      <c r="U28" s="92">
        <v>7</v>
      </c>
      <c r="V28" s="118">
        <v>68.62</v>
      </c>
      <c r="W28" s="61"/>
      <c r="X28" s="119">
        <f t="shared" si="1"/>
        <v>9</v>
      </c>
      <c r="Y28" s="164">
        <f t="shared" si="1"/>
        <v>70.080277777747256</v>
      </c>
      <c r="Z28" s="43"/>
    </row>
    <row r="29" spans="2:29" x14ac:dyDescent="0.2">
      <c r="M29" s="72" t="s">
        <v>25</v>
      </c>
      <c r="N29" s="72" t="s">
        <v>26</v>
      </c>
      <c r="O29" s="72" t="s">
        <v>44</v>
      </c>
      <c r="P29" s="72" t="s">
        <v>58</v>
      </c>
      <c r="Q29" s="80" t="str">
        <f t="shared" si="0"/>
        <v>Main Hoist (Closer)</v>
      </c>
      <c r="R29" s="81">
        <v>1</v>
      </c>
      <c r="S29" s="157">
        <v>1.623888888861984</v>
      </c>
      <c r="T29" s="58"/>
      <c r="U29" s="83">
        <v>12</v>
      </c>
      <c r="V29" s="84">
        <v>321.56</v>
      </c>
      <c r="W29" s="58"/>
      <c r="X29" s="85">
        <f t="shared" si="1"/>
        <v>13</v>
      </c>
      <c r="Y29" s="163">
        <f t="shared" si="1"/>
        <v>323.18388888886199</v>
      </c>
      <c r="Z29" s="43"/>
    </row>
    <row r="30" spans="2:29" x14ac:dyDescent="0.2">
      <c r="M30" s="72" t="s">
        <v>25</v>
      </c>
      <c r="N30" s="72" t="s">
        <v>26</v>
      </c>
      <c r="O30" s="72" t="s">
        <v>44</v>
      </c>
      <c r="P30" s="72" t="s">
        <v>59</v>
      </c>
      <c r="Q30" s="80" t="str">
        <f t="shared" si="0"/>
        <v>Main Hoist (Closer Wire)</v>
      </c>
      <c r="R30" s="81">
        <v>4</v>
      </c>
      <c r="S30" s="157">
        <v>3.8775000001187436</v>
      </c>
      <c r="T30" s="58"/>
      <c r="U30" s="83">
        <v>36</v>
      </c>
      <c r="V30" s="84">
        <v>93.14</v>
      </c>
      <c r="W30" s="58"/>
      <c r="X30" s="85">
        <f t="shared" si="1"/>
        <v>40</v>
      </c>
      <c r="Y30" s="163">
        <f t="shared" si="1"/>
        <v>97.017500000118744</v>
      </c>
      <c r="Z30" s="43"/>
      <c r="AA30" s="86" t="s">
        <v>81</v>
      </c>
      <c r="AB30" s="87">
        <f t="shared" ref="AB30:AC33" si="4">X20</f>
        <v>1</v>
      </c>
      <c r="AC30" s="161">
        <f t="shared" si="4"/>
        <v>70.25</v>
      </c>
    </row>
    <row r="31" spans="2:29" x14ac:dyDescent="0.2">
      <c r="D31" s="12" t="s">
        <v>9</v>
      </c>
      <c r="E31" s="29">
        <v>0.8</v>
      </c>
      <c r="M31" s="72" t="s">
        <v>25</v>
      </c>
      <c r="N31" s="72" t="s">
        <v>26</v>
      </c>
      <c r="O31" s="72" t="s">
        <v>44</v>
      </c>
      <c r="P31" s="72" t="s">
        <v>60</v>
      </c>
      <c r="Q31" s="80" t="str">
        <f t="shared" si="0"/>
        <v>Main Hoist (Holder)</v>
      </c>
      <c r="R31" s="81">
        <v>16</v>
      </c>
      <c r="S31" s="157">
        <v>20.398611110751517</v>
      </c>
      <c r="T31" s="58"/>
      <c r="U31" s="83">
        <v>28</v>
      </c>
      <c r="V31" s="84">
        <v>38.129999999999995</v>
      </c>
      <c r="W31" s="58"/>
      <c r="X31" s="85">
        <f t="shared" si="1"/>
        <v>44</v>
      </c>
      <c r="Y31" s="163">
        <f t="shared" si="1"/>
        <v>58.528611110751513</v>
      </c>
      <c r="Z31" s="43"/>
      <c r="AA31" s="86" t="s">
        <v>128</v>
      </c>
      <c r="AB31" s="87">
        <f t="shared" si="4"/>
        <v>0</v>
      </c>
      <c r="AC31" s="161">
        <f t="shared" si="4"/>
        <v>0</v>
      </c>
    </row>
    <row r="32" spans="2:29" ht="15.75" x14ac:dyDescent="0.25">
      <c r="B32" s="24" t="s">
        <v>3</v>
      </c>
      <c r="C32" s="25" t="s">
        <v>5</v>
      </c>
      <c r="D32" s="26" t="s">
        <v>14</v>
      </c>
      <c r="E32" s="24" t="s">
        <v>4</v>
      </c>
      <c r="F32" s="24" t="s">
        <v>31</v>
      </c>
      <c r="G32" s="24" t="s">
        <v>13</v>
      </c>
      <c r="H32" s="13" t="s">
        <v>6</v>
      </c>
      <c r="I32" s="13" t="s">
        <v>7</v>
      </c>
      <c r="J32" s="13" t="s">
        <v>10</v>
      </c>
      <c r="K32" s="13"/>
      <c r="M32" s="88" t="s">
        <v>25</v>
      </c>
      <c r="N32" s="88" t="s">
        <v>26</v>
      </c>
      <c r="O32" s="88" t="s">
        <v>44</v>
      </c>
      <c r="P32" s="88" t="s">
        <v>61</v>
      </c>
      <c r="Q32" s="89" t="str">
        <f t="shared" si="0"/>
        <v>Main Hoist (Holder Wire)</v>
      </c>
      <c r="R32" s="90">
        <v>4</v>
      </c>
      <c r="S32" s="158">
        <v>4.7344444447662681</v>
      </c>
      <c r="T32" s="61"/>
      <c r="U32" s="92">
        <v>15</v>
      </c>
      <c r="V32" s="118">
        <v>22.26</v>
      </c>
      <c r="W32" s="61"/>
      <c r="X32" s="119">
        <f t="shared" si="1"/>
        <v>19</v>
      </c>
      <c r="Y32" s="164">
        <f t="shared" si="1"/>
        <v>26.99444444476627</v>
      </c>
      <c r="Z32" s="43"/>
      <c r="AA32" s="86" t="s">
        <v>82</v>
      </c>
      <c r="AB32" s="87">
        <f t="shared" si="4"/>
        <v>8</v>
      </c>
      <c r="AC32" s="161">
        <f t="shared" si="4"/>
        <v>29.599999999999998</v>
      </c>
    </row>
    <row r="33" spans="2:29" x14ac:dyDescent="0.2">
      <c r="B33" s="14">
        <f t="shared" ref="B33:B62" si="5">ROW(B33)-ROW($B$32)</f>
        <v>1</v>
      </c>
      <c r="C33" s="139" t="s">
        <v>173</v>
      </c>
      <c r="D33" s="138">
        <v>86</v>
      </c>
      <c r="E33" s="15">
        <f>SUM(D33:D$33)/SUM($D$33:$D$62)</f>
        <v>0.1787941787941788</v>
      </c>
      <c r="F33" s="40">
        <f>E33</f>
        <v>0.1787941787941788</v>
      </c>
      <c r="G33" s="201">
        <v>181.73111111119854</v>
      </c>
      <c r="H33" s="16">
        <f t="shared" ref="H33:H62" ca="1" si="6">IF(OR(B33=1,OFFSET($E$32,B33-1,0,1,1)&lt;=$E$31),OFFSET($D$32,B33,0,1,1),"")</f>
        <v>86</v>
      </c>
      <c r="I33" s="17" t="str">
        <f t="shared" ref="I33:I53" ca="1" si="7">IF(H33="",OFFSET($D$32,B33,0,1,1),"")</f>
        <v/>
      </c>
      <c r="J33" s="18">
        <f t="shared" ref="J33:J62" si="8">$E$31</f>
        <v>0.8</v>
      </c>
      <c r="K33" s="95"/>
      <c r="M33" s="72" t="s">
        <v>25</v>
      </c>
      <c r="N33" s="72" t="s">
        <v>26</v>
      </c>
      <c r="O33" s="72" t="s">
        <v>45</v>
      </c>
      <c r="P33" s="72" t="s">
        <v>62</v>
      </c>
      <c r="Q33" s="80" t="str">
        <f t="shared" si="0"/>
        <v>Spud System (Spud Sheaves)</v>
      </c>
      <c r="R33" s="81">
        <v>0</v>
      </c>
      <c r="S33" s="157">
        <v>0</v>
      </c>
      <c r="T33" s="58"/>
      <c r="U33" s="83">
        <v>0</v>
      </c>
      <c r="V33" s="84">
        <v>0</v>
      </c>
      <c r="W33" s="58"/>
      <c r="X33" s="85">
        <f t="shared" si="1"/>
        <v>0</v>
      </c>
      <c r="Y33" s="163">
        <f t="shared" si="1"/>
        <v>0</v>
      </c>
      <c r="Z33" s="43"/>
      <c r="AA33" s="86" t="s">
        <v>83</v>
      </c>
      <c r="AB33" s="87">
        <f t="shared" si="4"/>
        <v>3</v>
      </c>
      <c r="AC33" s="161">
        <f t="shared" si="4"/>
        <v>3.87</v>
      </c>
    </row>
    <row r="34" spans="2:29" x14ac:dyDescent="0.2">
      <c r="B34" s="14">
        <f t="shared" si="5"/>
        <v>2</v>
      </c>
      <c r="C34" s="139" t="s">
        <v>97</v>
      </c>
      <c r="D34" s="138">
        <v>49</v>
      </c>
      <c r="E34" s="15">
        <f>SUM(D$33:D34)/SUM($D$33:$D$62)</f>
        <v>0.28066528066528068</v>
      </c>
      <c r="F34" s="40">
        <f>E34-E33</f>
        <v>0.10187110187110188</v>
      </c>
      <c r="G34" s="213">
        <v>47.489999999976718</v>
      </c>
      <c r="H34" s="16">
        <f t="shared" ca="1" si="6"/>
        <v>49</v>
      </c>
      <c r="I34" s="17" t="str">
        <f t="shared" ca="1" si="7"/>
        <v/>
      </c>
      <c r="J34" s="18">
        <f t="shared" si="8"/>
        <v>0.8</v>
      </c>
      <c r="K34" s="95"/>
      <c r="M34" s="72" t="s">
        <v>25</v>
      </c>
      <c r="N34" s="72" t="s">
        <v>26</v>
      </c>
      <c r="O34" s="72" t="s">
        <v>45</v>
      </c>
      <c r="P34" s="72" t="s">
        <v>63</v>
      </c>
      <c r="Q34" s="80" t="str">
        <f t="shared" si="0"/>
        <v>Spud System (Spud Structure)</v>
      </c>
      <c r="R34" s="81">
        <v>0</v>
      </c>
      <c r="S34" s="157">
        <v>0</v>
      </c>
      <c r="T34" s="58"/>
      <c r="U34" s="83">
        <v>3</v>
      </c>
      <c r="V34" s="84">
        <v>15.89</v>
      </c>
      <c r="W34" s="58"/>
      <c r="X34" s="85">
        <f t="shared" si="1"/>
        <v>3</v>
      </c>
      <c r="Y34" s="163">
        <f t="shared" si="1"/>
        <v>15.89</v>
      </c>
      <c r="Z34" s="43"/>
    </row>
    <row r="35" spans="2:29" x14ac:dyDescent="0.2">
      <c r="B35" s="14">
        <f t="shared" si="5"/>
        <v>3</v>
      </c>
      <c r="C35" s="139" t="s">
        <v>90</v>
      </c>
      <c r="D35" s="138">
        <v>44</v>
      </c>
      <c r="E35" s="15">
        <f>SUM(D$33:D35)/SUM($D$33:$D$62)</f>
        <v>0.37214137214137216</v>
      </c>
      <c r="F35" s="40">
        <f t="shared" ref="F35:F37" si="9">E35-E34</f>
        <v>9.1476091476091481E-2</v>
      </c>
      <c r="G35" s="213">
        <v>58.528611110751513</v>
      </c>
      <c r="H35" s="16">
        <f t="shared" ca="1" si="6"/>
        <v>44</v>
      </c>
      <c r="I35" s="17" t="str">
        <f t="shared" ca="1" si="7"/>
        <v/>
      </c>
      <c r="J35" s="18">
        <f t="shared" si="8"/>
        <v>0.8</v>
      </c>
      <c r="K35" s="95"/>
      <c r="M35" s="72" t="s">
        <v>25</v>
      </c>
      <c r="N35" s="72" t="s">
        <v>26</v>
      </c>
      <c r="O35" s="72" t="s">
        <v>45</v>
      </c>
      <c r="P35" s="72" t="s">
        <v>64</v>
      </c>
      <c r="Q35" s="80" t="str">
        <f t="shared" si="0"/>
        <v>Spud System (Spud Winch)</v>
      </c>
      <c r="R35" s="81">
        <v>2</v>
      </c>
      <c r="S35" s="157">
        <v>4.75277777784504</v>
      </c>
      <c r="T35" s="58"/>
      <c r="U35" s="83">
        <v>10</v>
      </c>
      <c r="V35" s="84">
        <v>3.8</v>
      </c>
      <c r="W35" s="58"/>
      <c r="X35" s="85">
        <f t="shared" si="1"/>
        <v>12</v>
      </c>
      <c r="Y35" s="163">
        <f t="shared" si="1"/>
        <v>8.5527777778450407</v>
      </c>
      <c r="Z35" s="43"/>
    </row>
    <row r="36" spans="2:29" x14ac:dyDescent="0.2">
      <c r="B36" s="14">
        <f t="shared" si="5"/>
        <v>4</v>
      </c>
      <c r="C36" s="139" t="s">
        <v>175</v>
      </c>
      <c r="D36" s="138">
        <v>44</v>
      </c>
      <c r="E36" s="15">
        <f>SUM(D$33:D36)/SUM($D$33:$D$62)</f>
        <v>0.46361746361746364</v>
      </c>
      <c r="F36" s="40">
        <f t="shared" si="9"/>
        <v>9.1476091476091481E-2</v>
      </c>
      <c r="G36" s="213">
        <v>37.383333333181213</v>
      </c>
      <c r="H36" s="16">
        <f t="shared" ca="1" si="6"/>
        <v>44</v>
      </c>
      <c r="I36" s="17" t="str">
        <f t="shared" ca="1" si="7"/>
        <v/>
      </c>
      <c r="J36" s="18">
        <f t="shared" si="8"/>
        <v>0.8</v>
      </c>
      <c r="K36" s="95"/>
      <c r="M36" s="72" t="s">
        <v>25</v>
      </c>
      <c r="N36" s="72" t="s">
        <v>26</v>
      </c>
      <c r="O36" s="72" t="s">
        <v>45</v>
      </c>
      <c r="P36" s="72" t="s">
        <v>65</v>
      </c>
      <c r="Q36" s="80" t="str">
        <f t="shared" si="0"/>
        <v>Spud System (Spud Wires)</v>
      </c>
      <c r="R36" s="81">
        <v>1</v>
      </c>
      <c r="S36" s="157">
        <v>0.72027777781477198</v>
      </c>
      <c r="T36" s="58"/>
      <c r="U36" s="83">
        <v>3</v>
      </c>
      <c r="V36" s="84">
        <v>6.96</v>
      </c>
      <c r="W36" s="58"/>
      <c r="X36" s="85">
        <f t="shared" si="1"/>
        <v>4</v>
      </c>
      <c r="Y36" s="163">
        <f t="shared" si="1"/>
        <v>7.6802777778147719</v>
      </c>
      <c r="Z36" s="43"/>
      <c r="AA36" s="86" t="s">
        <v>129</v>
      </c>
      <c r="AB36" s="87">
        <f>X24</f>
        <v>6</v>
      </c>
      <c r="AC36" s="161">
        <f>Y24</f>
        <v>1.267500000083819</v>
      </c>
    </row>
    <row r="37" spans="2:29" x14ac:dyDescent="0.2">
      <c r="B37" s="14">
        <f t="shared" si="5"/>
        <v>5</v>
      </c>
      <c r="C37" s="139" t="s">
        <v>174</v>
      </c>
      <c r="D37" s="138">
        <v>42</v>
      </c>
      <c r="E37" s="15">
        <f>SUM(D$33:D37)/SUM($D$33:$D$62)</f>
        <v>0.55093555093555091</v>
      </c>
      <c r="F37" s="40">
        <f t="shared" si="9"/>
        <v>8.7318087318087267E-2</v>
      </c>
      <c r="G37" s="213">
        <v>43.398611111186909</v>
      </c>
      <c r="H37" s="16">
        <f t="shared" ca="1" si="6"/>
        <v>42</v>
      </c>
      <c r="I37" s="17" t="str">
        <f t="shared" ca="1" si="7"/>
        <v/>
      </c>
      <c r="J37" s="18">
        <f t="shared" si="8"/>
        <v>0.8</v>
      </c>
      <c r="K37" s="95"/>
      <c r="M37" s="94" t="s">
        <v>25</v>
      </c>
      <c r="N37" s="88" t="s">
        <v>26</v>
      </c>
      <c r="O37" s="88" t="s">
        <v>45</v>
      </c>
      <c r="P37" s="88" t="s">
        <v>166</v>
      </c>
      <c r="Q37" s="89" t="str">
        <f t="shared" si="0"/>
        <v>Spud System (Walking Mechanisms (Carriage / Travel))</v>
      </c>
      <c r="R37" s="90">
        <v>4</v>
      </c>
      <c r="S37" s="158">
        <v>3.6786111111869104</v>
      </c>
      <c r="T37" s="61"/>
      <c r="U37" s="92">
        <v>38</v>
      </c>
      <c r="V37" s="118">
        <v>39.72</v>
      </c>
      <c r="W37" s="61"/>
      <c r="X37" s="119">
        <f t="shared" si="1"/>
        <v>42</v>
      </c>
      <c r="Y37" s="164">
        <f t="shared" si="1"/>
        <v>43.398611111186909</v>
      </c>
      <c r="Z37" s="43"/>
      <c r="AA37" s="86" t="s">
        <v>84</v>
      </c>
      <c r="AB37" s="87">
        <f>X25</f>
        <v>1</v>
      </c>
      <c r="AC37" s="161">
        <f>Y25</f>
        <v>0.61</v>
      </c>
    </row>
    <row r="38" spans="2:29" x14ac:dyDescent="0.2">
      <c r="B38" s="14">
        <f t="shared" si="5"/>
        <v>6</v>
      </c>
      <c r="C38" s="139" t="s">
        <v>89</v>
      </c>
      <c r="D38" s="138">
        <v>40</v>
      </c>
      <c r="E38" s="15">
        <f>SUM(D$33:D38)/SUM($D$33:$D$62)</f>
        <v>0.63409563409563408</v>
      </c>
      <c r="F38" s="40">
        <f t="shared" ref="F38:F62" si="10">E38-E37</f>
        <v>8.3160083160083165E-2</v>
      </c>
      <c r="G38" s="201">
        <v>527.52750000011872</v>
      </c>
      <c r="H38" s="16">
        <f t="shared" ca="1" si="6"/>
        <v>40</v>
      </c>
      <c r="I38" s="17" t="str">
        <f t="shared" ca="1" si="7"/>
        <v/>
      </c>
      <c r="J38" s="18">
        <f t="shared" si="8"/>
        <v>0.8</v>
      </c>
      <c r="K38" s="95"/>
      <c r="M38" s="72" t="s">
        <v>25</v>
      </c>
      <c r="N38" s="72" t="s">
        <v>26</v>
      </c>
      <c r="O38" s="72" t="s">
        <v>46</v>
      </c>
      <c r="P38" s="72" t="s">
        <v>119</v>
      </c>
      <c r="Q38" s="80" t="str">
        <f t="shared" si="0"/>
        <v>Tagline (Tagline Sheaves)</v>
      </c>
      <c r="R38" s="81">
        <v>1</v>
      </c>
      <c r="S38" s="157">
        <v>0.53333333332557231</v>
      </c>
      <c r="T38" s="58"/>
      <c r="U38" s="83">
        <v>0</v>
      </c>
      <c r="V38" s="84">
        <v>0</v>
      </c>
      <c r="W38" s="58"/>
      <c r="X38" s="85">
        <f t="shared" si="1"/>
        <v>1</v>
      </c>
      <c r="Y38" s="163">
        <f t="shared" si="1"/>
        <v>0.53333333332557231</v>
      </c>
      <c r="Z38" s="43"/>
    </row>
    <row r="39" spans="2:29" x14ac:dyDescent="0.2">
      <c r="B39" s="14">
        <f t="shared" si="5"/>
        <v>7</v>
      </c>
      <c r="C39" s="139" t="s">
        <v>183</v>
      </c>
      <c r="D39" s="138">
        <v>31</v>
      </c>
      <c r="E39" s="15">
        <f>SUM(D$33:D39)/SUM($D$33:$D$62)</f>
        <v>0.69854469854469858</v>
      </c>
      <c r="F39" s="40">
        <f t="shared" si="10"/>
        <v>6.4449064449064508E-2</v>
      </c>
      <c r="G39" s="213">
        <v>35.008333333688789</v>
      </c>
      <c r="H39" s="16">
        <f t="shared" ca="1" si="6"/>
        <v>31</v>
      </c>
      <c r="I39" s="17" t="str">
        <f t="shared" ca="1" si="7"/>
        <v/>
      </c>
      <c r="J39" s="18">
        <f t="shared" si="8"/>
        <v>0.8</v>
      </c>
      <c r="K39" s="95"/>
      <c r="M39" s="72" t="s">
        <v>25</v>
      </c>
      <c r="N39" s="72" t="s">
        <v>26</v>
      </c>
      <c r="O39" s="72" t="s">
        <v>46</v>
      </c>
      <c r="P39" s="72" t="s">
        <v>168</v>
      </c>
      <c r="Q39" s="80" t="str">
        <f t="shared" si="0"/>
        <v>Tagline (Tagline Winch (motor, gearbox, etc.))</v>
      </c>
      <c r="R39" s="81">
        <v>1</v>
      </c>
      <c r="S39" s="157">
        <v>7.7222222287673503E-2</v>
      </c>
      <c r="T39" s="58"/>
      <c r="U39" s="83">
        <v>0</v>
      </c>
      <c r="V39" s="84">
        <v>0</v>
      </c>
      <c r="W39" s="58"/>
      <c r="X39" s="85">
        <f t="shared" si="1"/>
        <v>1</v>
      </c>
      <c r="Y39" s="163">
        <f t="shared" si="1"/>
        <v>7.7222222287673503E-2</v>
      </c>
      <c r="Z39" s="43"/>
    </row>
    <row r="40" spans="2:29" x14ac:dyDescent="0.2">
      <c r="B40" s="14">
        <f t="shared" si="5"/>
        <v>8</v>
      </c>
      <c r="C40" s="139" t="s">
        <v>163</v>
      </c>
      <c r="D40" s="138">
        <v>25</v>
      </c>
      <c r="E40" s="15">
        <f>SUM(D$33:D40)/SUM($D$33:$D$62)</f>
        <v>0.75051975051975051</v>
      </c>
      <c r="F40" s="40">
        <f t="shared" ref="F40:F53" si="11">E40-E39</f>
        <v>5.1975051975051922E-2</v>
      </c>
      <c r="G40" s="213">
        <v>13.072222222057171</v>
      </c>
      <c r="H40" s="16">
        <f t="shared" ca="1" si="6"/>
        <v>25</v>
      </c>
      <c r="I40" s="17" t="str">
        <f t="shared" ca="1" si="7"/>
        <v/>
      </c>
      <c r="J40" s="18">
        <f t="shared" si="8"/>
        <v>0.8</v>
      </c>
      <c r="K40" s="95"/>
      <c r="M40" s="94" t="s">
        <v>25</v>
      </c>
      <c r="N40" s="88" t="s">
        <v>26</v>
      </c>
      <c r="O40" s="88" t="s">
        <v>46</v>
      </c>
      <c r="P40" s="88" t="s">
        <v>162</v>
      </c>
      <c r="Q40" s="89" t="str">
        <f t="shared" si="0"/>
        <v>Tagline (Tagline Wire)</v>
      </c>
      <c r="R40" s="90">
        <v>7</v>
      </c>
      <c r="S40" s="158">
        <v>4.8922222220571712</v>
      </c>
      <c r="T40" s="61"/>
      <c r="U40" s="92">
        <v>18</v>
      </c>
      <c r="V40" s="118">
        <v>8.18</v>
      </c>
      <c r="W40" s="61"/>
      <c r="X40" s="119">
        <f t="shared" si="1"/>
        <v>25</v>
      </c>
      <c r="Y40" s="164">
        <f t="shared" si="1"/>
        <v>13.072222222057171</v>
      </c>
      <c r="Z40" s="43"/>
      <c r="AA40" s="86" t="s">
        <v>85</v>
      </c>
      <c r="AB40" s="87">
        <f t="shared" ref="AB40:AC42" si="12">X26</f>
        <v>0</v>
      </c>
      <c r="AC40" s="161">
        <f t="shared" si="12"/>
        <v>0</v>
      </c>
    </row>
    <row r="41" spans="2:29" x14ac:dyDescent="0.2">
      <c r="B41" s="14">
        <f t="shared" si="5"/>
        <v>9</v>
      </c>
      <c r="C41" s="139" t="s">
        <v>91</v>
      </c>
      <c r="D41" s="138">
        <v>19</v>
      </c>
      <c r="E41" s="15">
        <f>SUM(D$33:D41)/SUM($D$33:$D$62)</f>
        <v>0.79002079002079006</v>
      </c>
      <c r="F41" s="40">
        <f t="shared" si="11"/>
        <v>3.9501039501039559E-2</v>
      </c>
      <c r="G41" s="213">
        <v>26.99444444476627</v>
      </c>
      <c r="H41" s="16">
        <f t="shared" ref="H41:H52" ca="1" si="13">IF(OR(B41=1,OFFSET($E$32,B41-1,0,1,1)&lt;=$E$31),OFFSET($D$32,B41,0,1,1),"")</f>
        <v>19</v>
      </c>
      <c r="I41" s="17" t="str">
        <f t="shared" ref="I41:I52" ca="1" si="14">IF(H41="",OFFSET($D$32,B41,0,1,1),"")</f>
        <v/>
      </c>
      <c r="J41" s="18">
        <f t="shared" si="8"/>
        <v>0.8</v>
      </c>
      <c r="K41" s="95"/>
      <c r="M41" s="72" t="s">
        <v>25</v>
      </c>
      <c r="N41" s="72" t="s">
        <v>26</v>
      </c>
      <c r="O41" s="72" t="s">
        <v>47</v>
      </c>
      <c r="P41" s="72" t="s">
        <v>67</v>
      </c>
      <c r="Q41" s="80" t="str">
        <f t="shared" si="0"/>
        <v>Tugs and Scows (Scow Repair)</v>
      </c>
      <c r="R41" s="81">
        <v>6</v>
      </c>
      <c r="S41" s="157">
        <v>0.84999999997671694</v>
      </c>
      <c r="T41" s="58"/>
      <c r="U41" s="83">
        <v>43</v>
      </c>
      <c r="V41" s="84">
        <v>46.64</v>
      </c>
      <c r="W41" s="58"/>
      <c r="X41" s="85">
        <f t="shared" si="1"/>
        <v>49</v>
      </c>
      <c r="Y41" s="163">
        <f t="shared" si="1"/>
        <v>47.489999999976718</v>
      </c>
      <c r="Z41" s="43"/>
      <c r="AA41" s="86" t="s">
        <v>86</v>
      </c>
      <c r="AB41" s="87">
        <f t="shared" si="12"/>
        <v>8</v>
      </c>
      <c r="AC41" s="161">
        <f t="shared" si="12"/>
        <v>9.4222222223156127</v>
      </c>
    </row>
    <row r="42" spans="2:29" x14ac:dyDescent="0.2">
      <c r="B42" s="14">
        <f t="shared" si="5"/>
        <v>10</v>
      </c>
      <c r="C42" s="139" t="s">
        <v>88</v>
      </c>
      <c r="D42" s="138">
        <v>13</v>
      </c>
      <c r="E42" s="15">
        <f>SUM(D$33:D42)/SUM($D$33:$D$62)</f>
        <v>0.81704781704781704</v>
      </c>
      <c r="F42" s="40">
        <f t="shared" si="11"/>
        <v>2.7027027027026973E-2</v>
      </c>
      <c r="G42" s="201">
        <v>586.33388888886202</v>
      </c>
      <c r="H42" s="16">
        <f t="shared" ca="1" si="13"/>
        <v>13</v>
      </c>
      <c r="I42" s="17" t="str">
        <f t="shared" ca="1" si="14"/>
        <v/>
      </c>
      <c r="J42" s="18">
        <f t="shared" si="8"/>
        <v>0.8</v>
      </c>
      <c r="K42" s="95"/>
      <c r="M42" s="72" t="s">
        <v>25</v>
      </c>
      <c r="N42" s="72" t="s">
        <v>26</v>
      </c>
      <c r="O42" s="72" t="s">
        <v>47</v>
      </c>
      <c r="P42" s="72" t="s">
        <v>68</v>
      </c>
      <c r="Q42" s="80" t="str">
        <f t="shared" si="0"/>
        <v>Tugs and Scows (Tug Repair)</v>
      </c>
      <c r="R42" s="81">
        <v>2</v>
      </c>
      <c r="S42" s="157">
        <v>0.96222222223877907</v>
      </c>
      <c r="T42" s="58"/>
      <c r="U42" s="83">
        <v>7</v>
      </c>
      <c r="V42" s="84">
        <v>1.6099999999999999</v>
      </c>
      <c r="W42" s="58"/>
      <c r="X42" s="85">
        <f t="shared" si="1"/>
        <v>9</v>
      </c>
      <c r="Y42" s="163">
        <f t="shared" si="1"/>
        <v>2.5722222222387789</v>
      </c>
      <c r="Z42" s="43"/>
      <c r="AA42" s="86" t="s">
        <v>87</v>
      </c>
      <c r="AB42" s="87">
        <f t="shared" si="12"/>
        <v>9</v>
      </c>
      <c r="AC42" s="161">
        <f t="shared" si="12"/>
        <v>70.080277777747256</v>
      </c>
    </row>
    <row r="43" spans="2:29" x14ac:dyDescent="0.2">
      <c r="B43" s="14">
        <f t="shared" si="5"/>
        <v>11</v>
      </c>
      <c r="C43" s="203" t="s">
        <v>94</v>
      </c>
      <c r="D43" s="204">
        <v>12</v>
      </c>
      <c r="E43" s="15">
        <f>SUM(D$33:D43)/SUM($D$33:$D$62)</f>
        <v>0.84199584199584199</v>
      </c>
      <c r="F43" s="40">
        <f t="shared" si="11"/>
        <v>2.4948024948024949E-2</v>
      </c>
      <c r="G43" s="213">
        <v>8.5527777778450407</v>
      </c>
      <c r="H43" s="16" t="str">
        <f t="shared" ca="1" si="13"/>
        <v/>
      </c>
      <c r="I43" s="17">
        <f t="shared" ca="1" si="14"/>
        <v>12</v>
      </c>
      <c r="J43" s="18">
        <f t="shared" si="8"/>
        <v>0.8</v>
      </c>
      <c r="K43" s="95"/>
      <c r="M43" s="37"/>
      <c r="N43" s="37"/>
      <c r="O43" s="37"/>
      <c r="P43" s="37"/>
      <c r="Q43" s="32"/>
      <c r="R43" s="36"/>
      <c r="S43" s="36"/>
      <c r="T43" s="36"/>
      <c r="U43" s="36"/>
      <c r="V43" s="36"/>
      <c r="W43" s="36"/>
      <c r="X43" s="36"/>
      <c r="Y43" s="36"/>
      <c r="Z43" s="32"/>
    </row>
    <row r="44" spans="2:29" x14ac:dyDescent="0.2">
      <c r="B44" s="14">
        <f t="shared" si="5"/>
        <v>12</v>
      </c>
      <c r="C44" s="203" t="s">
        <v>98</v>
      </c>
      <c r="D44" s="204">
        <v>9</v>
      </c>
      <c r="E44" s="15">
        <f>SUM(D$33:D44)/SUM($D$33:$D$62)</f>
        <v>0.86070686070686075</v>
      </c>
      <c r="F44" s="40">
        <f t="shared" si="11"/>
        <v>1.8711018711018768E-2</v>
      </c>
      <c r="G44" s="213">
        <v>2.5722222222387789</v>
      </c>
      <c r="H44" s="16" t="str">
        <f t="shared" ca="1" si="13"/>
        <v/>
      </c>
      <c r="I44" s="17">
        <f t="shared" ca="1" si="14"/>
        <v>9</v>
      </c>
      <c r="J44" s="18">
        <f t="shared" si="8"/>
        <v>0.8</v>
      </c>
      <c r="K44" s="95"/>
    </row>
    <row r="45" spans="2:29" x14ac:dyDescent="0.2">
      <c r="B45" s="14">
        <f t="shared" si="5"/>
        <v>13</v>
      </c>
      <c r="C45" s="203" t="s">
        <v>176</v>
      </c>
      <c r="D45" s="204">
        <v>9</v>
      </c>
      <c r="E45" s="15">
        <f>SUM(D$33:D45)/SUM($D$33:$D$62)</f>
        <v>0.87941787941787941</v>
      </c>
      <c r="F45" s="40">
        <f t="shared" si="11"/>
        <v>1.8711018711018657E-2</v>
      </c>
      <c r="G45" s="201">
        <v>70.080277777747256</v>
      </c>
      <c r="H45" s="16" t="str">
        <f t="shared" ca="1" si="13"/>
        <v/>
      </c>
      <c r="I45" s="17">
        <f t="shared" ca="1" si="14"/>
        <v>9</v>
      </c>
      <c r="J45" s="18">
        <f t="shared" si="8"/>
        <v>0.8</v>
      </c>
      <c r="K45" s="95"/>
      <c r="U45" s="154"/>
      <c r="V45" s="154"/>
      <c r="AA45" s="86" t="s">
        <v>88</v>
      </c>
      <c r="AB45" s="87">
        <f t="shared" ref="AB45:AC48" si="15">X29</f>
        <v>13</v>
      </c>
      <c r="AC45" s="161">
        <f t="shared" si="15"/>
        <v>323.18388888886199</v>
      </c>
    </row>
    <row r="46" spans="2:29" x14ac:dyDescent="0.2">
      <c r="B46" s="14">
        <f t="shared" si="5"/>
        <v>14</v>
      </c>
      <c r="C46" s="203" t="s">
        <v>177</v>
      </c>
      <c r="D46" s="204">
        <v>8</v>
      </c>
      <c r="E46" s="15">
        <f>SUM(D$33:D46)/SUM($D$33:$D$62)</f>
        <v>0.89604989604989604</v>
      </c>
      <c r="F46" s="40">
        <f t="shared" si="11"/>
        <v>1.6632016632016633E-2</v>
      </c>
      <c r="G46" s="213">
        <v>9.4222222223156127</v>
      </c>
      <c r="H46" s="16" t="str">
        <f t="shared" ca="1" si="13"/>
        <v/>
      </c>
      <c r="I46" s="17">
        <f t="shared" ca="1" si="14"/>
        <v>8</v>
      </c>
      <c r="J46" s="18">
        <f t="shared" si="8"/>
        <v>0.8</v>
      </c>
      <c r="K46" s="95"/>
      <c r="O46" s="244" t="s">
        <v>133</v>
      </c>
      <c r="P46" s="244"/>
      <c r="Q46" s="244"/>
      <c r="R46" s="36"/>
      <c r="S46" s="36"/>
      <c r="U46" s="154"/>
      <c r="V46" s="154"/>
      <c r="AA46" s="86" t="s">
        <v>89</v>
      </c>
      <c r="AB46" s="87">
        <f t="shared" si="15"/>
        <v>40</v>
      </c>
      <c r="AC46" s="161">
        <f t="shared" si="15"/>
        <v>97.017500000118744</v>
      </c>
    </row>
    <row r="47" spans="2:29" x14ac:dyDescent="0.2">
      <c r="B47" s="14">
        <f t="shared" si="5"/>
        <v>15</v>
      </c>
      <c r="C47" s="203" t="s">
        <v>178</v>
      </c>
      <c r="D47" s="204">
        <v>8</v>
      </c>
      <c r="E47" s="15">
        <f>SUM(D$33:D47)/SUM($D$33:$D$62)</f>
        <v>0.91268191268191268</v>
      </c>
      <c r="F47" s="40">
        <f t="shared" si="11"/>
        <v>1.6632016632016633E-2</v>
      </c>
      <c r="G47" s="213">
        <v>29.599999999999998</v>
      </c>
      <c r="H47" s="16" t="str">
        <f t="shared" ca="1" si="13"/>
        <v/>
      </c>
      <c r="I47" s="17">
        <f t="shared" ca="1" si="14"/>
        <v>8</v>
      </c>
      <c r="J47" s="18">
        <f t="shared" si="8"/>
        <v>0.8</v>
      </c>
      <c r="K47" s="95"/>
      <c r="O47" s="37"/>
      <c r="P47" s="144"/>
      <c r="Q47" s="144"/>
      <c r="R47" s="36"/>
      <c r="S47" s="36"/>
      <c r="U47" s="154"/>
      <c r="V47" s="154"/>
      <c r="AA47" s="86" t="s">
        <v>90</v>
      </c>
      <c r="AB47" s="87">
        <f t="shared" si="15"/>
        <v>44</v>
      </c>
      <c r="AC47" s="161">
        <f t="shared" si="15"/>
        <v>58.528611110751513</v>
      </c>
    </row>
    <row r="48" spans="2:29" x14ac:dyDescent="0.2">
      <c r="B48" s="14">
        <f t="shared" si="5"/>
        <v>16</v>
      </c>
      <c r="C48" s="203" t="s">
        <v>179</v>
      </c>
      <c r="D48" s="204">
        <v>6</v>
      </c>
      <c r="E48" s="15">
        <f>SUM(D$33:D48)/SUM($D$33:$D$62)</f>
        <v>0.92515592515592515</v>
      </c>
      <c r="F48" s="40">
        <f t="shared" si="11"/>
        <v>1.2474012474012475E-2</v>
      </c>
      <c r="G48" s="213">
        <v>1.267500000083819</v>
      </c>
      <c r="H48" s="16" t="str">
        <f t="shared" ca="1" si="13"/>
        <v/>
      </c>
      <c r="I48" s="17">
        <f t="shared" ca="1" si="14"/>
        <v>6</v>
      </c>
      <c r="J48" s="18">
        <f t="shared" si="8"/>
        <v>0.8</v>
      </c>
      <c r="K48" s="95"/>
      <c r="O48" s="37"/>
      <c r="P48" s="144"/>
      <c r="Q48" s="144"/>
      <c r="R48" s="36"/>
      <c r="S48" s="36"/>
      <c r="U48" s="154"/>
      <c r="V48" s="154"/>
      <c r="AA48" s="86" t="s">
        <v>91</v>
      </c>
      <c r="AB48" s="87">
        <f t="shared" si="15"/>
        <v>19</v>
      </c>
      <c r="AC48" s="161">
        <f t="shared" si="15"/>
        <v>26.99444444476627</v>
      </c>
    </row>
    <row r="49" spans="2:29" x14ac:dyDescent="0.2">
      <c r="B49" s="14">
        <f t="shared" si="5"/>
        <v>17</v>
      </c>
      <c r="C49" s="203" t="s">
        <v>80</v>
      </c>
      <c r="D49" s="204">
        <v>6</v>
      </c>
      <c r="E49" s="15">
        <f>SUM(D$33:D49)/SUM($D$33:$D$62)</f>
        <v>0.93762993762993763</v>
      </c>
      <c r="F49" s="40">
        <f t="shared" si="11"/>
        <v>1.2474012474012475E-2</v>
      </c>
      <c r="G49" s="213">
        <v>2.4799999999580904</v>
      </c>
      <c r="H49" s="16" t="str">
        <f t="shared" ca="1" si="13"/>
        <v/>
      </c>
      <c r="I49" s="17">
        <f t="shared" ca="1" si="14"/>
        <v>6</v>
      </c>
      <c r="J49" s="18">
        <f t="shared" si="8"/>
        <v>0.8</v>
      </c>
      <c r="K49" s="95"/>
      <c r="O49" s="108"/>
      <c r="P49" s="144"/>
      <c r="Q49" s="144"/>
      <c r="R49" s="36"/>
      <c r="S49" s="36"/>
      <c r="U49" s="154"/>
      <c r="V49" s="154"/>
    </row>
    <row r="50" spans="2:29" x14ac:dyDescent="0.2">
      <c r="B50" s="14">
        <f t="shared" si="5"/>
        <v>18</v>
      </c>
      <c r="C50" s="203" t="s">
        <v>79</v>
      </c>
      <c r="D50" s="204">
        <v>6</v>
      </c>
      <c r="E50" s="15">
        <f>SUM(D$33:D50)/SUM($D$33:$D$62)</f>
        <v>0.9501039501039501</v>
      </c>
      <c r="F50" s="40">
        <f t="shared" si="11"/>
        <v>1.2474012474012475E-2</v>
      </c>
      <c r="G50" s="213">
        <v>2.6399999999999997</v>
      </c>
      <c r="H50" s="16" t="str">
        <f t="shared" ca="1" si="13"/>
        <v/>
      </c>
      <c r="I50" s="17">
        <f t="shared" ca="1" si="14"/>
        <v>6</v>
      </c>
      <c r="J50" s="18">
        <f t="shared" si="8"/>
        <v>0.8</v>
      </c>
      <c r="K50" s="95"/>
      <c r="O50" s="109"/>
      <c r="P50" s="37"/>
      <c r="Q50" s="32"/>
      <c r="R50" s="32"/>
      <c r="S50" s="32"/>
      <c r="U50" s="154"/>
      <c r="V50" s="154"/>
    </row>
    <row r="51" spans="2:29" x14ac:dyDescent="0.2">
      <c r="B51" s="14">
        <f t="shared" si="5"/>
        <v>19</v>
      </c>
      <c r="C51" s="203" t="s">
        <v>76</v>
      </c>
      <c r="D51" s="204">
        <v>5</v>
      </c>
      <c r="E51" s="15">
        <f>SUM(D$33:D51)/SUM($D$33:$D$62)</f>
        <v>0.96049896049896055</v>
      </c>
      <c r="F51" s="40">
        <f t="shared" si="11"/>
        <v>1.0395010395010451E-2</v>
      </c>
      <c r="G51" s="213">
        <v>16.920000000000002</v>
      </c>
      <c r="H51" s="16" t="str">
        <f t="shared" ca="1" si="13"/>
        <v/>
      </c>
      <c r="I51" s="17">
        <f t="shared" ca="1" si="14"/>
        <v>5</v>
      </c>
      <c r="J51" s="18">
        <f t="shared" si="8"/>
        <v>0.8</v>
      </c>
      <c r="K51" s="95"/>
      <c r="O51" s="108"/>
      <c r="P51" s="37"/>
      <c r="Q51" s="32"/>
      <c r="R51" s="32"/>
      <c r="S51" s="32"/>
      <c r="U51"/>
      <c r="V51" s="155"/>
      <c r="AA51" s="86" t="s">
        <v>92</v>
      </c>
      <c r="AB51" s="87">
        <f t="shared" ref="AB51:AC55" si="16">X33</f>
        <v>0</v>
      </c>
      <c r="AC51" s="161">
        <f t="shared" si="16"/>
        <v>0</v>
      </c>
    </row>
    <row r="52" spans="2:29" x14ac:dyDescent="0.2">
      <c r="B52" s="14">
        <f t="shared" si="5"/>
        <v>20</v>
      </c>
      <c r="C52" s="203" t="s">
        <v>95</v>
      </c>
      <c r="D52" s="204">
        <v>4</v>
      </c>
      <c r="E52" s="15">
        <f>SUM(D$33:D52)/SUM($D$33:$D$62)</f>
        <v>0.96881496881496887</v>
      </c>
      <c r="F52" s="40">
        <f t="shared" si="11"/>
        <v>8.3160083160083165E-3</v>
      </c>
      <c r="G52" s="213">
        <v>7.6802777778147719</v>
      </c>
      <c r="H52" s="16" t="str">
        <f t="shared" ca="1" si="13"/>
        <v/>
      </c>
      <c r="I52" s="17">
        <f t="shared" ca="1" si="14"/>
        <v>4</v>
      </c>
      <c r="J52" s="18">
        <f t="shared" si="8"/>
        <v>0.8</v>
      </c>
      <c r="K52" s="95"/>
      <c r="O52" s="108"/>
      <c r="P52" s="110" t="s">
        <v>135</v>
      </c>
      <c r="Q52" s="241" t="s">
        <v>134</v>
      </c>
      <c r="R52" s="241"/>
      <c r="S52" s="241"/>
      <c r="U52" s="154"/>
      <c r="V52" s="155"/>
      <c r="AA52" s="86" t="s">
        <v>93</v>
      </c>
      <c r="AB52" s="87">
        <f t="shared" si="16"/>
        <v>3</v>
      </c>
      <c r="AC52" s="161">
        <f t="shared" si="16"/>
        <v>15.89</v>
      </c>
    </row>
    <row r="53" spans="2:29" x14ac:dyDescent="0.2">
      <c r="B53" s="14">
        <f t="shared" si="5"/>
        <v>21</v>
      </c>
      <c r="C53" s="203" t="s">
        <v>93</v>
      </c>
      <c r="D53" s="204">
        <v>3</v>
      </c>
      <c r="E53" s="15">
        <f>SUM(D$33:D53)/SUM($D$33:$D$62)</f>
        <v>0.97505197505197505</v>
      </c>
      <c r="F53" s="40">
        <f t="shared" si="11"/>
        <v>6.2370062370061818E-3</v>
      </c>
      <c r="G53" s="213">
        <v>15.89</v>
      </c>
      <c r="H53" s="16" t="str">
        <f t="shared" ca="1" si="6"/>
        <v/>
      </c>
      <c r="I53" s="17">
        <f t="shared" ca="1" si="7"/>
        <v>3</v>
      </c>
      <c r="J53" s="18">
        <f t="shared" si="8"/>
        <v>0.8</v>
      </c>
      <c r="K53" s="95"/>
      <c r="O53" s="108"/>
      <c r="P53" s="37"/>
      <c r="Q53" s="32"/>
      <c r="R53" s="32"/>
      <c r="S53" s="32"/>
      <c r="U53" s="154"/>
      <c r="V53" s="155"/>
      <c r="AA53" s="86" t="s">
        <v>94</v>
      </c>
      <c r="AB53" s="87">
        <f t="shared" si="16"/>
        <v>12</v>
      </c>
      <c r="AC53" s="161">
        <f t="shared" si="16"/>
        <v>8.5527777778450407</v>
      </c>
    </row>
    <row r="54" spans="2:29" x14ac:dyDescent="0.2">
      <c r="B54" s="14">
        <f t="shared" si="5"/>
        <v>22</v>
      </c>
      <c r="C54" s="140" t="s">
        <v>185</v>
      </c>
      <c r="D54" s="141">
        <v>3</v>
      </c>
      <c r="E54" s="15">
        <f>SUM(D$33:D54)/SUM($D$33:$D$62)</f>
        <v>0.98128898128898134</v>
      </c>
      <c r="F54" s="40">
        <f t="shared" si="10"/>
        <v>6.2370062370062929E-3</v>
      </c>
      <c r="G54" s="213">
        <v>3.87</v>
      </c>
      <c r="H54" s="16" t="str">
        <f t="shared" ca="1" si="6"/>
        <v/>
      </c>
      <c r="I54" s="17">
        <f t="shared" ref="I54:I62" ca="1" si="17">IF(H54="",OFFSET($D$32,B54,0,1,1),"")</f>
        <v>3</v>
      </c>
      <c r="J54" s="18">
        <f t="shared" si="8"/>
        <v>0.8</v>
      </c>
      <c r="K54" s="95"/>
      <c r="O54" s="108"/>
      <c r="P54" s="36">
        <f>RANK(R54,$Q$54:$R$93,0)+COUNTIF($Q54:R$93,R54)-1</f>
        <v>30</v>
      </c>
      <c r="Q54" s="111" t="str">
        <f>Q3</f>
        <v>Auxiliary Systems (Compressed Air)</v>
      </c>
      <c r="R54" s="112">
        <f>X3</f>
        <v>1</v>
      </c>
      <c r="S54" s="165">
        <f>Y3</f>
        <v>0.32</v>
      </c>
      <c r="AA54" s="86" t="s">
        <v>95</v>
      </c>
      <c r="AB54" s="87">
        <f t="shared" si="16"/>
        <v>4</v>
      </c>
      <c r="AC54" s="161">
        <f t="shared" si="16"/>
        <v>7.6802777778147719</v>
      </c>
    </row>
    <row r="55" spans="2:29" x14ac:dyDescent="0.2">
      <c r="B55" s="14">
        <f t="shared" si="5"/>
        <v>23</v>
      </c>
      <c r="C55" s="140" t="s">
        <v>182</v>
      </c>
      <c r="D55" s="141">
        <v>2</v>
      </c>
      <c r="E55" s="15">
        <f>SUM(D$33:D55)/SUM($D$33:$D$62)</f>
        <v>0.9854469854469855</v>
      </c>
      <c r="F55" s="40">
        <f t="shared" si="10"/>
        <v>4.1580041580041582E-3</v>
      </c>
      <c r="G55" s="213">
        <v>9.2102777778520242</v>
      </c>
      <c r="H55" s="16" t="str">
        <f t="shared" ca="1" si="6"/>
        <v/>
      </c>
      <c r="I55" s="17">
        <f t="shared" ca="1" si="17"/>
        <v>2</v>
      </c>
      <c r="J55" s="18">
        <f t="shared" si="8"/>
        <v>0.8</v>
      </c>
      <c r="K55" s="95"/>
      <c r="O55" s="108"/>
      <c r="P55" s="36">
        <f>RANK(R55,$Q$54:$R$93,0)+COUNTIF($Q55:R$93,R55)-1</f>
        <v>40</v>
      </c>
      <c r="Q55" s="111" t="str">
        <f t="shared" ref="Q55:Q93" si="18">Q4</f>
        <v>Auxiliary Systems (Deck Crane)</v>
      </c>
      <c r="R55" s="112">
        <f t="shared" ref="R55:S55" si="19">X4</f>
        <v>0</v>
      </c>
      <c r="S55" s="165">
        <f t="shared" si="19"/>
        <v>0</v>
      </c>
      <c r="AA55" s="86" t="s">
        <v>96</v>
      </c>
      <c r="AB55" s="87">
        <f t="shared" si="16"/>
        <v>42</v>
      </c>
      <c r="AC55" s="161">
        <f t="shared" si="16"/>
        <v>43.398611111186909</v>
      </c>
    </row>
    <row r="56" spans="2:29" x14ac:dyDescent="0.2">
      <c r="B56" s="14">
        <f t="shared" si="5"/>
        <v>24</v>
      </c>
      <c r="C56" s="140" t="s">
        <v>180</v>
      </c>
      <c r="D56" s="141">
        <v>1</v>
      </c>
      <c r="E56" s="15">
        <f>SUM(D$33:D56)/SUM($D$33:$D$62)</f>
        <v>0.98752598752598753</v>
      </c>
      <c r="F56" s="40">
        <f t="shared" si="10"/>
        <v>2.0790020790020236E-3</v>
      </c>
      <c r="G56" s="213">
        <v>7.7222222287673503E-2</v>
      </c>
      <c r="H56" s="16" t="str">
        <f t="shared" ca="1" si="6"/>
        <v/>
      </c>
      <c r="I56" s="17">
        <f t="shared" ca="1" si="17"/>
        <v>1</v>
      </c>
      <c r="J56" s="18">
        <f t="shared" si="8"/>
        <v>0.8</v>
      </c>
      <c r="K56" s="95"/>
      <c r="O56" s="108"/>
      <c r="P56" s="36">
        <f>RANK(R56,$Q$54:$R$93,0)+COUNTIF($Q56:R$93,R56)-1</f>
        <v>39</v>
      </c>
      <c r="Q56" s="111" t="str">
        <f t="shared" si="18"/>
        <v>Auxiliary Systems (Fire Main)</v>
      </c>
      <c r="R56" s="112">
        <f t="shared" ref="R56:S56" si="20">X5</f>
        <v>0</v>
      </c>
      <c r="S56" s="165">
        <f t="shared" si="20"/>
        <v>0</v>
      </c>
    </row>
    <row r="57" spans="2:29" x14ac:dyDescent="0.2">
      <c r="B57" s="14">
        <f t="shared" si="5"/>
        <v>25</v>
      </c>
      <c r="C57" s="140" t="s">
        <v>130</v>
      </c>
      <c r="D57" s="141">
        <v>1</v>
      </c>
      <c r="E57" s="15">
        <f>SUM(D$33:D57)/SUM($D$33:$D$62)</f>
        <v>0.98960498960498966</v>
      </c>
      <c r="F57" s="40">
        <f t="shared" si="10"/>
        <v>2.0790020790021346E-3</v>
      </c>
      <c r="G57" s="183">
        <v>0.53333333332557231</v>
      </c>
      <c r="H57" s="16" t="str">
        <f t="shared" ca="1" si="6"/>
        <v/>
      </c>
      <c r="I57" s="17">
        <f t="shared" ca="1" si="17"/>
        <v>1</v>
      </c>
      <c r="J57" s="18">
        <f t="shared" si="8"/>
        <v>0.8</v>
      </c>
      <c r="K57" s="95"/>
      <c r="O57" s="108"/>
      <c r="P57" s="36">
        <f>RANK(R57,$Q$54:$R$93,0)+COUNTIF($Q57:R$93,R57)-1</f>
        <v>29</v>
      </c>
      <c r="Q57" s="111" t="str">
        <f t="shared" si="18"/>
        <v>Auxiliary Systems (Fuel)</v>
      </c>
      <c r="R57" s="112">
        <f t="shared" ref="R57:S57" si="21">X6</f>
        <v>1</v>
      </c>
      <c r="S57" s="165">
        <f t="shared" si="21"/>
        <v>0.4</v>
      </c>
    </row>
    <row r="58" spans="2:29" x14ac:dyDescent="0.2">
      <c r="B58" s="14">
        <f t="shared" si="5"/>
        <v>26</v>
      </c>
      <c r="C58" s="140" t="s">
        <v>84</v>
      </c>
      <c r="D58" s="141">
        <v>1</v>
      </c>
      <c r="E58" s="15">
        <f>SUM(D$33:D58)/SUM($D$33:$D$62)</f>
        <v>0.99168399168399168</v>
      </c>
      <c r="F58" s="40">
        <f t="shared" si="10"/>
        <v>2.0790020790020236E-3</v>
      </c>
      <c r="G58" s="183">
        <v>0.61</v>
      </c>
      <c r="H58" s="16" t="str">
        <f t="shared" ca="1" si="6"/>
        <v/>
      </c>
      <c r="I58" s="17">
        <f t="shared" ca="1" si="17"/>
        <v>1</v>
      </c>
      <c r="J58" s="18">
        <f t="shared" si="8"/>
        <v>0.8</v>
      </c>
      <c r="K58" s="95"/>
      <c r="O58" s="108"/>
      <c r="P58" s="36">
        <f>RANK(R58,$Q$54:$R$93,0)+COUNTIF($Q58:R$93,R58)-1</f>
        <v>7</v>
      </c>
      <c r="Q58" s="111" t="str">
        <f t="shared" si="18"/>
        <v>Auxiliary Systems (Heating, Ventilation, A/C)</v>
      </c>
      <c r="R58" s="112">
        <f t="shared" ref="R58:S58" si="22">X7</f>
        <v>31</v>
      </c>
      <c r="S58" s="165">
        <f t="shared" si="22"/>
        <v>35.008333333688789</v>
      </c>
      <c r="AA58" s="86" t="s">
        <v>130</v>
      </c>
      <c r="AB58" s="87">
        <f t="shared" ref="AB58:AC60" si="23">X38</f>
        <v>1</v>
      </c>
      <c r="AC58" s="161">
        <f t="shared" si="23"/>
        <v>0.53333333332557231</v>
      </c>
    </row>
    <row r="59" spans="2:29" x14ac:dyDescent="0.2">
      <c r="B59" s="14">
        <f t="shared" si="5"/>
        <v>27</v>
      </c>
      <c r="C59" s="140" t="s">
        <v>181</v>
      </c>
      <c r="D59" s="141">
        <v>1</v>
      </c>
      <c r="E59" s="15">
        <f>SUM(D$33:D59)/SUM($D$33:$D$62)</f>
        <v>0.99376299376299382</v>
      </c>
      <c r="F59" s="40">
        <f t="shared" si="10"/>
        <v>2.0790020790021346E-3</v>
      </c>
      <c r="G59" s="201">
        <v>70.25</v>
      </c>
      <c r="H59" s="16" t="str">
        <f t="shared" ca="1" si="6"/>
        <v/>
      </c>
      <c r="I59" s="17">
        <f t="shared" ca="1" si="17"/>
        <v>1</v>
      </c>
      <c r="J59" s="18">
        <f t="shared" si="8"/>
        <v>0.8</v>
      </c>
      <c r="K59" s="95"/>
      <c r="O59" s="108"/>
      <c r="P59" s="36">
        <f>RANK(R59,$Q$54:$R$93,0)+COUNTIF($Q59:R$93,R59)-1</f>
        <v>38</v>
      </c>
      <c r="Q59" s="111" t="str">
        <f t="shared" si="18"/>
        <v>Auxiliary Systems (Potable Water)</v>
      </c>
      <c r="R59" s="112">
        <f t="shared" ref="R59:S59" si="24">X8</f>
        <v>0</v>
      </c>
      <c r="S59" s="165">
        <f t="shared" si="24"/>
        <v>0</v>
      </c>
      <c r="AA59" s="86" t="s">
        <v>131</v>
      </c>
      <c r="AB59" s="87">
        <f t="shared" si="23"/>
        <v>1</v>
      </c>
      <c r="AC59" s="161">
        <f t="shared" si="23"/>
        <v>7.7222222287673503E-2</v>
      </c>
    </row>
    <row r="60" spans="2:29" x14ac:dyDescent="0.2">
      <c r="B60" s="14">
        <f t="shared" si="5"/>
        <v>28</v>
      </c>
      <c r="C60" s="140" t="s">
        <v>74</v>
      </c>
      <c r="D60" s="141">
        <v>1</v>
      </c>
      <c r="E60" s="15">
        <f>SUM(D$33:D60)/SUM($D$33:$D$62)</f>
        <v>0.99584199584199584</v>
      </c>
      <c r="F60" s="40">
        <f t="shared" si="10"/>
        <v>2.0790020790020236E-3</v>
      </c>
      <c r="G60" s="183">
        <v>0.49</v>
      </c>
      <c r="H60" s="16" t="str">
        <f t="shared" ca="1" si="6"/>
        <v/>
      </c>
      <c r="I60" s="17">
        <f t="shared" ca="1" si="17"/>
        <v>1</v>
      </c>
      <c r="J60" s="18">
        <f t="shared" si="8"/>
        <v>0.8</v>
      </c>
      <c r="K60" s="95"/>
      <c r="O60" s="108"/>
      <c r="P60" s="61">
        <f>RANK(R60,$Q$54:$R$93,0)+COUNTIF($Q60:R$93,R60)-1</f>
        <v>37</v>
      </c>
      <c r="Q60" s="189" t="str">
        <f t="shared" si="18"/>
        <v>Auxiliary Systems (Sanitary System)</v>
      </c>
      <c r="R60" s="190">
        <f t="shared" ref="R60:S60" si="25">X9</f>
        <v>0</v>
      </c>
      <c r="S60" s="191">
        <f t="shared" si="25"/>
        <v>0</v>
      </c>
      <c r="AA60" s="86" t="s">
        <v>132</v>
      </c>
      <c r="AB60" s="87">
        <f t="shared" si="23"/>
        <v>25</v>
      </c>
      <c r="AC60" s="161">
        <f t="shared" si="23"/>
        <v>13.072222222057171</v>
      </c>
    </row>
    <row r="61" spans="2:29" x14ac:dyDescent="0.2">
      <c r="B61" s="14">
        <f t="shared" si="5"/>
        <v>29</v>
      </c>
      <c r="C61" s="140" t="s">
        <v>28</v>
      </c>
      <c r="D61" s="141">
        <v>1</v>
      </c>
      <c r="E61" s="15">
        <f>SUM(D$33:D61)/SUM($D$33:$D$62)</f>
        <v>0.99792099792099798</v>
      </c>
      <c r="F61" s="40">
        <f t="shared" si="10"/>
        <v>2.0790020790021346E-3</v>
      </c>
      <c r="G61" s="183">
        <v>0.4</v>
      </c>
      <c r="H61" s="16" t="str">
        <f t="shared" ca="1" si="6"/>
        <v/>
      </c>
      <c r="I61" s="17">
        <f t="shared" ca="1" si="17"/>
        <v>1</v>
      </c>
      <c r="J61" s="18">
        <f t="shared" si="8"/>
        <v>0.8</v>
      </c>
      <c r="K61" s="95"/>
      <c r="O61" s="108"/>
      <c r="P61" s="61">
        <f>RANK(R61,$Q$54:$R$93,0)+COUNTIF($Q61:R$93,R61)-1</f>
        <v>4</v>
      </c>
      <c r="Q61" s="189" t="str">
        <f t="shared" si="18"/>
        <v>Buckets (Weld / Repair Bucket)</v>
      </c>
      <c r="R61" s="190">
        <f t="shared" ref="R61:S61" si="26">X10</f>
        <v>44</v>
      </c>
      <c r="S61" s="191">
        <f t="shared" si="26"/>
        <v>37.383333333181213</v>
      </c>
    </row>
    <row r="62" spans="2:29" x14ac:dyDescent="0.2">
      <c r="B62" s="14">
        <f t="shared" si="5"/>
        <v>30</v>
      </c>
      <c r="C62" s="140" t="s">
        <v>27</v>
      </c>
      <c r="D62" s="141">
        <v>1</v>
      </c>
      <c r="E62" s="15">
        <f>SUM(D$33:D62)/SUM($D$33:$D$62)</f>
        <v>1</v>
      </c>
      <c r="F62" s="40">
        <f t="shared" si="10"/>
        <v>2.0790020790020236E-3</v>
      </c>
      <c r="G62" s="183">
        <v>0.32</v>
      </c>
      <c r="H62" s="16" t="str">
        <f t="shared" ca="1" si="6"/>
        <v/>
      </c>
      <c r="I62" s="17">
        <f t="shared" ca="1" si="17"/>
        <v>1</v>
      </c>
      <c r="J62" s="18">
        <f t="shared" si="8"/>
        <v>0.8</v>
      </c>
      <c r="K62" s="95"/>
      <c r="O62" s="108"/>
      <c r="P62" s="36">
        <f>RANK(R62,$Q$54:$R$93,0)+COUNTIF($Q62:R$93,R62)-1</f>
        <v>28</v>
      </c>
      <c r="Q62" s="111" t="str">
        <f t="shared" si="18"/>
        <v>Crane Boom (Boom / Gantry Sheaves)</v>
      </c>
      <c r="R62" s="112">
        <f t="shared" ref="R62:S62" si="27">X11</f>
        <v>1</v>
      </c>
      <c r="S62" s="165">
        <f t="shared" si="27"/>
        <v>0.49</v>
      </c>
    </row>
    <row r="63" spans="2:29" x14ac:dyDescent="0.2">
      <c r="B63" s="19" t="s">
        <v>12</v>
      </c>
      <c r="C63" s="1"/>
      <c r="D63" s="1"/>
      <c r="E63" s="1"/>
      <c r="F63" s="1"/>
      <c r="G63" s="1"/>
      <c r="H63" s="1"/>
      <c r="I63" s="1"/>
      <c r="J63" s="1"/>
      <c r="K63" s="95"/>
      <c r="O63" s="108"/>
      <c r="P63" s="36">
        <f>RANK(R63,$Q$54:$R$93,0)+COUNTIF($Q63:R$93,R63)-1</f>
        <v>36</v>
      </c>
      <c r="Q63" s="111" t="str">
        <f t="shared" si="18"/>
        <v>Crane Boom (Boom / Gantry Structure)</v>
      </c>
      <c r="R63" s="112">
        <f t="shared" ref="R63:S63" si="28">X12</f>
        <v>0</v>
      </c>
      <c r="S63" s="165">
        <f t="shared" si="28"/>
        <v>0</v>
      </c>
      <c r="AA63" s="86" t="s">
        <v>97</v>
      </c>
      <c r="AB63" s="87">
        <f>X41</f>
        <v>49</v>
      </c>
      <c r="AC63" s="161">
        <f>Y41</f>
        <v>47.489999999976718</v>
      </c>
    </row>
    <row r="64" spans="2:29" x14ac:dyDescent="0.2">
      <c r="K64" s="95"/>
      <c r="O64" s="108"/>
      <c r="P64" s="36">
        <f>RANK(R64,$Q$54:$R$93,0)+COUNTIF($Q64:R$93,R64)-1</f>
        <v>19</v>
      </c>
      <c r="Q64" s="111" t="str">
        <f t="shared" si="18"/>
        <v>Crane Boom (Boom Winch)</v>
      </c>
      <c r="R64" s="112">
        <f t="shared" ref="R64:S64" si="29">X13</f>
        <v>5</v>
      </c>
      <c r="S64" s="165">
        <f t="shared" si="29"/>
        <v>16.920000000000002</v>
      </c>
      <c r="AA64" s="86" t="s">
        <v>98</v>
      </c>
      <c r="AB64" s="87">
        <f>X42</f>
        <v>9</v>
      </c>
      <c r="AC64" s="161">
        <f>Y42</f>
        <v>2.5722222222387789</v>
      </c>
    </row>
    <row r="65" spans="2:19" x14ac:dyDescent="0.2">
      <c r="K65" s="95"/>
      <c r="O65" s="108"/>
      <c r="P65" s="36">
        <f>RANK(R65,$Q$54:$R$93,0)+COUNTIF($Q65:R$93,R65)-1</f>
        <v>35</v>
      </c>
      <c r="Q65" s="111" t="str">
        <f t="shared" si="18"/>
        <v>Crane Boom (Boom Wires)</v>
      </c>
      <c r="R65" s="112">
        <f t="shared" ref="R65:S65" si="30">X14</f>
        <v>0</v>
      </c>
      <c r="S65" s="165">
        <f t="shared" si="30"/>
        <v>0</v>
      </c>
    </row>
    <row r="66" spans="2:19" x14ac:dyDescent="0.2">
      <c r="K66" s="95"/>
      <c r="O66" s="108"/>
      <c r="P66" s="61">
        <f>RANK(R66,$Q$54:$R$93,0)+COUNTIF($Q66:R$93,R66)-1</f>
        <v>34</v>
      </c>
      <c r="Q66" s="189" t="str">
        <f t="shared" si="18"/>
        <v>Crane Boom (Penant Wire)</v>
      </c>
      <c r="R66" s="190">
        <f t="shared" ref="R66:S66" si="31">X15</f>
        <v>0</v>
      </c>
      <c r="S66" s="191">
        <f t="shared" si="31"/>
        <v>0</v>
      </c>
    </row>
    <row r="67" spans="2:19" x14ac:dyDescent="0.2">
      <c r="K67" s="95"/>
      <c r="O67" s="108"/>
      <c r="P67" s="36">
        <f>RANK(R67,$Q$54:$R$93,0)+COUNTIF($Q67:R$93,R67)-1</f>
        <v>1</v>
      </c>
      <c r="Q67" s="111" t="str">
        <f t="shared" si="18"/>
        <v>Crane Swing (Drive (motor, gear box, etc.))</v>
      </c>
      <c r="R67" s="112">
        <f t="shared" ref="R67:S67" si="32">X16</f>
        <v>86</v>
      </c>
      <c r="S67" s="165">
        <f t="shared" si="32"/>
        <v>181.73111111119854</v>
      </c>
    </row>
    <row r="68" spans="2:19" x14ac:dyDescent="0.2">
      <c r="B68" s="114" t="s">
        <v>3</v>
      </c>
      <c r="C68" s="115" t="s">
        <v>136</v>
      </c>
      <c r="D68" s="115"/>
      <c r="E68" s="116" t="s">
        <v>137</v>
      </c>
      <c r="K68" s="95"/>
      <c r="O68" s="108"/>
      <c r="P68" s="61">
        <f>RANK(R68,$Q$54:$R$93,0)+COUNTIF($Q68:R$93,R68)-1</f>
        <v>23</v>
      </c>
      <c r="Q68" s="189" t="str">
        <f t="shared" si="18"/>
        <v>Crane Swing (Swing Circle (rollers, etc.))</v>
      </c>
      <c r="R68" s="190">
        <f t="shared" ref="R68:S68" si="33">X17</f>
        <v>2</v>
      </c>
      <c r="S68" s="191">
        <f t="shared" si="33"/>
        <v>9.2102777778520242</v>
      </c>
    </row>
    <row r="69" spans="2:19" x14ac:dyDescent="0.2">
      <c r="B69" s="32"/>
      <c r="C69" s="32"/>
      <c r="D69" s="32"/>
      <c r="E69" s="32"/>
      <c r="K69" s="95"/>
      <c r="O69" s="108"/>
      <c r="P69" s="36">
        <f>RANK(R69,$Q$54:$R$93,0)+COUNTIF($Q69:R$93,R69)-1</f>
        <v>18</v>
      </c>
      <c r="Q69" s="111" t="str">
        <f t="shared" si="18"/>
        <v>Deck Winch (Fairleads)</v>
      </c>
      <c r="R69" s="112">
        <f t="shared" ref="R69:S69" si="34">X18</f>
        <v>6</v>
      </c>
      <c r="S69" s="165">
        <f t="shared" si="34"/>
        <v>2.6399999999999997</v>
      </c>
    </row>
    <row r="70" spans="2:19" x14ac:dyDescent="0.2">
      <c r="B70" s="114">
        <v>1</v>
      </c>
      <c r="C70" s="32" t="str">
        <f>VLOOKUP(B70,$P$4:$S$93,2,0)</f>
        <v>Crane Swing (Drive (motor, gear box, etc.))</v>
      </c>
      <c r="D70" s="114">
        <f>VLOOKUP(B70,$P$4:$S$93,3,0)</f>
        <v>86</v>
      </c>
      <c r="E70" s="166">
        <f>VLOOKUP(B70,$P$4:$S$93,4,0)</f>
        <v>181.73111111119854</v>
      </c>
      <c r="K70" s="95"/>
      <c r="O70" s="108"/>
      <c r="P70" s="61">
        <f>RANK(R70,$Q$54:$R$93,0)+COUNTIF($Q70:R$93,R70)-1</f>
        <v>17</v>
      </c>
      <c r="Q70" s="189" t="str">
        <f t="shared" si="18"/>
        <v>Deck Winch (Winch)</v>
      </c>
      <c r="R70" s="190">
        <f t="shared" ref="R70:S70" si="35">X19</f>
        <v>6</v>
      </c>
      <c r="S70" s="191">
        <f t="shared" si="35"/>
        <v>2.4799999999580904</v>
      </c>
    </row>
    <row r="71" spans="2:19" x14ac:dyDescent="0.2">
      <c r="B71" s="114">
        <v>2</v>
      </c>
      <c r="C71" s="32" t="str">
        <f t="shared" ref="C71:C109" si="36">VLOOKUP(B71,$P$4:$S$93,2,0)</f>
        <v>Tugs and Scows (Scow Repair)</v>
      </c>
      <c r="D71" s="114">
        <f t="shared" ref="D71:D109" si="37">VLOOKUP(B71,$P$4:$S$93,3,0)</f>
        <v>49</v>
      </c>
      <c r="E71" s="166">
        <f t="shared" ref="E71:E109" si="38">VLOOKUP(B71,$P$4:$S$93,4,0)</f>
        <v>47.489999999976718</v>
      </c>
      <c r="K71" s="95"/>
      <c r="O71" s="108"/>
      <c r="P71" s="36">
        <f>RANK(R71,$Q$54:$R$93,0)+COUNTIF($Q71:R$93,R71)-1</f>
        <v>27</v>
      </c>
      <c r="Q71" s="111" t="str">
        <f t="shared" si="18"/>
        <v>Electrical/Electronics (MCC / Switch Gear)</v>
      </c>
      <c r="R71" s="112">
        <f t="shared" ref="R71:S71" si="39">X20</f>
        <v>1</v>
      </c>
      <c r="S71" s="165">
        <f t="shared" si="39"/>
        <v>70.25</v>
      </c>
    </row>
    <row r="72" spans="2:19" x14ac:dyDescent="0.2">
      <c r="B72" s="114">
        <v>3</v>
      </c>
      <c r="C72" s="32" t="str">
        <f t="shared" si="36"/>
        <v>Main Hoist (Holder)</v>
      </c>
      <c r="D72" s="114">
        <f t="shared" si="37"/>
        <v>44</v>
      </c>
      <c r="E72" s="166">
        <f t="shared" si="38"/>
        <v>58.528611110751513</v>
      </c>
      <c r="K72" s="95"/>
      <c r="O72" s="108"/>
      <c r="P72" s="36">
        <f>RANK(R72,$Q$54:$R$93,0)+COUNTIF($Q72:R$93,R72)-1</f>
        <v>33</v>
      </c>
      <c r="Q72" s="111" t="str">
        <f t="shared" si="18"/>
        <v>Electrical/Electronics (Navigation Lights)</v>
      </c>
      <c r="R72" s="112">
        <f t="shared" ref="R72:S72" si="40">X21</f>
        <v>0</v>
      </c>
      <c r="S72" s="165">
        <f t="shared" si="40"/>
        <v>0</v>
      </c>
    </row>
    <row r="73" spans="2:19" x14ac:dyDescent="0.2">
      <c r="B73" s="114">
        <v>4</v>
      </c>
      <c r="C73" s="32" t="str">
        <f t="shared" si="36"/>
        <v>Buckets (Weld / Repair Bucket)</v>
      </c>
      <c r="D73" s="114">
        <f t="shared" si="37"/>
        <v>44</v>
      </c>
      <c r="E73" s="166">
        <f t="shared" si="38"/>
        <v>37.383333333181213</v>
      </c>
      <c r="K73" s="1"/>
      <c r="O73" s="108"/>
      <c r="P73" s="36">
        <f>RANK(R73,$Q$54:$R$93,0)+COUNTIF($Q73:R$93,R73)-1</f>
        <v>15</v>
      </c>
      <c r="Q73" s="111" t="str">
        <f t="shared" si="18"/>
        <v>Electrical/Electronics (PLC)</v>
      </c>
      <c r="R73" s="112">
        <f t="shared" ref="R73:S73" si="41">X22</f>
        <v>8</v>
      </c>
      <c r="S73" s="165">
        <f t="shared" si="41"/>
        <v>29.599999999999998</v>
      </c>
    </row>
    <row r="74" spans="2:19" x14ac:dyDescent="0.2">
      <c r="B74" s="114">
        <v>5</v>
      </c>
      <c r="C74" s="32" t="str">
        <f t="shared" si="36"/>
        <v>Spud System (Walking Mechanisms (Carriage / Travel))</v>
      </c>
      <c r="D74" s="114">
        <f t="shared" si="37"/>
        <v>42</v>
      </c>
      <c r="E74" s="166">
        <f t="shared" si="38"/>
        <v>43.398611111186909</v>
      </c>
      <c r="O74" s="108"/>
      <c r="P74" s="61">
        <f>RANK(R74,$Q$54:$R$93,0)+COUNTIF($Q74:R$93,R74)-1</f>
        <v>22</v>
      </c>
      <c r="Q74" s="189" t="str">
        <f t="shared" si="18"/>
        <v>Electrical/Electronics (Transformers)</v>
      </c>
      <c r="R74" s="190">
        <f t="shared" ref="R74:S74" si="42">X23</f>
        <v>3</v>
      </c>
      <c r="S74" s="191">
        <f t="shared" si="42"/>
        <v>3.87</v>
      </c>
    </row>
    <row r="75" spans="2:19" x14ac:dyDescent="0.2">
      <c r="B75" s="114">
        <v>6</v>
      </c>
      <c r="C75" s="32" t="str">
        <f t="shared" si="36"/>
        <v>Main Hoist (Closer Wire)</v>
      </c>
      <c r="D75" s="114">
        <f t="shared" si="37"/>
        <v>40</v>
      </c>
      <c r="E75" s="166">
        <f t="shared" si="38"/>
        <v>97.017500000118744</v>
      </c>
      <c r="O75" s="108"/>
      <c r="P75" s="36">
        <f>RANK(R75,$Q$54:$R$93,0)+COUNTIF($Q75:R$93,R75)-1</f>
        <v>16</v>
      </c>
      <c r="Q75" s="111" t="str">
        <f t="shared" si="18"/>
        <v>Hull (Deck Fittings (cleats, timbers, etc.))</v>
      </c>
      <c r="R75" s="112">
        <f t="shared" ref="R75:S75" si="43">X24</f>
        <v>6</v>
      </c>
      <c r="S75" s="165">
        <f t="shared" si="43"/>
        <v>1.267500000083819</v>
      </c>
    </row>
    <row r="76" spans="2:19" x14ac:dyDescent="0.2">
      <c r="B76" s="114">
        <v>7</v>
      </c>
      <c r="C76" s="32" t="str">
        <f t="shared" si="36"/>
        <v>Auxiliary Systems (Heating, Ventilation, A/C)</v>
      </c>
      <c r="D76" s="114">
        <f t="shared" si="37"/>
        <v>31</v>
      </c>
      <c r="E76" s="166">
        <f t="shared" si="38"/>
        <v>35.008333333688789</v>
      </c>
      <c r="O76" s="108"/>
      <c r="P76" s="61">
        <f>RANK(R76,$Q$54:$R$93,0)+COUNTIF($Q76:R$93,R76)-1</f>
        <v>26</v>
      </c>
      <c r="Q76" s="189" t="str">
        <f t="shared" si="18"/>
        <v>Hull (Hull / House Repair)</v>
      </c>
      <c r="R76" s="190">
        <f t="shared" ref="R76:S76" si="44">X25</f>
        <v>1</v>
      </c>
      <c r="S76" s="191">
        <f t="shared" si="44"/>
        <v>0.61</v>
      </c>
    </row>
    <row r="77" spans="2:19" x14ac:dyDescent="0.2">
      <c r="B77" s="114">
        <v>8</v>
      </c>
      <c r="C77" s="32" t="str">
        <f t="shared" si="36"/>
        <v>Tagline (Tagline Wire)</v>
      </c>
      <c r="D77" s="114">
        <f t="shared" si="37"/>
        <v>25</v>
      </c>
      <c r="E77" s="166">
        <f t="shared" si="38"/>
        <v>13.072222222057171</v>
      </c>
      <c r="O77" s="108"/>
      <c r="P77" s="36">
        <f>RANK(R77,$Q$54:$R$93,0)+COUNTIF($Q77:R$93,R77)-1</f>
        <v>32</v>
      </c>
      <c r="Q77" s="111" t="str">
        <f t="shared" si="18"/>
        <v>Main / Aux. Generators (Auxiliary Generator)</v>
      </c>
      <c r="R77" s="112">
        <f t="shared" ref="R77:S77" si="45">X26</f>
        <v>0</v>
      </c>
      <c r="S77" s="165">
        <f t="shared" si="45"/>
        <v>0</v>
      </c>
    </row>
    <row r="78" spans="2:19" x14ac:dyDescent="0.2">
      <c r="B78" s="114">
        <v>9</v>
      </c>
      <c r="C78" s="32" t="str">
        <f t="shared" si="36"/>
        <v>Main Hoist (Holder Wire)</v>
      </c>
      <c r="D78" s="114">
        <f t="shared" si="37"/>
        <v>19</v>
      </c>
      <c r="E78" s="166">
        <f t="shared" si="38"/>
        <v>26.99444444476627</v>
      </c>
      <c r="O78" s="108"/>
      <c r="P78" s="36">
        <f>RANK(R78,$Q$54:$R$93,0)+COUNTIF($Q78:R$93,R78)-1</f>
        <v>14</v>
      </c>
      <c r="Q78" s="111" t="str">
        <f t="shared" si="18"/>
        <v>Main / Aux. Generators (Main Generator)</v>
      </c>
      <c r="R78" s="112">
        <f t="shared" ref="R78:S78" si="46">X27</f>
        <v>8</v>
      </c>
      <c r="S78" s="165">
        <f t="shared" si="46"/>
        <v>9.4222222223156127</v>
      </c>
    </row>
    <row r="79" spans="2:19" x14ac:dyDescent="0.2">
      <c r="B79" s="114">
        <v>10</v>
      </c>
      <c r="C79" s="32" t="str">
        <f t="shared" si="36"/>
        <v>Main Hoist (Closer)</v>
      </c>
      <c r="D79" s="114">
        <f t="shared" si="37"/>
        <v>13</v>
      </c>
      <c r="E79" s="166">
        <f t="shared" si="38"/>
        <v>323.18388888886199</v>
      </c>
      <c r="O79" s="108"/>
      <c r="P79" s="61">
        <f>RANK(R79,$Q$54:$R$93,0)+COUNTIF($Q79:R$93,R79)-1</f>
        <v>13</v>
      </c>
      <c r="Q79" s="189" t="str">
        <f t="shared" si="18"/>
        <v>Main / Aux. Generators (Main Generator Engine)</v>
      </c>
      <c r="R79" s="190">
        <f t="shared" ref="R79:S79" si="47">X28</f>
        <v>9</v>
      </c>
      <c r="S79" s="191">
        <f t="shared" si="47"/>
        <v>70.080277777747256</v>
      </c>
    </row>
    <row r="80" spans="2:19" x14ac:dyDescent="0.2">
      <c r="B80" s="114">
        <v>11</v>
      </c>
      <c r="C80" s="32" t="str">
        <f t="shared" si="36"/>
        <v>Spud System (Spud Winch)</v>
      </c>
      <c r="D80" s="114">
        <f t="shared" si="37"/>
        <v>12</v>
      </c>
      <c r="E80" s="166">
        <f t="shared" si="38"/>
        <v>8.5527777778450407</v>
      </c>
      <c r="O80" s="108"/>
      <c r="P80" s="36">
        <f>RANK(R80,$Q$54:$R$93,0)+COUNTIF($Q80:R$93,R80)-1</f>
        <v>10</v>
      </c>
      <c r="Q80" s="111" t="str">
        <f t="shared" si="18"/>
        <v>Main Hoist (Closer)</v>
      </c>
      <c r="R80" s="112">
        <f t="shared" ref="R80:S80" si="48">X29</f>
        <v>13</v>
      </c>
      <c r="S80" s="165">
        <f t="shared" si="48"/>
        <v>323.18388888886199</v>
      </c>
    </row>
    <row r="81" spans="2:19" x14ac:dyDescent="0.2">
      <c r="B81" s="114">
        <v>12</v>
      </c>
      <c r="C81" s="32" t="str">
        <f t="shared" si="36"/>
        <v>Tugs and Scows (Tug Repair)</v>
      </c>
      <c r="D81" s="114">
        <f t="shared" si="37"/>
        <v>9</v>
      </c>
      <c r="E81" s="166">
        <f t="shared" si="38"/>
        <v>2.5722222222387789</v>
      </c>
      <c r="O81" s="108"/>
      <c r="P81" s="36">
        <f>RANK(R81,$Q$54:$R$93,0)+COUNTIF($Q81:R$93,R81)-1</f>
        <v>6</v>
      </c>
      <c r="Q81" s="111" t="str">
        <f t="shared" si="18"/>
        <v>Main Hoist (Closer Wire)</v>
      </c>
      <c r="R81" s="112">
        <f t="shared" ref="R81:S81" si="49">X30</f>
        <v>40</v>
      </c>
      <c r="S81" s="165">
        <f t="shared" si="49"/>
        <v>97.017500000118744</v>
      </c>
    </row>
    <row r="82" spans="2:19" x14ac:dyDescent="0.2">
      <c r="B82" s="114">
        <v>13</v>
      </c>
      <c r="C82" s="32" t="str">
        <f t="shared" si="36"/>
        <v>Main / Aux. Generators (Main Generator Engine)</v>
      </c>
      <c r="D82" s="114">
        <f t="shared" si="37"/>
        <v>9</v>
      </c>
      <c r="E82" s="166">
        <f t="shared" si="38"/>
        <v>70.080277777747256</v>
      </c>
      <c r="O82" s="108"/>
      <c r="P82" s="58">
        <f>RANK(R82,$Q$54:$R$93,0)+COUNTIF($Q82:R$93,R82)-1</f>
        <v>3</v>
      </c>
      <c r="Q82" s="192" t="str">
        <f t="shared" si="18"/>
        <v>Main Hoist (Holder)</v>
      </c>
      <c r="R82" s="193">
        <f t="shared" ref="R82:S82" si="50">X31</f>
        <v>44</v>
      </c>
      <c r="S82" s="194">
        <f t="shared" si="50"/>
        <v>58.528611110751513</v>
      </c>
    </row>
    <row r="83" spans="2:19" x14ac:dyDescent="0.2">
      <c r="B83" s="114">
        <v>14</v>
      </c>
      <c r="C83" s="32" t="str">
        <f t="shared" si="36"/>
        <v>Main / Aux. Generators (Main Generator)</v>
      </c>
      <c r="D83" s="114">
        <f t="shared" si="37"/>
        <v>8</v>
      </c>
      <c r="E83" s="166">
        <f t="shared" si="38"/>
        <v>9.4222222223156127</v>
      </c>
      <c r="O83" s="108"/>
      <c r="P83" s="61">
        <f>RANK(R83,$Q$54:$R$93,0)+COUNTIF($Q83:R$93,R83)-1</f>
        <v>9</v>
      </c>
      <c r="Q83" s="189" t="str">
        <f t="shared" si="18"/>
        <v>Main Hoist (Holder Wire)</v>
      </c>
      <c r="R83" s="190">
        <f t="shared" ref="R83:S83" si="51">X32</f>
        <v>19</v>
      </c>
      <c r="S83" s="191">
        <f t="shared" si="51"/>
        <v>26.99444444476627</v>
      </c>
    </row>
    <row r="84" spans="2:19" x14ac:dyDescent="0.2">
      <c r="B84" s="114">
        <v>15</v>
      </c>
      <c r="C84" s="32" t="str">
        <f t="shared" si="36"/>
        <v>Electrical/Electronics (PLC)</v>
      </c>
      <c r="D84" s="114">
        <f t="shared" si="37"/>
        <v>8</v>
      </c>
      <c r="E84" s="166">
        <f t="shared" si="38"/>
        <v>29.599999999999998</v>
      </c>
      <c r="O84" s="108"/>
      <c r="P84" s="36">
        <f>RANK(R84,$Q$54:$R$93,0)+COUNTIF($Q84:R$93,R84)-1</f>
        <v>31</v>
      </c>
      <c r="Q84" s="111" t="str">
        <f t="shared" si="18"/>
        <v>Spud System (Spud Sheaves)</v>
      </c>
      <c r="R84" s="112">
        <f t="shared" ref="R84:S84" si="52">X33</f>
        <v>0</v>
      </c>
      <c r="S84" s="165">
        <f t="shared" si="52"/>
        <v>0</v>
      </c>
    </row>
    <row r="85" spans="2:19" x14ac:dyDescent="0.2">
      <c r="B85" s="114">
        <v>16</v>
      </c>
      <c r="C85" s="32" t="str">
        <f t="shared" si="36"/>
        <v>Hull (Deck Fittings (cleats, timbers, etc.))</v>
      </c>
      <c r="D85" s="114">
        <f t="shared" si="37"/>
        <v>6</v>
      </c>
      <c r="E85" s="166">
        <f t="shared" si="38"/>
        <v>1.267500000083819</v>
      </c>
      <c r="O85" s="108"/>
      <c r="P85" s="36">
        <f>RANK(R85,$Q$54:$R$93,0)+COUNTIF($Q85:R$93,R85)-1</f>
        <v>21</v>
      </c>
      <c r="Q85" s="111" t="str">
        <f t="shared" si="18"/>
        <v>Spud System (Spud Structure)</v>
      </c>
      <c r="R85" s="112">
        <f t="shared" ref="R85:S85" si="53">X34</f>
        <v>3</v>
      </c>
      <c r="S85" s="165">
        <f t="shared" si="53"/>
        <v>15.89</v>
      </c>
    </row>
    <row r="86" spans="2:19" x14ac:dyDescent="0.2">
      <c r="B86" s="114">
        <v>17</v>
      </c>
      <c r="C86" s="32" t="str">
        <f t="shared" si="36"/>
        <v>Deck Winch (Winch)</v>
      </c>
      <c r="D86" s="114">
        <f t="shared" si="37"/>
        <v>6</v>
      </c>
      <c r="E86" s="166">
        <f t="shared" si="38"/>
        <v>2.4799999999580904</v>
      </c>
      <c r="O86" s="108"/>
      <c r="P86" s="36">
        <f>RANK(R86,$Q$54:$R$93,0)+COUNTIF($Q86:R$93,R86)-1</f>
        <v>11</v>
      </c>
      <c r="Q86" s="111" t="str">
        <f t="shared" si="18"/>
        <v>Spud System (Spud Winch)</v>
      </c>
      <c r="R86" s="112">
        <f t="shared" ref="R86:S86" si="54">X35</f>
        <v>12</v>
      </c>
      <c r="S86" s="165">
        <f t="shared" si="54"/>
        <v>8.5527777778450407</v>
      </c>
    </row>
    <row r="87" spans="2:19" x14ac:dyDescent="0.2">
      <c r="B87" s="114">
        <v>18</v>
      </c>
      <c r="C87" s="32" t="str">
        <f t="shared" si="36"/>
        <v>Deck Winch (Fairleads)</v>
      </c>
      <c r="D87" s="114">
        <f t="shared" si="37"/>
        <v>6</v>
      </c>
      <c r="E87" s="166">
        <f t="shared" si="38"/>
        <v>2.6399999999999997</v>
      </c>
      <c r="O87" s="108"/>
      <c r="P87" s="36">
        <f>RANK(R87,$Q$54:$R$93,0)+COUNTIF($Q87:R$93,R87)-1</f>
        <v>20</v>
      </c>
      <c r="Q87" s="111" t="str">
        <f t="shared" si="18"/>
        <v>Spud System (Spud Wires)</v>
      </c>
      <c r="R87" s="112">
        <f t="shared" ref="R87:S87" si="55">X36</f>
        <v>4</v>
      </c>
      <c r="S87" s="165">
        <f t="shared" si="55"/>
        <v>7.6802777778147719</v>
      </c>
    </row>
    <row r="88" spans="2:19" x14ac:dyDescent="0.2">
      <c r="B88" s="114">
        <v>19</v>
      </c>
      <c r="C88" s="32" t="str">
        <f t="shared" si="36"/>
        <v>Crane Boom (Boom Winch)</v>
      </c>
      <c r="D88" s="114">
        <f t="shared" si="37"/>
        <v>5</v>
      </c>
      <c r="E88" s="166">
        <f t="shared" si="38"/>
        <v>16.920000000000002</v>
      </c>
      <c r="O88" s="108"/>
      <c r="P88" s="61">
        <f>RANK(R88,$Q$54:$R$93,0)+COUNTIF($Q88:R$93,R88)-1</f>
        <v>5</v>
      </c>
      <c r="Q88" s="189" t="str">
        <f t="shared" si="18"/>
        <v>Spud System (Walking Mechanisms (Carriage / Travel))</v>
      </c>
      <c r="R88" s="190">
        <f t="shared" ref="R88:S88" si="56">X37</f>
        <v>42</v>
      </c>
      <c r="S88" s="191">
        <f t="shared" si="56"/>
        <v>43.398611111186909</v>
      </c>
    </row>
    <row r="89" spans="2:19" x14ac:dyDescent="0.2">
      <c r="B89" s="114">
        <v>20</v>
      </c>
      <c r="C89" s="32" t="str">
        <f t="shared" si="36"/>
        <v>Spud System (Spud Wires)</v>
      </c>
      <c r="D89" s="114">
        <f t="shared" si="37"/>
        <v>4</v>
      </c>
      <c r="E89" s="166">
        <f t="shared" si="38"/>
        <v>7.6802777778147719</v>
      </c>
      <c r="O89" s="108"/>
      <c r="P89" s="36">
        <f>RANK(R89,$Q$54:$R$93,0)+COUNTIF($Q89:R$93,R89)-1</f>
        <v>25</v>
      </c>
      <c r="Q89" s="111" t="str">
        <f t="shared" si="18"/>
        <v>Tagline (Tagline Sheaves)</v>
      </c>
      <c r="R89" s="112">
        <f t="shared" ref="R89:S89" si="57">X38</f>
        <v>1</v>
      </c>
      <c r="S89" s="165">
        <f t="shared" si="57"/>
        <v>0.53333333332557231</v>
      </c>
    </row>
    <row r="90" spans="2:19" x14ac:dyDescent="0.2">
      <c r="B90" s="114">
        <v>21</v>
      </c>
      <c r="C90" s="32" t="str">
        <f t="shared" si="36"/>
        <v>Spud System (Spud Structure)</v>
      </c>
      <c r="D90" s="114">
        <f t="shared" si="37"/>
        <v>3</v>
      </c>
      <c r="E90" s="166">
        <f t="shared" si="38"/>
        <v>15.89</v>
      </c>
      <c r="O90" s="108"/>
      <c r="P90" s="36">
        <f>RANK(R90,$Q$54:$R$93,0)+COUNTIF($Q90:R$93,R90)-1</f>
        <v>24</v>
      </c>
      <c r="Q90" s="111" t="str">
        <f t="shared" si="18"/>
        <v>Tagline (Tagline Winch (motor, gearbox, etc.))</v>
      </c>
      <c r="R90" s="112">
        <f t="shared" ref="R90:S90" si="58">X39</f>
        <v>1</v>
      </c>
      <c r="S90" s="165">
        <f t="shared" si="58"/>
        <v>7.7222222287673503E-2</v>
      </c>
    </row>
    <row r="91" spans="2:19" x14ac:dyDescent="0.2">
      <c r="B91" s="114">
        <v>22</v>
      </c>
      <c r="C91" s="32" t="str">
        <f t="shared" si="36"/>
        <v>Electrical/Electronics (Transformers)</v>
      </c>
      <c r="D91" s="114">
        <f t="shared" si="37"/>
        <v>3</v>
      </c>
      <c r="E91" s="166">
        <f t="shared" si="38"/>
        <v>3.87</v>
      </c>
      <c r="O91" s="108"/>
      <c r="P91" s="61">
        <f>RANK(R91,$Q$54:$R$93,0)+COUNTIF($Q91:R$93,R91)-1</f>
        <v>8</v>
      </c>
      <c r="Q91" s="189" t="str">
        <f t="shared" si="18"/>
        <v>Tagline (Tagline Wire)</v>
      </c>
      <c r="R91" s="190">
        <f t="shared" ref="R91:S91" si="59">X40</f>
        <v>25</v>
      </c>
      <c r="S91" s="191">
        <f t="shared" si="59"/>
        <v>13.072222222057171</v>
      </c>
    </row>
    <row r="92" spans="2:19" x14ac:dyDescent="0.2">
      <c r="B92" s="114">
        <v>23</v>
      </c>
      <c r="C92" s="32" t="str">
        <f t="shared" si="36"/>
        <v>Crane Swing (Swing Circle (rollers, etc.))</v>
      </c>
      <c r="D92" s="114">
        <f t="shared" si="37"/>
        <v>2</v>
      </c>
      <c r="E92" s="166">
        <f t="shared" si="38"/>
        <v>9.2102777778520242</v>
      </c>
      <c r="O92" s="108"/>
      <c r="P92" s="36">
        <f>RANK(R92,$Q$54:$R$93,0)+COUNTIF($Q92:R$93,R92)-1</f>
        <v>2</v>
      </c>
      <c r="Q92" s="111" t="str">
        <f t="shared" si="18"/>
        <v>Tugs and Scows (Scow Repair)</v>
      </c>
      <c r="R92" s="112">
        <f t="shared" ref="R92:S92" si="60">X41</f>
        <v>49</v>
      </c>
      <c r="S92" s="165">
        <f t="shared" si="60"/>
        <v>47.489999999976718</v>
      </c>
    </row>
    <row r="93" spans="2:19" x14ac:dyDescent="0.2">
      <c r="B93" s="114">
        <v>24</v>
      </c>
      <c r="C93" s="32" t="str">
        <f t="shared" si="36"/>
        <v>Tagline (Tagline Winch (motor, gearbox, etc.))</v>
      </c>
      <c r="D93" s="114">
        <f t="shared" si="37"/>
        <v>1</v>
      </c>
      <c r="E93" s="166">
        <f t="shared" si="38"/>
        <v>7.7222222287673503E-2</v>
      </c>
      <c r="O93" s="108"/>
      <c r="P93" s="36">
        <f>RANK(R93,$Q$54:$R$93,0)+COUNTIF($Q93:R$93,R93)-1</f>
        <v>12</v>
      </c>
      <c r="Q93" s="111" t="str">
        <f t="shared" si="18"/>
        <v>Tugs and Scows (Tug Repair)</v>
      </c>
      <c r="R93" s="112">
        <f t="shared" ref="R93:S93" si="61">X42</f>
        <v>9</v>
      </c>
      <c r="S93" s="165">
        <f t="shared" si="61"/>
        <v>2.5722222222387789</v>
      </c>
    </row>
    <row r="94" spans="2:19" x14ac:dyDescent="0.2">
      <c r="B94" s="114">
        <v>25</v>
      </c>
      <c r="C94" s="32" t="str">
        <f t="shared" si="36"/>
        <v>Tagline (Tagline Sheaves)</v>
      </c>
      <c r="D94" s="114">
        <f t="shared" si="37"/>
        <v>1</v>
      </c>
      <c r="E94" s="166">
        <f t="shared" si="38"/>
        <v>0.53333333332557231</v>
      </c>
      <c r="O94" s="108"/>
      <c r="P94" s="36"/>
      <c r="Q94" s="113"/>
      <c r="R94" s="144"/>
      <c r="S94" s="144"/>
    </row>
    <row r="95" spans="2:19" x14ac:dyDescent="0.2">
      <c r="B95" s="114">
        <v>26</v>
      </c>
      <c r="C95" s="32" t="str">
        <f t="shared" si="36"/>
        <v>Hull (Hull / House Repair)</v>
      </c>
      <c r="D95" s="114">
        <f t="shared" si="37"/>
        <v>1</v>
      </c>
      <c r="E95" s="166">
        <f t="shared" si="38"/>
        <v>0.61</v>
      </c>
      <c r="O95" s="108"/>
      <c r="P95" s="36"/>
      <c r="Q95" s="113"/>
      <c r="R95" s="144"/>
      <c r="S95" s="144"/>
    </row>
    <row r="96" spans="2:19" x14ac:dyDescent="0.2">
      <c r="B96" s="114">
        <v>27</v>
      </c>
      <c r="C96" s="32" t="str">
        <f t="shared" si="36"/>
        <v>Electrical/Electronics (MCC / Switch Gear)</v>
      </c>
      <c r="D96" s="114">
        <f t="shared" si="37"/>
        <v>1</v>
      </c>
      <c r="E96" s="166">
        <f t="shared" si="38"/>
        <v>70.25</v>
      </c>
      <c r="O96" s="108"/>
      <c r="P96" s="108"/>
      <c r="Q96" s="113"/>
      <c r="R96" s="144"/>
      <c r="S96" s="144"/>
    </row>
    <row r="97" spans="2:19" x14ac:dyDescent="0.2">
      <c r="B97" s="114">
        <v>28</v>
      </c>
      <c r="C97" s="32" t="str">
        <f t="shared" si="36"/>
        <v>Crane Boom (Boom / Gantry Sheaves)</v>
      </c>
      <c r="D97" s="114">
        <f t="shared" si="37"/>
        <v>1</v>
      </c>
      <c r="E97" s="166">
        <f t="shared" si="38"/>
        <v>0.49</v>
      </c>
      <c r="O97" s="108"/>
      <c r="P97" s="108"/>
      <c r="Q97" s="113"/>
      <c r="R97" s="144"/>
      <c r="S97" s="144"/>
    </row>
    <row r="98" spans="2:19" x14ac:dyDescent="0.2">
      <c r="B98" s="114">
        <v>29</v>
      </c>
      <c r="C98" s="32" t="str">
        <f t="shared" si="36"/>
        <v>Auxiliary Systems (Fuel)</v>
      </c>
      <c r="D98" s="114">
        <f t="shared" si="37"/>
        <v>1</v>
      </c>
      <c r="E98" s="166">
        <f t="shared" si="38"/>
        <v>0.4</v>
      </c>
      <c r="O98" s="108"/>
      <c r="P98" s="108"/>
      <c r="Q98" s="113"/>
      <c r="R98" s="144"/>
      <c r="S98" s="144"/>
    </row>
    <row r="99" spans="2:19" x14ac:dyDescent="0.2">
      <c r="B99" s="114">
        <v>30</v>
      </c>
      <c r="C99" s="32" t="str">
        <f t="shared" si="36"/>
        <v>Auxiliary Systems (Compressed Air)</v>
      </c>
      <c r="D99" s="114">
        <f t="shared" si="37"/>
        <v>1</v>
      </c>
      <c r="E99" s="166">
        <f t="shared" si="38"/>
        <v>0.32</v>
      </c>
      <c r="O99" s="108"/>
      <c r="P99" s="108"/>
      <c r="Q99" s="113"/>
      <c r="R99" s="144"/>
      <c r="S99" s="144"/>
    </row>
    <row r="100" spans="2:19" x14ac:dyDescent="0.2">
      <c r="B100" s="114">
        <v>31</v>
      </c>
      <c r="C100" s="32" t="str">
        <f t="shared" si="36"/>
        <v>Spud System (Spud Sheaves)</v>
      </c>
      <c r="D100" s="114">
        <f t="shared" si="37"/>
        <v>0</v>
      </c>
      <c r="E100" s="166">
        <f t="shared" si="38"/>
        <v>0</v>
      </c>
      <c r="O100" s="108"/>
      <c r="P100" s="108"/>
      <c r="Q100" s="113"/>
      <c r="R100" s="144"/>
      <c r="S100" s="144"/>
    </row>
    <row r="101" spans="2:19" x14ac:dyDescent="0.2">
      <c r="B101" s="114">
        <v>32</v>
      </c>
      <c r="C101" s="32" t="str">
        <f t="shared" si="36"/>
        <v>Main / Aux. Generators (Auxiliary Generator)</v>
      </c>
      <c r="D101" s="114">
        <f t="shared" si="37"/>
        <v>0</v>
      </c>
      <c r="E101" s="166">
        <f t="shared" si="38"/>
        <v>0</v>
      </c>
      <c r="O101" s="108"/>
      <c r="P101" s="108"/>
      <c r="Q101" s="113"/>
      <c r="R101" s="144"/>
      <c r="S101" s="144"/>
    </row>
    <row r="102" spans="2:19" x14ac:dyDescent="0.2">
      <c r="B102" s="114">
        <v>33</v>
      </c>
      <c r="C102" s="32" t="str">
        <f t="shared" si="36"/>
        <v>Electrical/Electronics (Navigation Lights)</v>
      </c>
      <c r="D102" s="114">
        <f t="shared" si="37"/>
        <v>0</v>
      </c>
      <c r="E102" s="166">
        <f t="shared" si="38"/>
        <v>0</v>
      </c>
      <c r="O102" s="108"/>
      <c r="P102" s="108"/>
      <c r="Q102" s="113"/>
      <c r="R102" s="144"/>
      <c r="S102" s="144"/>
    </row>
    <row r="103" spans="2:19" x14ac:dyDescent="0.2">
      <c r="B103" s="114">
        <v>34</v>
      </c>
      <c r="C103" s="32" t="str">
        <f t="shared" si="36"/>
        <v>Crane Boom (Penant Wire)</v>
      </c>
      <c r="D103" s="114">
        <f t="shared" si="37"/>
        <v>0</v>
      </c>
      <c r="E103" s="166">
        <f t="shared" si="38"/>
        <v>0</v>
      </c>
      <c r="O103" s="32"/>
      <c r="P103" s="108"/>
      <c r="Q103" s="113"/>
      <c r="R103" s="144"/>
      <c r="S103" s="144"/>
    </row>
    <row r="104" spans="2:19" x14ac:dyDescent="0.2">
      <c r="B104" s="114">
        <v>35</v>
      </c>
      <c r="C104" s="32" t="str">
        <f t="shared" si="36"/>
        <v>Crane Boom (Boom Wires)</v>
      </c>
      <c r="D104" s="114">
        <f t="shared" si="37"/>
        <v>0</v>
      </c>
      <c r="E104" s="166">
        <f t="shared" si="38"/>
        <v>0</v>
      </c>
      <c r="O104" s="32"/>
      <c r="P104" s="108"/>
      <c r="Q104" s="113"/>
      <c r="R104" s="144"/>
      <c r="S104" s="144"/>
    </row>
    <row r="105" spans="2:19" x14ac:dyDescent="0.2">
      <c r="B105" s="114">
        <v>36</v>
      </c>
      <c r="C105" s="32" t="str">
        <f t="shared" si="36"/>
        <v>Crane Boom (Boom / Gantry Structure)</v>
      </c>
      <c r="D105" s="114">
        <f t="shared" si="37"/>
        <v>0</v>
      </c>
      <c r="E105" s="166">
        <f t="shared" si="38"/>
        <v>0</v>
      </c>
      <c r="O105" s="32"/>
      <c r="P105" s="108"/>
      <c r="Q105" s="113"/>
      <c r="R105" s="144"/>
      <c r="S105" s="144"/>
    </row>
    <row r="106" spans="2:19" x14ac:dyDescent="0.2">
      <c r="B106" s="114">
        <v>37</v>
      </c>
      <c r="C106" s="32" t="str">
        <f t="shared" si="36"/>
        <v>Auxiliary Systems (Sanitary System)</v>
      </c>
      <c r="D106" s="114">
        <f t="shared" si="37"/>
        <v>0</v>
      </c>
      <c r="E106" s="166">
        <f t="shared" si="38"/>
        <v>0</v>
      </c>
      <c r="O106" s="32"/>
      <c r="P106" s="113"/>
      <c r="Q106" s="113"/>
      <c r="R106" s="113"/>
      <c r="S106" s="113"/>
    </row>
    <row r="107" spans="2:19" x14ac:dyDescent="0.2">
      <c r="B107" s="114">
        <v>38</v>
      </c>
      <c r="C107" s="32" t="str">
        <f t="shared" si="36"/>
        <v>Auxiliary Systems (Potable Water)</v>
      </c>
      <c r="D107" s="114">
        <f t="shared" si="37"/>
        <v>0</v>
      </c>
      <c r="E107" s="166">
        <f t="shared" si="38"/>
        <v>0</v>
      </c>
      <c r="O107" s="32"/>
      <c r="P107" s="113"/>
      <c r="Q107" s="113"/>
      <c r="R107" s="113"/>
      <c r="S107" s="113"/>
    </row>
    <row r="108" spans="2:19" x14ac:dyDescent="0.2">
      <c r="B108" s="114">
        <v>39</v>
      </c>
      <c r="C108" s="32" t="str">
        <f t="shared" si="36"/>
        <v>Auxiliary Systems (Fire Main)</v>
      </c>
      <c r="D108" s="114">
        <f t="shared" si="37"/>
        <v>0</v>
      </c>
      <c r="E108" s="166">
        <f t="shared" si="38"/>
        <v>0</v>
      </c>
    </row>
    <row r="109" spans="2:19" x14ac:dyDescent="0.2">
      <c r="B109" s="114">
        <v>40</v>
      </c>
      <c r="C109" s="32" t="str">
        <f t="shared" si="36"/>
        <v>Auxiliary Systems (Deck Crane)</v>
      </c>
      <c r="D109" s="114">
        <f t="shared" si="37"/>
        <v>0</v>
      </c>
      <c r="E109" s="166">
        <f t="shared" si="38"/>
        <v>0</v>
      </c>
    </row>
    <row r="110" spans="2:19" x14ac:dyDescent="0.2">
      <c r="B110" s="114"/>
      <c r="C110" s="32"/>
      <c r="D110" s="114"/>
      <c r="E110" s="114"/>
    </row>
    <row r="111" spans="2:19" x14ac:dyDescent="0.2">
      <c r="B111" s="114"/>
      <c r="C111" s="32"/>
      <c r="D111" s="114"/>
      <c r="E111" s="114"/>
    </row>
    <row r="112" spans="2:19" x14ac:dyDescent="0.2">
      <c r="B112" s="114"/>
      <c r="C112" s="32"/>
      <c r="D112" s="114"/>
      <c r="E112" s="114"/>
    </row>
    <row r="113" spans="2:5" x14ac:dyDescent="0.2">
      <c r="B113" s="114"/>
      <c r="C113" s="32"/>
      <c r="D113" s="114"/>
      <c r="E113" s="114"/>
    </row>
    <row r="114" spans="2:5" x14ac:dyDescent="0.2">
      <c r="B114" s="114"/>
      <c r="C114" s="32"/>
      <c r="D114" s="114"/>
      <c r="E114" s="114"/>
    </row>
    <row r="115" spans="2:5" x14ac:dyDescent="0.2">
      <c r="B115" s="114"/>
      <c r="C115" s="32"/>
      <c r="D115" s="114"/>
      <c r="E115" s="114"/>
    </row>
  </sheetData>
  <mergeCells count="7">
    <mergeCell ref="AB1:AC1"/>
    <mergeCell ref="O46:Q46"/>
    <mergeCell ref="Q52:S52"/>
    <mergeCell ref="O1:Q1"/>
    <mergeCell ref="R1:S1"/>
    <mergeCell ref="U1:V1"/>
    <mergeCell ref="X1:Y1"/>
  </mergeCells>
  <pageMargins left="0.75" right="0.75" top="0.5" bottom="0.5" header="0.5" footer="0.25"/>
  <pageSetup scale="64"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Mech Summary</vt:lpstr>
      <vt:lpstr>Costs</vt:lpstr>
      <vt:lpstr>53 count</vt:lpstr>
      <vt:lpstr>53 hrs</vt:lpstr>
      <vt:lpstr>54 count</vt:lpstr>
      <vt:lpstr>54 hrs</vt:lpstr>
      <vt:lpstr>55 count</vt:lpstr>
      <vt:lpstr>55 hrs</vt:lpstr>
      <vt:lpstr>58 count</vt:lpstr>
      <vt:lpstr>58 hrs</vt:lpstr>
      <vt:lpstr>NY count</vt:lpstr>
      <vt:lpstr>NY hrs</vt:lpstr>
      <vt:lpstr>'53 count'!Print_Area</vt:lpstr>
      <vt:lpstr>'53 hrs'!Print_Area</vt:lpstr>
      <vt:lpstr>'54 count'!Print_Area</vt:lpstr>
      <vt:lpstr>'54 hrs'!Print_Area</vt:lpstr>
      <vt:lpstr>'55 count'!Print_Area</vt:lpstr>
      <vt:lpstr>'55 hrs'!Print_Area</vt:lpstr>
      <vt:lpstr>'58 count'!Print_Area</vt:lpstr>
      <vt:lpstr>'58 hrs'!Print_Area</vt:lpstr>
      <vt:lpstr>'Mech Summary'!Print_Area</vt:lpstr>
      <vt:lpstr>'NY count'!Print_Area</vt:lpstr>
      <vt:lpstr>'NY hrs'!Print_Area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Pareto Chart Template</dc:title>
  <dc:creator>Vertex42.com</dc:creator>
  <dc:description>(c) 2009-2018 Vertex42 LLC. All Rights Reserved.</dc:description>
  <cp:lastModifiedBy>Parks, Daniel</cp:lastModifiedBy>
  <cp:lastPrinted>2020-10-01T18:43:57Z</cp:lastPrinted>
  <dcterms:created xsi:type="dcterms:W3CDTF">2011-11-15T23:24:13Z</dcterms:created>
  <dcterms:modified xsi:type="dcterms:W3CDTF">2021-01-19T17:53:00Z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Source">
    <vt:lpwstr>https://www.vertex42.com/ExcelTemplates/pareto-chart.html</vt:lpwstr>
  </property>
  <property fmtid="{D5CDD505-2E9C-101B-9397-08002B2CF9AE}" pid="4" name="Version">
    <vt:lpwstr>1.1.1</vt:lpwstr>
  </property>
</Properties>
</file>