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PycharmProjects\mpldxf\mpldxf\"/>
    </mc:Choice>
  </mc:AlternateContent>
  <xr:revisionPtr revIDLastSave="0" documentId="13_ncr:1_{EF426C58-4302-4826-9D15-2072C283742D}" xr6:coauthVersionLast="47" xr6:coauthVersionMax="47" xr10:uidLastSave="{00000000-0000-0000-0000-000000000000}"/>
  <bookViews>
    <workbookView xWindow="-120" yWindow="-120" windowWidth="29040" windowHeight="15840" xr2:uid="{A632E8F5-E927-4373-A4A6-36EC00DE6F42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Q3" i="1"/>
  <c r="M3" i="1"/>
  <c r="O3" i="1" s="1"/>
  <c r="N3" i="1"/>
  <c r="R4" i="1"/>
  <c r="S4" i="1" s="1"/>
  <c r="R5" i="1"/>
  <c r="R6" i="1"/>
  <c r="R7" i="1"/>
  <c r="R8" i="1"/>
  <c r="R9" i="1"/>
  <c r="R10" i="1"/>
  <c r="R11" i="1"/>
  <c r="R12" i="1"/>
  <c r="S12" i="1" s="1"/>
  <c r="R13" i="1"/>
  <c r="R14" i="1"/>
  <c r="R15" i="1"/>
  <c r="R16" i="1"/>
  <c r="R17" i="1"/>
  <c r="R18" i="1"/>
  <c r="R19" i="1"/>
  <c r="R20" i="1"/>
  <c r="S20" i="1" s="1"/>
  <c r="R21" i="1"/>
  <c r="R22" i="1"/>
  <c r="R23" i="1"/>
  <c r="R24" i="1"/>
  <c r="R25" i="1"/>
  <c r="R26" i="1"/>
  <c r="R27" i="1"/>
  <c r="R28" i="1"/>
  <c r="S28" i="1" s="1"/>
  <c r="R29" i="1"/>
  <c r="R30" i="1"/>
  <c r="R31" i="1"/>
  <c r="R32" i="1"/>
  <c r="R33" i="1"/>
  <c r="R34" i="1"/>
  <c r="R35" i="1"/>
  <c r="R36" i="1"/>
  <c r="S36" i="1" s="1"/>
  <c r="R37" i="1"/>
  <c r="S37" i="1" s="1"/>
  <c r="R38" i="1"/>
  <c r="R39" i="1"/>
  <c r="R40" i="1"/>
  <c r="R41" i="1"/>
  <c r="R42" i="1"/>
  <c r="R4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J5" i="1"/>
  <c r="K5" i="1"/>
  <c r="L5" i="1"/>
  <c r="M5" i="1"/>
  <c r="O5" i="1" s="1"/>
  <c r="P5" i="1" s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O8" i="1" s="1"/>
  <c r="N8" i="1"/>
  <c r="J9" i="1"/>
  <c r="K9" i="1"/>
  <c r="L9" i="1"/>
  <c r="M9" i="1"/>
  <c r="O9" i="1" s="1"/>
  <c r="N9" i="1"/>
  <c r="J10" i="1"/>
  <c r="K10" i="1"/>
  <c r="L10" i="1"/>
  <c r="M10" i="1"/>
  <c r="O10" i="1" s="1"/>
  <c r="P10" i="1" s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O13" i="1" s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O16" i="1" s="1"/>
  <c r="P16" i="1" s="1"/>
  <c r="N16" i="1"/>
  <c r="J17" i="1"/>
  <c r="K17" i="1"/>
  <c r="L17" i="1"/>
  <c r="M17" i="1"/>
  <c r="O17" i="1" s="1"/>
  <c r="N17" i="1"/>
  <c r="J18" i="1"/>
  <c r="K18" i="1"/>
  <c r="L18" i="1"/>
  <c r="M18" i="1"/>
  <c r="O18" i="1" s="1"/>
  <c r="P18" i="1" s="1"/>
  <c r="N18" i="1"/>
  <c r="J19" i="1"/>
  <c r="K19" i="1"/>
  <c r="L19" i="1"/>
  <c r="M19" i="1"/>
  <c r="O19" i="1" s="1"/>
  <c r="N19" i="1"/>
  <c r="J20" i="1"/>
  <c r="K20" i="1"/>
  <c r="L20" i="1"/>
  <c r="M20" i="1"/>
  <c r="O20" i="1" s="1"/>
  <c r="N20" i="1"/>
  <c r="J21" i="1"/>
  <c r="K21" i="1"/>
  <c r="L21" i="1"/>
  <c r="M21" i="1"/>
  <c r="O21" i="1" s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O24" i="1" s="1"/>
  <c r="P24" i="1" s="1"/>
  <c r="N24" i="1"/>
  <c r="J25" i="1"/>
  <c r="K25" i="1"/>
  <c r="L25" i="1"/>
  <c r="M25" i="1"/>
  <c r="O25" i="1" s="1"/>
  <c r="N25" i="1"/>
  <c r="J26" i="1"/>
  <c r="K26" i="1"/>
  <c r="L26" i="1"/>
  <c r="M26" i="1"/>
  <c r="O26" i="1" s="1"/>
  <c r="P26" i="1" s="1"/>
  <c r="N26" i="1"/>
  <c r="J27" i="1"/>
  <c r="K27" i="1"/>
  <c r="L27" i="1"/>
  <c r="M27" i="1"/>
  <c r="O27" i="1" s="1"/>
  <c r="N27" i="1"/>
  <c r="J28" i="1"/>
  <c r="K28" i="1"/>
  <c r="L28" i="1"/>
  <c r="M28" i="1"/>
  <c r="O28" i="1" s="1"/>
  <c r="P28" i="1" s="1"/>
  <c r="N28" i="1"/>
  <c r="J29" i="1"/>
  <c r="K29" i="1"/>
  <c r="L29" i="1"/>
  <c r="M29" i="1"/>
  <c r="O29" i="1" s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O32" i="1" s="1"/>
  <c r="P32" i="1" s="1"/>
  <c r="N32" i="1"/>
  <c r="J33" i="1"/>
  <c r="K33" i="1"/>
  <c r="L33" i="1"/>
  <c r="M33" i="1"/>
  <c r="O33" i="1" s="1"/>
  <c r="N33" i="1"/>
  <c r="J34" i="1"/>
  <c r="K34" i="1"/>
  <c r="L34" i="1"/>
  <c r="M34" i="1"/>
  <c r="N34" i="1"/>
  <c r="J35" i="1"/>
  <c r="K35" i="1"/>
  <c r="L35" i="1"/>
  <c r="M35" i="1"/>
  <c r="O35" i="1" s="1"/>
  <c r="N35" i="1"/>
  <c r="J36" i="1"/>
  <c r="K36" i="1"/>
  <c r="L36" i="1"/>
  <c r="M36" i="1"/>
  <c r="O36" i="1" s="1"/>
  <c r="P36" i="1" s="1"/>
  <c r="N36" i="1"/>
  <c r="J37" i="1"/>
  <c r="K37" i="1"/>
  <c r="L37" i="1"/>
  <c r="M37" i="1"/>
  <c r="O37" i="1" s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O40" i="1" s="1"/>
  <c r="P40" i="1" s="1"/>
  <c r="N40" i="1"/>
  <c r="J41" i="1"/>
  <c r="K41" i="1"/>
  <c r="L41" i="1"/>
  <c r="M41" i="1"/>
  <c r="O41" i="1" s="1"/>
  <c r="N41" i="1"/>
  <c r="J42" i="1"/>
  <c r="K42" i="1"/>
  <c r="L42" i="1"/>
  <c r="M42" i="1"/>
  <c r="O42" i="1" s="1"/>
  <c r="N42" i="1"/>
  <c r="J43" i="1"/>
  <c r="K43" i="1"/>
  <c r="L43" i="1"/>
  <c r="M43" i="1"/>
  <c r="O43" i="1" s="1"/>
  <c r="N43" i="1"/>
  <c r="K4" i="1"/>
  <c r="L4" i="1"/>
  <c r="M4" i="1"/>
  <c r="O4" i="1" s="1"/>
  <c r="N4" i="1"/>
  <c r="L3" i="1"/>
  <c r="I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3" i="1"/>
  <c r="K3" i="1"/>
  <c r="I3" i="1"/>
  <c r="S29" i="1" l="1"/>
  <c r="S21" i="1"/>
  <c r="S13" i="1"/>
  <c r="P8" i="1"/>
  <c r="S5" i="1"/>
  <c r="S38" i="1"/>
  <c r="S30" i="1"/>
  <c r="S22" i="1"/>
  <c r="S14" i="1"/>
  <c r="S6" i="1"/>
  <c r="S43" i="1"/>
  <c r="S35" i="1"/>
  <c r="S27" i="1"/>
  <c r="S19" i="1"/>
  <c r="S11" i="1"/>
  <c r="S42" i="1"/>
  <c r="S34" i="1"/>
  <c r="S26" i="1"/>
  <c r="S18" i="1"/>
  <c r="S10" i="1"/>
  <c r="S41" i="1"/>
  <c r="S33" i="1"/>
  <c r="S25" i="1"/>
  <c r="S17" i="1"/>
  <c r="S9" i="1"/>
  <c r="S40" i="1"/>
  <c r="S32" i="1"/>
  <c r="S24" i="1"/>
  <c r="S16" i="1"/>
  <c r="S8" i="1"/>
  <c r="S3" i="1"/>
  <c r="S39" i="1"/>
  <c r="S31" i="1"/>
  <c r="S23" i="1"/>
  <c r="S15" i="1"/>
  <c r="S7" i="1"/>
  <c r="P37" i="1"/>
  <c r="P29" i="1"/>
  <c r="P21" i="1"/>
  <c r="P13" i="1"/>
  <c r="P27" i="1"/>
  <c r="P19" i="1"/>
  <c r="P35" i="1"/>
  <c r="P43" i="1"/>
  <c r="P4" i="1"/>
  <c r="P41" i="1"/>
  <c r="P33" i="1"/>
  <c r="P25" i="1"/>
  <c r="P17" i="1"/>
  <c r="P9" i="1"/>
  <c r="P20" i="1"/>
  <c r="T12" i="1"/>
  <c r="V12" i="1" s="1"/>
  <c r="P3" i="1"/>
  <c r="T39" i="1"/>
  <c r="T31" i="1"/>
  <c r="U31" i="1" s="1"/>
  <c r="T23" i="1"/>
  <c r="V23" i="1" s="1"/>
  <c r="T15" i="1"/>
  <c r="V15" i="1" s="1"/>
  <c r="T7" i="1"/>
  <c r="V7" i="1" s="1"/>
  <c r="P42" i="1"/>
  <c r="T38" i="1"/>
  <c r="U38" i="1" s="1"/>
  <c r="T30" i="1"/>
  <c r="U30" i="1" s="1"/>
  <c r="T22" i="1"/>
  <c r="V22" i="1" s="1"/>
  <c r="T14" i="1"/>
  <c r="V14" i="1" s="1"/>
  <c r="T6" i="1"/>
  <c r="U6" i="1" s="1"/>
  <c r="T42" i="1"/>
  <c r="U42" i="1" s="1"/>
  <c r="T34" i="1"/>
  <c r="V34" i="1" s="1"/>
  <c r="T26" i="1"/>
  <c r="U26" i="1" s="1"/>
  <c r="T18" i="1"/>
  <c r="V18" i="1" s="1"/>
  <c r="O34" i="1"/>
  <c r="P34" i="1" s="1"/>
  <c r="T11" i="1"/>
  <c r="U11" i="1" s="1"/>
  <c r="O39" i="1"/>
  <c r="P39" i="1" s="1"/>
  <c r="O31" i="1"/>
  <c r="P31" i="1" s="1"/>
  <c r="O23" i="1"/>
  <c r="P23" i="1" s="1"/>
  <c r="O15" i="1"/>
  <c r="P15" i="1" s="1"/>
  <c r="O7" i="1"/>
  <c r="P7" i="1" s="1"/>
  <c r="O38" i="1"/>
  <c r="P38" i="1" s="1"/>
  <c r="O30" i="1"/>
  <c r="P30" i="1" s="1"/>
  <c r="O22" i="1"/>
  <c r="P22" i="1" s="1"/>
  <c r="O14" i="1"/>
  <c r="P14" i="1" s="1"/>
  <c r="O6" i="1"/>
  <c r="P6" i="1" s="1"/>
  <c r="O12" i="1"/>
  <c r="P12" i="1" s="1"/>
  <c r="O11" i="1"/>
  <c r="P11" i="1" s="1"/>
  <c r="T41" i="1"/>
  <c r="V41" i="1" s="1"/>
  <c r="T33" i="1"/>
  <c r="U33" i="1" s="1"/>
  <c r="T25" i="1"/>
  <c r="U25" i="1" s="1"/>
  <c r="T10" i="1"/>
  <c r="V10" i="1" s="1"/>
  <c r="T37" i="1"/>
  <c r="U37" i="1" s="1"/>
  <c r="T29" i="1"/>
  <c r="U29" i="1" s="1"/>
  <c r="T21" i="1"/>
  <c r="U21" i="1" s="1"/>
  <c r="T13" i="1"/>
  <c r="U13" i="1" s="1"/>
  <c r="T5" i="1"/>
  <c r="U5" i="1" s="1"/>
  <c r="T40" i="1"/>
  <c r="V40" i="1" s="1"/>
  <c r="T32" i="1"/>
  <c r="V32" i="1" s="1"/>
  <c r="T17" i="1"/>
  <c r="U17" i="1" s="1"/>
  <c r="T4" i="1"/>
  <c r="U4" i="1" s="1"/>
  <c r="T24" i="1"/>
  <c r="V24" i="1" s="1"/>
  <c r="T16" i="1"/>
  <c r="V16" i="1" s="1"/>
  <c r="T8" i="1"/>
  <c r="U8" i="1" s="1"/>
  <c r="T43" i="1"/>
  <c r="U43" i="1" s="1"/>
  <c r="T35" i="1"/>
  <c r="U35" i="1" s="1"/>
  <c r="T27" i="1"/>
  <c r="V27" i="1" s="1"/>
  <c r="T19" i="1"/>
  <c r="U19" i="1" s="1"/>
  <c r="T3" i="1"/>
  <c r="U3" i="1" s="1"/>
  <c r="T9" i="1"/>
  <c r="V9" i="1" s="1"/>
  <c r="T36" i="1"/>
  <c r="U36" i="1" s="1"/>
  <c r="T28" i="1"/>
  <c r="U28" i="1" s="1"/>
  <c r="T20" i="1"/>
  <c r="U20" i="1" s="1"/>
  <c r="U40" i="1"/>
  <c r="U39" i="1"/>
  <c r="V39" i="1"/>
  <c r="U22" i="1"/>
  <c r="V38" i="1"/>
  <c r="V30" i="1"/>
  <c r="U7" i="1"/>
  <c r="U34" i="1"/>
  <c r="U10" i="1"/>
  <c r="U15" i="1" l="1"/>
  <c r="V37" i="1"/>
  <c r="V31" i="1"/>
  <c r="V11" i="1"/>
  <c r="U14" i="1"/>
  <c r="V26" i="1"/>
  <c r="U12" i="1"/>
  <c r="V42" i="1"/>
  <c r="V5" i="1"/>
  <c r="U18" i="1"/>
  <c r="U24" i="1"/>
  <c r="V6" i="1"/>
  <c r="U23" i="1"/>
  <c r="V4" i="1"/>
  <c r="V25" i="1"/>
  <c r="V29" i="1"/>
  <c r="V13" i="1"/>
  <c r="V21" i="1"/>
  <c r="V28" i="1"/>
  <c r="V8" i="1"/>
  <c r="V3" i="1"/>
  <c r="V20" i="1"/>
  <c r="V17" i="1"/>
  <c r="V33" i="1"/>
  <c r="U41" i="1"/>
  <c r="V36" i="1"/>
  <c r="V43" i="1"/>
  <c r="U32" i="1"/>
  <c r="V19" i="1"/>
  <c r="V35" i="1"/>
  <c r="U16" i="1"/>
  <c r="U9" i="1"/>
  <c r="U27" i="1"/>
</calcChain>
</file>

<file path=xl/sharedStrings.xml><?xml version="1.0" encoding="utf-8"?>
<sst xmlns="http://schemas.openxmlformats.org/spreadsheetml/2006/main" count="25" uniqueCount="25">
  <si>
    <t>angle</t>
  </si>
  <si>
    <t>x</t>
  </si>
  <si>
    <t>y</t>
  </si>
  <si>
    <t>dx</t>
  </si>
  <si>
    <t>dy</t>
  </si>
  <si>
    <t>dash_solid</t>
  </si>
  <si>
    <t>dash_gap</t>
  </si>
  <si>
    <t>cos angle</t>
  </si>
  <si>
    <t>sin angle</t>
  </si>
  <si>
    <t>dash total</t>
  </si>
  <si>
    <t>dash total x</t>
  </si>
  <si>
    <t>dash total y</t>
  </si>
  <si>
    <t>units in mm?</t>
  </si>
  <si>
    <t>units in inches?</t>
  </si>
  <si>
    <t>xo</t>
  </si>
  <si>
    <t>yo</t>
  </si>
  <si>
    <t>dxo</t>
  </si>
  <si>
    <t>dyo</t>
  </si>
  <si>
    <t>dash_solido</t>
  </si>
  <si>
    <t>dash_gapo</t>
  </si>
  <si>
    <t>angleo</t>
  </si>
  <si>
    <t>calculations</t>
  </si>
  <si>
    <t>dash_gap_calc</t>
  </si>
  <si>
    <t>dash_gap_calc ratio</t>
  </si>
  <si>
    <t>sin angle / 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</si>
</sst>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4" formatCode="0.0000"/>
    </dxf>
    <dxf>
      <numFmt numFmtId="164" formatCode="0.0000"/>
      <fill>
        <patternFill patternType="none">
          <fgColor indexed="64"/>
          <bgColor auto="1"/>
        </patternFill>
      </fill>
    </dxf>
    <dxf>
      <numFmt numFmtId="164" formatCode="0.0000"/>
      <fill>
        <patternFill patternType="none">
          <fgColor indexed="64"/>
          <bgColor auto="1"/>
        </patternFill>
      </fill>
    </dxf>
    <dxf>
      <numFmt numFmtId="164" formatCode="0.0000"/>
    </dxf>
    <dxf>
      <numFmt numFmtId="0" formatCode="General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Sheet1!$L$3:$L$43</c:f>
              <c:numCache>
                <c:formatCode>General</c:formatCode>
                <c:ptCount val="41"/>
                <c:pt idx="0">
                  <c:v>7.4329414663385829E-2</c:v>
                </c:pt>
                <c:pt idx="1">
                  <c:v>4.331480815905512E-2</c:v>
                </c:pt>
                <c:pt idx="2">
                  <c:v>6.142951168307087E-2</c:v>
                </c:pt>
                <c:pt idx="3">
                  <c:v>4.7565149382677169E-2</c:v>
                </c:pt>
                <c:pt idx="4">
                  <c:v>4.8507125025984255E-2</c:v>
                </c:pt>
                <c:pt idx="5">
                  <c:v>4.7565149382677169E-2</c:v>
                </c:pt>
                <c:pt idx="6">
                  <c:v>3.5967500066535436E-2</c:v>
                </c:pt>
                <c:pt idx="7">
                  <c:v>3.8096965905118116E-2</c:v>
                </c:pt>
                <c:pt idx="8">
                  <c:v>4.7404546271653546E-2</c:v>
                </c:pt>
                <c:pt idx="9">
                  <c:v>8.3045479801181099E-2</c:v>
                </c:pt>
                <c:pt idx="10">
                  <c:v>3.2108064811417328E-2</c:v>
                </c:pt>
                <c:pt idx="11">
                  <c:v>9.4072086885039388E-2</c:v>
                </c:pt>
                <c:pt idx="12">
                  <c:v>4.9446817631496068E-2</c:v>
                </c:pt>
                <c:pt idx="13">
                  <c:v>0.70710678118661419</c:v>
                </c:pt>
                <c:pt idx="14">
                  <c:v>0.13130643289291341</c:v>
                </c:pt>
                <c:pt idx="15">
                  <c:v>0.18569533815787403</c:v>
                </c:pt>
                <c:pt idx="16">
                  <c:v>0.17149858514094488</c:v>
                </c:pt>
                <c:pt idx="17">
                  <c:v>0.3162277660137795</c:v>
                </c:pt>
                <c:pt idx="18">
                  <c:v>5.6433264804724409E-2</c:v>
                </c:pt>
                <c:pt idx="19">
                  <c:v>6.7267279390157489E-2</c:v>
                </c:pt>
                <c:pt idx="20">
                  <c:v>0.13130643289291341</c:v>
                </c:pt>
                <c:pt idx="21">
                  <c:v>5.6433264803149606E-2</c:v>
                </c:pt>
                <c:pt idx="22">
                  <c:v>0.11704114715708662</c:v>
                </c:pt>
                <c:pt idx="23">
                  <c:v>6.9843029612204732E-2</c:v>
                </c:pt>
                <c:pt idx="24">
                  <c:v>0.13130643285511812</c:v>
                </c:pt>
                <c:pt idx="25">
                  <c:v>5.9654998636220473E-2</c:v>
                </c:pt>
                <c:pt idx="26">
                  <c:v>0.11704114719448819</c:v>
                </c:pt>
                <c:pt idx="27">
                  <c:v>0.19611613513976381</c:v>
                </c:pt>
                <c:pt idx="28">
                  <c:v>0.24253562503228349</c:v>
                </c:pt>
                <c:pt idx="29">
                  <c:v>5.2342392172440945E-2</c:v>
                </c:pt>
                <c:pt idx="30">
                  <c:v>0.27735009811417327</c:v>
                </c:pt>
                <c:pt idx="31">
                  <c:v>3.9715073649606303E-2</c:v>
                </c:pt>
                <c:pt idx="32">
                  <c:v>9.7128586232677172E-2</c:v>
                </c:pt>
                <c:pt idx="33">
                  <c:v>1</c:v>
                </c:pt>
                <c:pt idx="34">
                  <c:v>7.1981575141732285E-2</c:v>
                </c:pt>
                <c:pt idx="35">
                  <c:v>7.4329414621259846E-2</c:v>
                </c:pt>
                <c:pt idx="36">
                  <c:v>1</c:v>
                </c:pt>
                <c:pt idx="37">
                  <c:v>-6.3245553251968512E-2</c:v>
                </c:pt>
                <c:pt idx="38">
                  <c:v>0.13736056395433072</c:v>
                </c:pt>
                <c:pt idx="39">
                  <c:v>4.2182453962992132E-2</c:v>
                </c:pt>
                <c:pt idx="40">
                  <c:v>3.9872611164173226E-2</c:v>
                </c:pt>
              </c:numCache>
            </c:numRef>
          </c:xVal>
          <c:yVal>
            <c:numRef>
              <c:f>Sheet1!$T$3:$T$43</c:f>
              <c:numCache>
                <c:formatCode>0.000</c:formatCode>
                <c:ptCount val="41"/>
                <c:pt idx="0">
                  <c:v>13.453624047072836</c:v>
                </c:pt>
                <c:pt idx="1">
                  <c:v>23.086792761229923</c:v>
                </c:pt>
                <c:pt idx="2">
                  <c:v>16.278820596102364</c:v>
                </c:pt>
                <c:pt idx="3">
                  <c:v>21.023796041629137</c:v>
                </c:pt>
                <c:pt idx="4">
                  <c:v>20.61552812808819</c:v>
                </c:pt>
                <c:pt idx="5">
                  <c:v>21.023796041629137</c:v>
                </c:pt>
                <c:pt idx="6">
                  <c:v>27.802877548916143</c:v>
                </c:pt>
                <c:pt idx="7">
                  <c:v>26.248809496812996</c:v>
                </c:pt>
                <c:pt idx="8">
                  <c:v>21.095023109729134</c:v>
                </c:pt>
                <c:pt idx="9">
                  <c:v>12.041594578740158</c:v>
                </c:pt>
                <c:pt idx="10">
                  <c:v>31.144823004794095</c:v>
                </c:pt>
                <c:pt idx="11">
                  <c:v>10.63014581273386</c:v>
                </c:pt>
                <c:pt idx="12">
                  <c:v>20.223748416157481</c:v>
                </c:pt>
                <c:pt idx="13">
                  <c:v>1.4142135623732284</c:v>
                </c:pt>
                <c:pt idx="14">
                  <c:v>7.6157731058637799</c:v>
                </c:pt>
                <c:pt idx="15">
                  <c:v>5.385164807086614</c:v>
                </c:pt>
                <c:pt idx="16">
                  <c:v>5.8309518948464563</c:v>
                </c:pt>
                <c:pt idx="17">
                  <c:v>3.1622776601685039</c:v>
                </c:pt>
                <c:pt idx="18">
                  <c:v>17.720045146668898</c:v>
                </c:pt>
                <c:pt idx="19">
                  <c:v>14.866068747322835</c:v>
                </c:pt>
                <c:pt idx="20">
                  <c:v>7.6157731058637799</c:v>
                </c:pt>
                <c:pt idx="21">
                  <c:v>17.720045146669293</c:v>
                </c:pt>
                <c:pt idx="22">
                  <c:v>8.5440037453173243</c:v>
                </c:pt>
                <c:pt idx="23">
                  <c:v>14.317821063275593</c:v>
                </c:pt>
                <c:pt idx="24">
                  <c:v>7.6157731058637799</c:v>
                </c:pt>
                <c:pt idx="25">
                  <c:v>16.763054614251967</c:v>
                </c:pt>
                <c:pt idx="26">
                  <c:v>8.5440037453173243</c:v>
                </c:pt>
                <c:pt idx="27">
                  <c:v>5.0990195135929124</c:v>
                </c:pt>
                <c:pt idx="28">
                  <c:v>4.1231056256177165</c:v>
                </c:pt>
                <c:pt idx="29">
                  <c:v>19.104973174542128</c:v>
                </c:pt>
                <c:pt idx="30">
                  <c:v>3.6055512754645673</c:v>
                </c:pt>
                <c:pt idx="31">
                  <c:v>25.179356624027957</c:v>
                </c:pt>
                <c:pt idx="32">
                  <c:v>10.295630140988189</c:v>
                </c:pt>
                <c:pt idx="33">
                  <c:v>1</c:v>
                </c:pt>
                <c:pt idx="34">
                  <c:v>13.892443989448818</c:v>
                </c:pt>
                <c:pt idx="35">
                  <c:v>13.453624047072836</c:v>
                </c:pt>
                <c:pt idx="36">
                  <c:v>1</c:v>
                </c:pt>
                <c:pt idx="37">
                  <c:v>15.81138830084252</c:v>
                </c:pt>
                <c:pt idx="38">
                  <c:v>7.2801098892803155</c:v>
                </c:pt>
                <c:pt idx="39">
                  <c:v>23.706539182259057</c:v>
                </c:pt>
                <c:pt idx="40">
                  <c:v>25.079872407968505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1-4714-837F-00619FC5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14808"/>
        <c:axId val="635215464"/>
      </c:scatterChart>
      <c:valAx>
        <c:axId val="63521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5464"/>
        <c:crosses val="autoZero"/>
        <c:crossBetween val="midCat"/>
      </c:valAx>
      <c:valAx>
        <c:axId val="63521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567358</xdr:colOff>
      <xdr:row>4</xdr:row>
      <xdr:rowOff>119268</xdr:rowOff>
    </xdr:from>
    <xdr:to>
      <xdr:col>18</xdr:col>
      <xdr:colOff>592206</xdr:colOff>
      <xdr:row>17</xdr:row>
      <xdr:rowOff>170620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D59EF-BFA3-B065-86D1-35E3DB99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F9EA1-97C7-4683-9A1C-CCC2446C80F0}" name="Table1" displayName="Table1" ref="A2:V43" totalsRowShown="0" headerRowDxfId="11">
  <autoFilter ref="A2:V43" xr:uid="{569F9EA1-97C7-4683-9A1C-CCC2446C80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C18F127E-0909-4908-A646-8C32647D2955}" name="angleo" dataDxfId="10"/>
    <tableColumn id="2" xr3:uid="{41686CFC-C399-4040-87DF-20F99A16BB76}" name="xo"/>
    <tableColumn id="3" xr3:uid="{7D193B2C-716B-43F2-8EF4-072CEA16877C}" name="yo"/>
    <tableColumn id="4" xr3:uid="{B30E9F04-1212-43B5-97F9-AA611500CB82}" name="dxo"/>
    <tableColumn id="5" xr3:uid="{79F37B46-BCD2-429C-A3F2-7AFEFBE86910}" name="dyo"/>
    <tableColumn id="6" xr3:uid="{B3800E3B-1330-403B-8F94-7E949465440B}" name="dash_solido"/>
    <tableColumn id="7" xr3:uid="{380887B2-D34F-455D-933D-8D24898ED8B4}" name="dash_gapo" dataDxfId="9"/>
    <tableColumn id="21" xr3:uid="{AA386DC9-0594-4739-AF56-541D3814FB50}" name="angle" dataDxfId="8"/>
    <tableColumn id="20" xr3:uid="{CFB728F3-E392-4FC3-B30D-B79F3EEE91BF}" name="x">
      <calculatedColumnFormula>Table1[[#This Row],[xo]]/25.4</calculatedColumnFormula>
    </tableColumn>
    <tableColumn id="19" xr3:uid="{79FE8B3C-766A-4C36-9DCC-50133090B19D}" name="y">
      <calculatedColumnFormula>Table1[[#This Row],[yo]]/25.4</calculatedColumnFormula>
    </tableColumn>
    <tableColumn id="18" xr3:uid="{B3169245-31C3-47F5-B7A4-862CFCFE2310}" name="dx">
      <calculatedColumnFormula>Table1[[#This Row],[dxo]]/25.4</calculatedColumnFormula>
    </tableColumn>
    <tableColumn id="17" xr3:uid="{E09BCF71-D784-4BAD-A425-B4C7D5376882}" name="dy">
      <calculatedColumnFormula>Table1[[#This Row],[dyo]]/25.4</calculatedColumnFormula>
    </tableColumn>
    <tableColumn id="16" xr3:uid="{DC0BED2E-17D1-42A7-B2D7-6485B3720515}" name="dash_solid"/>
    <tableColumn id="15" xr3:uid="{0C87C863-31CC-4BF7-8CA5-C20F46C33F89}" name="dash_gap"/>
    <tableColumn id="11" xr3:uid="{1AF6E652-D9BC-428E-9BAF-6A65D9EC4F41}" name="dash_gap_calc" dataDxfId="7">
      <calculatedColumnFormula>-Table1[[#This Row],[dash_solid]]*99</calculatedColumnFormula>
    </tableColumn>
    <tableColumn id="14" xr3:uid="{9BD1B20C-95A9-4AA6-A507-3BE3DE0650D4}" name="dash_gap_calc ratio" dataDxfId="6">
      <calculatedColumnFormula>Table1[[#This Row],[dash_gap_calc]]/Table1[[#This Row],[dash_gap]]</calculatedColumnFormula>
    </tableColumn>
    <tableColumn id="9" xr3:uid="{CE91FBF0-2B42-4336-BB6D-C0F647AE1BA1}" name="cos angle" dataDxfId="5">
      <calculatedColumnFormula>COS(RADIANS(Table1[[#This Row],[angle]]))</calculatedColumnFormula>
    </tableColumn>
    <tableColumn id="10" xr3:uid="{7DC0187A-C718-4119-94A8-DA0D6B5F2D42}" name="sin angle" dataDxfId="4">
      <calculatedColumnFormula>SIN(RADIANS(Table1[[#This Row],[angle]]))</calculatedColumnFormula>
    </tableColumn>
    <tableColumn id="23" xr3:uid="{949AB842-2AFB-4DB6-AF93-3FEE18790825}" name="sin angle / dy" dataDxfId="3">
      <calculatedColumnFormula>Table1[[#This Row],[sin angle]]/Table1[[#This Row],[dy]]</calculatedColumnFormula>
    </tableColumn>
    <tableColumn id="8" xr3:uid="{3383C776-694F-4FDD-8BB8-96BE63695EAC}" name="dash total" dataDxfId="2">
      <calculatedColumnFormula>Table1[[#This Row],[dash_solid]]+-Table1[[#This Row],[dash_gap]]</calculatedColumnFormula>
    </tableColumn>
    <tableColumn id="12" xr3:uid="{3FDAF9CE-526D-4F8A-9293-B5C098543C0E}" name="dash total x" dataDxfId="1">
      <calculatedColumnFormula>Table1[[#This Row],[cos angle]]*Table1[[#This Row],[dash total]]</calculatedColumnFormula>
    </tableColumn>
    <tableColumn id="13" xr3:uid="{D519DBFA-EB12-4F41-8509-46A75C60B1D1}" name="dash total y" dataDxfId="0">
      <calculatedColumnFormula>Table1[[#This Row],[sin angle]]*Table1[[#This Row],[dash total]]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4DE2-837E-4D59-BDA3-F1166720A6C7}">
  <dimension ref="A1:V43"/>
  <sheetViews>
    <sheetView tabSelected="1" zoomScale="115" zoomScaleNormal="115" workbookViewId="0">
      <selection activeCell="O4" sqref="O4"/>
    </sheetView>
  </sheetViews>
  <sheetFormatPr defaultRowHeight="16.5" x14ac:dyDescent="0.3"/>
  <cols>
    <col min="6" max="6" width="12.85546875" customWidth="1"/>
    <col min="7" max="7" width="11.7109375" customWidth="1"/>
    <col min="13" max="13" width="12.85546875" customWidth="1"/>
    <col min="14" max="16" width="11.7109375" customWidth="1"/>
    <col min="17" max="17" width="11" customWidth="1"/>
    <col min="19" max="19" width="9.140625" customWidth="1"/>
    <col min="20" max="20" width="7.85546875" customWidth="1"/>
  </cols>
  <sheetData>
    <row r="1" spans="1:22" ht="17.25" thickBot="1" x14ac:dyDescent="0.35">
      <c r="A1" s="16" t="s">
        <v>12</v>
      </c>
      <c r="B1" s="16"/>
      <c r="C1" s="16"/>
      <c r="D1" s="16"/>
      <c r="E1" s="16"/>
      <c r="F1" s="16"/>
      <c r="G1" s="16"/>
      <c r="H1" s="16" t="s">
        <v>13</v>
      </c>
      <c r="I1" s="16"/>
      <c r="J1" s="16"/>
      <c r="K1" s="16"/>
      <c r="L1" s="16"/>
      <c r="M1" s="16"/>
      <c r="N1" s="16"/>
      <c r="O1" s="17" t="s">
        <v>21</v>
      </c>
      <c r="P1" s="17"/>
      <c r="Q1" s="17"/>
      <c r="R1" s="17"/>
      <c r="S1" s="17"/>
      <c r="T1" s="17"/>
      <c r="U1" s="17"/>
      <c r="V1" s="17"/>
    </row>
    <row r="2" spans="1:22" ht="33.75" thickBot="1" x14ac:dyDescent="0.35">
      <c r="A2" s="6" t="s">
        <v>20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8" t="s">
        <v>19</v>
      </c>
      <c r="H2" s="6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5</v>
      </c>
      <c r="N2" s="8" t="s">
        <v>6</v>
      </c>
      <c r="O2" s="9" t="s">
        <v>22</v>
      </c>
      <c r="P2" s="9" t="s">
        <v>23</v>
      </c>
      <c r="Q2" s="9" t="s">
        <v>7</v>
      </c>
      <c r="R2" s="9" t="s">
        <v>8</v>
      </c>
      <c r="S2" s="9" t="s">
        <v>24</v>
      </c>
      <c r="T2" s="9" t="s">
        <v>9</v>
      </c>
      <c r="U2" s="9" t="s">
        <v>10</v>
      </c>
      <c r="V2" s="9" t="s">
        <v>11</v>
      </c>
    </row>
    <row r="3" spans="1:22" x14ac:dyDescent="0.3">
      <c r="A3" s="1">
        <v>228.0127875</v>
      </c>
      <c r="B3">
        <v>18.288</v>
      </c>
      <c r="C3">
        <v>25.4</v>
      </c>
      <c r="D3">
        <v>305.85067529778001</v>
      </c>
      <c r="E3">
        <v>1.88796713245</v>
      </c>
      <c r="F3">
        <v>3.4172144000000002</v>
      </c>
      <c r="G3" s="2">
        <v>-338.30483639565</v>
      </c>
      <c r="H3" s="11">
        <v>228.0127875</v>
      </c>
      <c r="I3" s="12">
        <f>Table1[[#This Row],[xo]]/25.4</f>
        <v>0.72000000000000008</v>
      </c>
      <c r="J3" s="12">
        <f>Table1[[#This Row],[yo]]/25.4</f>
        <v>1</v>
      </c>
      <c r="K3" s="12">
        <f>Table1[[#This Row],[dxo]]/25.4</f>
        <v>12.041365169203939</v>
      </c>
      <c r="L3" s="12">
        <f>Table1[[#This Row],[dyo]]/25.4</f>
        <v>7.4329414663385829E-2</v>
      </c>
      <c r="M3" s="12">
        <f>Table1[[#This Row],[dash_solido]]/25.4</f>
        <v>0.13453600000000002</v>
      </c>
      <c r="N3" s="13">
        <f>Table1[[#This Row],[dash_gapo]]/25.4</f>
        <v>-13.319088047072835</v>
      </c>
      <c r="O3">
        <f>-Table1[[#This Row],[dash_solid]]*99</f>
        <v>-13.319064000000001</v>
      </c>
      <c r="P3" s="14">
        <f>Table1[[#This Row],[dash_gap_calc]]/Table1[[#This Row],[dash_gap]]</f>
        <v>0.99999819454059091</v>
      </c>
      <c r="Q3" s="14">
        <f>COS(RADIANS(Table1[[#This Row],[angle]]))</f>
        <v>-0.66896473167671988</v>
      </c>
      <c r="R3" s="14">
        <f>SIN(RADIANS(Table1[[#This Row],[angle]]))</f>
        <v>-0.74329414619832312</v>
      </c>
      <c r="S3" s="14">
        <f>Table1[[#This Row],[sin angle]]/Table1[[#This Row],[dy]]</f>
        <v>-9.9999999941404738</v>
      </c>
      <c r="T3" s="15">
        <f>Table1[[#This Row],[dash_solid]]+-Table1[[#This Row],[dash_gap]]</f>
        <v>13.453624047072836</v>
      </c>
      <c r="U3" s="10">
        <f>Table1[[#This Row],[cos angle]]*Table1[[#This Row],[dash total]]</f>
        <v>-9.0000000007295462</v>
      </c>
      <c r="V3" s="10">
        <f>Table1[[#This Row],[sin angle]]*Table1[[#This Row],[dash total]]</f>
        <v>-9.9999999993422328</v>
      </c>
    </row>
    <row r="4" spans="1:22" x14ac:dyDescent="0.3">
      <c r="A4" s="1">
        <v>184.969741</v>
      </c>
      <c r="B4">
        <v>16.001999999999999</v>
      </c>
      <c r="C4">
        <v>22.86</v>
      </c>
      <c r="D4">
        <v>-305.8545235377</v>
      </c>
      <c r="E4">
        <v>1.10019612724</v>
      </c>
      <c r="F4">
        <v>5.8640471999999999</v>
      </c>
      <c r="G4" s="2">
        <v>-580.54048893523998</v>
      </c>
      <c r="H4" s="1">
        <v>184.969741</v>
      </c>
      <c r="I4">
        <f>Table1[[#This Row],[xo]]/25.4</f>
        <v>0.63</v>
      </c>
      <c r="J4">
        <f>Table1[[#This Row],[yo]]/25.4</f>
        <v>0.9</v>
      </c>
      <c r="K4">
        <f>Table1[[#This Row],[dxo]]/25.4</f>
        <v>-12.0415166747126</v>
      </c>
      <c r="L4">
        <f>Table1[[#This Row],[dyo]]/25.4</f>
        <v>4.331480815905512E-2</v>
      </c>
      <c r="M4">
        <f>Table1[[#This Row],[dash_solido]]/25.4</f>
        <v>0.23086800000000002</v>
      </c>
      <c r="N4" s="2">
        <f>Table1[[#This Row],[dash_gapo]]/25.4</f>
        <v>-22.855924761229922</v>
      </c>
      <c r="O4">
        <f>-Table1[[#This Row],[dash_solid]]*99</f>
        <v>-22.855932000000003</v>
      </c>
      <c r="P4" s="14">
        <f>Table1[[#This Row],[dash_gap_calc]]/Table1[[#This Row],[dash_gap]]</f>
        <v>1.0000003167130693</v>
      </c>
      <c r="Q4" s="14">
        <f>COS(RADIANS(Table1[[#This Row],[angle]]))</f>
        <v>-0.99624058778459323</v>
      </c>
      <c r="R4" s="14">
        <f>SIN(RADIANS(Table1[[#This Row],[angle]]))</f>
        <v>-8.6629621092372738E-2</v>
      </c>
      <c r="S4" s="14">
        <f>Table1[[#This Row],[sin angle]]/Table1[[#This Row],[dy]]</f>
        <v>-2.000000110222409</v>
      </c>
      <c r="T4" s="15">
        <f>Table1[[#This Row],[dash_solid]]+-Table1[[#This Row],[dash_gap]]</f>
        <v>23.086792761229923</v>
      </c>
      <c r="U4" s="10">
        <f>Table1[[#This Row],[cos angle]]*Table1[[#This Row],[dash total]]</f>
        <v>-22.99999999050879</v>
      </c>
      <c r="V4" s="10">
        <f>Table1[[#This Row],[sin angle]]*Table1[[#This Row],[dash total]]</f>
        <v>-2.0000001091434818</v>
      </c>
    </row>
    <row r="5" spans="1:22" x14ac:dyDescent="0.3">
      <c r="A5" s="1">
        <v>132.51044709999999</v>
      </c>
      <c r="B5">
        <v>10.16</v>
      </c>
      <c r="C5">
        <v>22.352</v>
      </c>
      <c r="D5">
        <v>-377.59492241548003</v>
      </c>
      <c r="E5">
        <v>1.56030959675</v>
      </c>
      <c r="F5">
        <v>4.1348152000000002</v>
      </c>
      <c r="G5" s="2">
        <v>-409.34722794100003</v>
      </c>
      <c r="H5" s="1">
        <v>132.51044709999999</v>
      </c>
      <c r="I5">
        <f>Table1[[#This Row],[xo]]/25.4</f>
        <v>0.4</v>
      </c>
      <c r="J5">
        <f>Table1[[#This Row],[yo]]/25.4</f>
        <v>0.88000000000000012</v>
      </c>
      <c r="K5">
        <f>Table1[[#This Row],[dxo]]/25.4</f>
        <v>-14.865941827381103</v>
      </c>
      <c r="L5">
        <f>Table1[[#This Row],[dyo]]/25.4</f>
        <v>6.142951168307087E-2</v>
      </c>
      <c r="M5">
        <f>Table1[[#This Row],[dash_solido]]/25.4</f>
        <v>0.16278800000000002</v>
      </c>
      <c r="N5" s="2">
        <f>Table1[[#This Row],[dash_gapo]]/25.4</f>
        <v>-16.116032596102364</v>
      </c>
      <c r="O5">
        <f>-Table1[[#This Row],[dash_solid]]*99</f>
        <v>-16.116012000000001</v>
      </c>
      <c r="P5" s="14">
        <f>Table1[[#This Row],[dash_gap_calc]]/Table1[[#This Row],[dash_gap]]</f>
        <v>0.99999872201162165</v>
      </c>
      <c r="Q5" s="14">
        <f>COS(RADIANS(Table1[[#This Row],[angle]]))</f>
        <v>-0.67572462880038209</v>
      </c>
      <c r="R5" s="14">
        <f>SIN(RADIANS(Table1[[#This Row],[angle]]))</f>
        <v>0.73715413994129197</v>
      </c>
      <c r="S5" s="14">
        <f>Table1[[#This Row],[sin angle]]/Table1[[#This Row],[dy]]</f>
        <v>11.99999999583981</v>
      </c>
      <c r="T5" s="15">
        <f>Table1[[#This Row],[dash_solid]]+-Table1[[#This Row],[dash_gap]]</f>
        <v>16.278820596102364</v>
      </c>
      <c r="U5" s="10">
        <f>Table1[[#This Row],[cos angle]]*Table1[[#This Row],[dash total]]</f>
        <v>-11.000000004609284</v>
      </c>
      <c r="V5" s="10">
        <f>Table1[[#This Row],[sin angle]]*Table1[[#This Row],[dash total]]</f>
        <v>11.999999995778428</v>
      </c>
    </row>
    <row r="6" spans="1:22" x14ac:dyDescent="0.3">
      <c r="A6" s="1">
        <v>267.27368899999999</v>
      </c>
      <c r="B6">
        <v>0.254</v>
      </c>
      <c r="C6">
        <v>16.001999999999999</v>
      </c>
      <c r="D6">
        <v>-508.63316875916001</v>
      </c>
      <c r="E6">
        <v>1.2081547943199999</v>
      </c>
      <c r="F6">
        <v>5.3400451999999996</v>
      </c>
      <c r="G6" s="2">
        <v>-528.66437425738002</v>
      </c>
      <c r="H6" s="1">
        <v>267.27368899999999</v>
      </c>
      <c r="I6">
        <f>Table1[[#This Row],[xo]]/25.4</f>
        <v>0.01</v>
      </c>
      <c r="J6">
        <f>Table1[[#This Row],[yo]]/25.4</f>
        <v>0.63</v>
      </c>
      <c r="K6">
        <f>Table1[[#This Row],[dxo]]/25.4</f>
        <v>-20.02492790390394</v>
      </c>
      <c r="L6">
        <f>Table1[[#This Row],[dyo]]/25.4</f>
        <v>4.7565149382677169E-2</v>
      </c>
      <c r="M6">
        <f>Table1[[#This Row],[dash_solido]]/25.4</f>
        <v>0.21023800000000001</v>
      </c>
      <c r="N6" s="2">
        <f>Table1[[#This Row],[dash_gapo]]/25.4</f>
        <v>-20.813558041629136</v>
      </c>
      <c r="O6">
        <f>-Table1[[#This Row],[dash_solid]]*99</f>
        <v>-20.813562000000001</v>
      </c>
      <c r="P6" s="14">
        <f>Table1[[#This Row],[dash_gap_calc]]/Table1[[#This Row],[dash_gap]]</f>
        <v>1.0000001901823252</v>
      </c>
      <c r="Q6" s="14">
        <f>COS(RADIANS(Table1[[#This Row],[angle]]))</f>
        <v>-4.7565149521685411E-2</v>
      </c>
      <c r="R6" s="14">
        <f>SIN(RADIANS(Table1[[#This Row],[angle]]))</f>
        <v>-0.99886813771937866</v>
      </c>
      <c r="S6" s="14">
        <f>Table1[[#This Row],[sin angle]]/Table1[[#This Row],[dy]]</f>
        <v>-21.000000014362577</v>
      </c>
      <c r="T6" s="15">
        <f>Table1[[#This Row],[dash_solid]]+-Table1[[#This Row],[dash_gap]]</f>
        <v>21.023796041629137</v>
      </c>
      <c r="U6" s="10">
        <f>Table1[[#This Row],[cos angle]]*Table1[[#This Row],[dash total]]</f>
        <v>-1.0000000022335078</v>
      </c>
      <c r="V6" s="10">
        <f>Table1[[#This Row],[sin angle]]*Table1[[#This Row],[dash total]]</f>
        <v>-20.99999999989414</v>
      </c>
    </row>
    <row r="7" spans="1:22" x14ac:dyDescent="0.3">
      <c r="A7" s="1">
        <v>292.83365418</v>
      </c>
      <c r="B7">
        <v>0</v>
      </c>
      <c r="C7">
        <v>10.667999999999999</v>
      </c>
      <c r="D7">
        <v>-330.19770134945003</v>
      </c>
      <c r="E7">
        <v>1.23208097566</v>
      </c>
      <c r="F7">
        <v>5.2363369999999998</v>
      </c>
      <c r="G7" s="2">
        <v>-518.39807745344001</v>
      </c>
      <c r="H7" s="1">
        <v>292.83365418</v>
      </c>
      <c r="I7">
        <f>Table1[[#This Row],[xo]]/25.4</f>
        <v>0</v>
      </c>
      <c r="J7">
        <f>Table1[[#This Row],[yo]]/25.4</f>
        <v>0.42</v>
      </c>
      <c r="K7">
        <f>Table1[[#This Row],[dxo]]/25.4</f>
        <v>-12.999909501946853</v>
      </c>
      <c r="L7">
        <f>Table1[[#This Row],[dyo]]/25.4</f>
        <v>4.8507125025984255E-2</v>
      </c>
      <c r="M7">
        <f>Table1[[#This Row],[dash_solido]]/25.4</f>
        <v>0.206155</v>
      </c>
      <c r="N7" s="2">
        <f>Table1[[#This Row],[dash_gapo]]/25.4</f>
        <v>-20.409373128088191</v>
      </c>
      <c r="O7">
        <f>-Table1[[#This Row],[dash_solid]]*99</f>
        <v>-20.409345000000002</v>
      </c>
      <c r="P7" s="14">
        <f>Table1[[#This Row],[dash_gap_calc]]/Table1[[#This Row],[dash_gap]]</f>
        <v>0.99999862180538257</v>
      </c>
      <c r="Q7" s="14">
        <f>COS(RADIANS(Table1[[#This Row],[angle]]))</f>
        <v>0.38805700009163019</v>
      </c>
      <c r="R7" s="14">
        <f>SIN(RADIANS(Table1[[#This Row],[angle]]))</f>
        <v>-0.9216353751239611</v>
      </c>
      <c r="S7" s="14">
        <f>Table1[[#This Row],[sin angle]]/Table1[[#This Row],[dy]]</f>
        <v>-18.999999992377621</v>
      </c>
      <c r="T7" s="15">
        <f>Table1[[#This Row],[dash_solid]]+-Table1[[#This Row],[dash_gap]]</f>
        <v>20.61552812808819</v>
      </c>
      <c r="U7" s="10">
        <f>Table1[[#This Row],[cos angle]]*Table1[[#This Row],[dash total]]</f>
        <v>8.0000000006905232</v>
      </c>
      <c r="V7" s="10">
        <f>Table1[[#This Row],[sin angle]]*Table1[[#This Row],[dash total]]</f>
        <v>-18.999999999709132</v>
      </c>
    </row>
    <row r="8" spans="1:22" x14ac:dyDescent="0.3">
      <c r="A8" s="1">
        <v>357.27368899999999</v>
      </c>
      <c r="B8">
        <v>2.032</v>
      </c>
      <c r="C8">
        <v>5.8419999999999996</v>
      </c>
      <c r="D8">
        <v>-508.63316875916001</v>
      </c>
      <c r="E8">
        <v>1.2081547943199999</v>
      </c>
      <c r="F8">
        <v>5.3400451999999996</v>
      </c>
      <c r="G8" s="2">
        <v>-528.66437425738002</v>
      </c>
      <c r="H8" s="1">
        <v>357.27368899999999</v>
      </c>
      <c r="I8">
        <f>Table1[[#This Row],[xo]]/25.4</f>
        <v>0.08</v>
      </c>
      <c r="J8">
        <f>Table1[[#This Row],[yo]]/25.4</f>
        <v>0.23</v>
      </c>
      <c r="K8">
        <f>Table1[[#This Row],[dxo]]/25.4</f>
        <v>-20.02492790390394</v>
      </c>
      <c r="L8">
        <f>Table1[[#This Row],[dyo]]/25.4</f>
        <v>4.7565149382677169E-2</v>
      </c>
      <c r="M8">
        <f>Table1[[#This Row],[dash_solido]]/25.4</f>
        <v>0.21023800000000001</v>
      </c>
      <c r="N8" s="2">
        <f>Table1[[#This Row],[dash_gapo]]/25.4</f>
        <v>-20.813558041629136</v>
      </c>
      <c r="O8">
        <f>-Table1[[#This Row],[dash_solid]]*99</f>
        <v>-20.813562000000001</v>
      </c>
      <c r="P8" s="14">
        <f>Table1[[#This Row],[dash_gap_calc]]/Table1[[#This Row],[dash_gap]]</f>
        <v>1.0000001901823252</v>
      </c>
      <c r="Q8" s="14">
        <f>COS(RADIANS(Table1[[#This Row],[angle]]))</f>
        <v>0.99886813771937866</v>
      </c>
      <c r="R8" s="14">
        <f>SIN(RADIANS(Table1[[#This Row],[angle]]))</f>
        <v>-4.7565149521685474E-2</v>
      </c>
      <c r="S8" s="14">
        <f>Table1[[#This Row],[sin angle]]/Table1[[#This Row],[dy]]</f>
        <v>-1.0000000029224823</v>
      </c>
      <c r="T8" s="15">
        <f>Table1[[#This Row],[dash_solid]]+-Table1[[#This Row],[dash_gap]]</f>
        <v>21.023796041629137</v>
      </c>
      <c r="U8" s="10">
        <f>Table1[[#This Row],[cos angle]]*Table1[[#This Row],[dash total]]</f>
        <v>20.99999999989414</v>
      </c>
      <c r="V8" s="10">
        <f>Table1[[#This Row],[sin angle]]*Table1[[#This Row],[dash total]]</f>
        <v>-1.0000000022335092</v>
      </c>
    </row>
    <row r="9" spans="1:22" x14ac:dyDescent="0.3">
      <c r="A9" s="1">
        <v>37.694240469999997</v>
      </c>
      <c r="B9">
        <v>7.3659999999999997</v>
      </c>
      <c r="C9">
        <v>5.5880000000000001</v>
      </c>
      <c r="D9">
        <v>-416.58997273291999</v>
      </c>
      <c r="E9">
        <v>0.91357450168999998</v>
      </c>
      <c r="F9">
        <v>7.0619366000000001</v>
      </c>
      <c r="G9" s="2">
        <v>-699.13115314247</v>
      </c>
      <c r="H9" s="1">
        <v>37.694240469999997</v>
      </c>
      <c r="I9">
        <f>Table1[[#This Row],[xo]]/25.4</f>
        <v>0.28999999999999998</v>
      </c>
      <c r="J9">
        <f>Table1[[#This Row],[yo]]/25.4</f>
        <v>0.22000000000000003</v>
      </c>
      <c r="K9">
        <f>Table1[[#This Row],[dxo]]/25.4</f>
        <v>-16.401180028855119</v>
      </c>
      <c r="L9">
        <f>Table1[[#This Row],[dyo]]/25.4</f>
        <v>3.5967500066535436E-2</v>
      </c>
      <c r="M9">
        <f>Table1[[#This Row],[dash_solido]]/25.4</f>
        <v>0.27802900000000003</v>
      </c>
      <c r="N9" s="2">
        <f>Table1[[#This Row],[dash_gapo]]/25.4</f>
        <v>-27.524848548916143</v>
      </c>
      <c r="O9">
        <f>-Table1[[#This Row],[dash_solid]]*99</f>
        <v>-27.524871000000001</v>
      </c>
      <c r="P9" s="14">
        <f>Table1[[#This Row],[dash_gap_calc]]/Table1[[#This Row],[dash_gap]]</f>
        <v>1.0000008156660269</v>
      </c>
      <c r="Q9" s="14">
        <f>COS(RADIANS(Table1[[#This Row],[angle]]))</f>
        <v>0.79128500135683466</v>
      </c>
      <c r="R9" s="14">
        <f>SIN(RADIANS(Table1[[#This Row],[angle]]))</f>
        <v>0.61144750112148971</v>
      </c>
      <c r="S9" s="14">
        <f>Table1[[#This Row],[sin angle]]/Table1[[#This Row],[dy]]</f>
        <v>16.99999999973274</v>
      </c>
      <c r="T9" s="15">
        <f>Table1[[#This Row],[dash_solid]]+-Table1[[#This Row],[dash_gap]]</f>
        <v>27.802877548916143</v>
      </c>
      <c r="U9" s="10">
        <f>Table1[[#This Row],[cos angle]]*Table1[[#This Row],[dash total]]</f>
        <v>21.999999999018019</v>
      </c>
      <c r="V9" s="10">
        <f>Table1[[#This Row],[sin angle]]*Table1[[#This Row],[dash total]]</f>
        <v>17.000000001271545</v>
      </c>
    </row>
    <row r="10" spans="1:22" x14ac:dyDescent="0.3">
      <c r="A10" s="1">
        <v>72.255328370000001</v>
      </c>
      <c r="B10">
        <v>12.954000000000001</v>
      </c>
      <c r="C10">
        <v>9.9060000000000006</v>
      </c>
      <c r="D10">
        <v>586.40373773402996</v>
      </c>
      <c r="E10">
        <v>0.96766293399000003</v>
      </c>
      <c r="F10">
        <v>6.6671952000000001</v>
      </c>
      <c r="G10" s="2">
        <v>-660.05256601905</v>
      </c>
      <c r="H10" s="1">
        <v>72.255328370000001</v>
      </c>
      <c r="I10">
        <f>Table1[[#This Row],[xo]]/25.4</f>
        <v>0.51</v>
      </c>
      <c r="J10">
        <f>Table1[[#This Row],[yo]]/25.4</f>
        <v>0.39000000000000007</v>
      </c>
      <c r="K10">
        <f>Table1[[#This Row],[dxo]]/25.4</f>
        <v>23.086761328111418</v>
      </c>
      <c r="L10">
        <f>Table1[[#This Row],[dyo]]/25.4</f>
        <v>3.8096965905118116E-2</v>
      </c>
      <c r="M10">
        <f>Table1[[#This Row],[dash_solido]]/25.4</f>
        <v>0.262488</v>
      </c>
      <c r="N10" s="2">
        <f>Table1[[#This Row],[dash_gapo]]/25.4</f>
        <v>-25.986321496812995</v>
      </c>
      <c r="O10">
        <f>-Table1[[#This Row],[dash_solid]]*99</f>
        <v>-25.986312000000002</v>
      </c>
      <c r="P10" s="14">
        <f>Table1[[#This Row],[dash_gap_calc]]/Table1[[#This Row],[dash_gap]]</f>
        <v>0.99999963454569762</v>
      </c>
      <c r="Q10" s="14">
        <f>COS(RADIANS(Table1[[#This Row],[angle]]))</f>
        <v>0.30477572718595203</v>
      </c>
      <c r="R10" s="14">
        <f>SIN(RADIANS(Table1[[#This Row],[angle]]))</f>
        <v>0.95242414717303037</v>
      </c>
      <c r="S10" s="14">
        <f>Table1[[#This Row],[sin angle]]/Table1[[#This Row],[dy]]</f>
        <v>24.999999988058825</v>
      </c>
      <c r="T10" s="15">
        <f>Table1[[#This Row],[dash_solid]]+-Table1[[#This Row],[dash_gap]]</f>
        <v>26.248809496812996</v>
      </c>
      <c r="U10" s="10">
        <f>Table1[[#This Row],[cos angle]]*Table1[[#This Row],[dash total]]</f>
        <v>8.000000002156705</v>
      </c>
      <c r="V10" s="10">
        <f>Table1[[#This Row],[sin angle]]*Table1[[#This Row],[dash total]]</f>
        <v>24.999999999309459</v>
      </c>
    </row>
    <row r="11" spans="1:22" x14ac:dyDescent="0.3">
      <c r="A11" s="1">
        <v>121.42956562000001</v>
      </c>
      <c r="B11">
        <v>14.986000000000001</v>
      </c>
      <c r="C11">
        <v>16.256</v>
      </c>
      <c r="D11">
        <v>387.71230339292998</v>
      </c>
      <c r="E11">
        <v>1.2040754753</v>
      </c>
      <c r="F11">
        <v>5.3581300000000001</v>
      </c>
      <c r="G11" s="2">
        <v>-530.45545698711999</v>
      </c>
      <c r="H11" s="1">
        <v>121.42956562000001</v>
      </c>
      <c r="I11">
        <f>Table1[[#This Row],[xo]]/25.4</f>
        <v>0.59000000000000008</v>
      </c>
      <c r="J11">
        <f>Table1[[#This Row],[yo]]/25.4</f>
        <v>0.64</v>
      </c>
      <c r="K11">
        <f>Table1[[#This Row],[dxo]]/25.4</f>
        <v>15.264263913107481</v>
      </c>
      <c r="L11">
        <f>Table1[[#This Row],[dyo]]/25.4</f>
        <v>4.7404546271653546E-2</v>
      </c>
      <c r="M11">
        <f>Table1[[#This Row],[dash_solido]]/25.4</f>
        <v>0.21095000000000003</v>
      </c>
      <c r="N11" s="2">
        <f>Table1[[#This Row],[dash_gapo]]/25.4</f>
        <v>-20.884073109729133</v>
      </c>
      <c r="O11">
        <f>-Table1[[#This Row],[dash_solid]]*99</f>
        <v>-20.884050000000002</v>
      </c>
      <c r="P11" s="14">
        <f>Table1[[#This Row],[dash_gap_calc]]/Table1[[#This Row],[dash_gap]]</f>
        <v>0.99999889342806791</v>
      </c>
      <c r="Q11" s="14">
        <f>COS(RADIANS(Table1[[#This Row],[angle]]))</f>
        <v>-0.52145000953084297</v>
      </c>
      <c r="R11" s="14">
        <f>SIN(RADIANS(Table1[[#This Row],[angle]]))</f>
        <v>0.85328183360498411</v>
      </c>
      <c r="S11" s="14">
        <f>Table1[[#This Row],[sin angle]]/Table1[[#This Row],[dy]]</f>
        <v>18.00000001508759</v>
      </c>
      <c r="T11" s="15">
        <f>Table1[[#This Row],[dash_solid]]+-Table1[[#This Row],[dash_gap]]</f>
        <v>21.095023109729134</v>
      </c>
      <c r="U11" s="10">
        <f>Table1[[#This Row],[cos angle]]*Table1[[#This Row],[dash total]]</f>
        <v>-11.00000000162161</v>
      </c>
      <c r="V11" s="10">
        <f>Table1[[#This Row],[sin angle]]*Table1[[#This Row],[dash total]]</f>
        <v>17.999999999009191</v>
      </c>
    </row>
    <row r="12" spans="1:22" x14ac:dyDescent="0.3">
      <c r="A12" s="1">
        <v>175.23635830000001</v>
      </c>
      <c r="B12">
        <v>12.192</v>
      </c>
      <c r="C12">
        <v>20.827999999999999</v>
      </c>
      <c r="D12">
        <v>-280.54424004190003</v>
      </c>
      <c r="E12">
        <v>2.1093551869499998</v>
      </c>
      <c r="F12">
        <v>6.1171328000000003</v>
      </c>
      <c r="G12" s="2">
        <v>-299.73936950000001</v>
      </c>
      <c r="H12" s="1">
        <v>175.23635830000001</v>
      </c>
      <c r="I12">
        <f>Table1[[#This Row],[xo]]/25.4</f>
        <v>0.48000000000000004</v>
      </c>
      <c r="J12">
        <f>Table1[[#This Row],[yo]]/25.4</f>
        <v>0.82000000000000006</v>
      </c>
      <c r="K12">
        <f>Table1[[#This Row],[dxo]]/25.4</f>
        <v>-11.045048820547246</v>
      </c>
      <c r="L12">
        <f>Table1[[#This Row],[dyo]]/25.4</f>
        <v>8.3045479801181099E-2</v>
      </c>
      <c r="M12">
        <f>Table1[[#This Row],[dash_solido]]/25.4</f>
        <v>0.24083200000000002</v>
      </c>
      <c r="N12" s="2">
        <f>Table1[[#This Row],[dash_gapo]]/25.4</f>
        <v>-11.800762578740159</v>
      </c>
      <c r="O12">
        <f>-Table1[[#This Row],[dash_solid]]*99</f>
        <v>-23.842368</v>
      </c>
      <c r="P12" s="14">
        <f>Table1[[#This Row],[dash_gap_calc]]/Table1[[#This Row],[dash_gap]]</f>
        <v>2.0204090914390207</v>
      </c>
      <c r="Q12" s="14">
        <f>COS(RADIANS(Table1[[#This Row],[angle]]))</f>
        <v>-0.99654575823143798</v>
      </c>
      <c r="R12" s="14">
        <f>SIN(RADIANS(Table1[[#This Row],[angle]]))</f>
        <v>8.304548001503953E-2</v>
      </c>
      <c r="S12" s="14">
        <f>Table1[[#This Row],[sin angle]]/Table1[[#This Row],[dy]]</f>
        <v>1.0000000025751965</v>
      </c>
      <c r="T12" s="15">
        <f>Table1[[#This Row],[dash_solid]]+-Table1[[#This Row],[dash_gap]]</f>
        <v>12.041594578740158</v>
      </c>
      <c r="U12" s="10">
        <f>Table1[[#This Row],[cos angle]]*Table1[[#This Row],[dash total]]</f>
        <v>-11.999999999786183</v>
      </c>
      <c r="V12" s="10">
        <f>Table1[[#This Row],[sin angle]]*Table1[[#This Row],[dash total]]</f>
        <v>1.0000000019379742</v>
      </c>
    </row>
    <row r="13" spans="1:22" x14ac:dyDescent="0.3">
      <c r="A13" s="1">
        <v>222.39743780000001</v>
      </c>
      <c r="B13">
        <v>6.0960000000000001</v>
      </c>
      <c r="C13">
        <v>21.335999999999999</v>
      </c>
      <c r="D13">
        <v>413.48123885685999</v>
      </c>
      <c r="E13">
        <v>0.81554484621000001</v>
      </c>
      <c r="F13">
        <v>7.9107792000000003</v>
      </c>
      <c r="G13" s="2">
        <v>-783.16772512176999</v>
      </c>
      <c r="H13" s="1">
        <v>222.39743780000001</v>
      </c>
      <c r="I13">
        <f>Table1[[#This Row],[xo]]/25.4</f>
        <v>0.24000000000000002</v>
      </c>
      <c r="J13">
        <f>Table1[[#This Row],[yo]]/25.4</f>
        <v>0.84</v>
      </c>
      <c r="K13">
        <f>Table1[[#This Row],[dxo]]/25.4</f>
        <v>16.278788931372443</v>
      </c>
      <c r="L13">
        <f>Table1[[#This Row],[dyo]]/25.4</f>
        <v>3.2108064811417328E-2</v>
      </c>
      <c r="M13">
        <f>Table1[[#This Row],[dash_solido]]/25.4</f>
        <v>0.31144800000000006</v>
      </c>
      <c r="N13" s="2">
        <f>Table1[[#This Row],[dash_gapo]]/25.4</f>
        <v>-30.833375004794096</v>
      </c>
      <c r="O13">
        <f>-Table1[[#This Row],[dash_solid]]*99</f>
        <v>-30.833352000000005</v>
      </c>
      <c r="P13" s="14">
        <f>Table1[[#This Row],[dash_gap_calc]]/Table1[[#This Row],[dash_gap]]</f>
        <v>0.99999925389957833</v>
      </c>
      <c r="Q13" s="14">
        <f>COS(RADIANS(Table1[[#This Row],[angle]]))</f>
        <v>-0.73848549389870755</v>
      </c>
      <c r="R13" s="14">
        <f>SIN(RADIANS(Table1[[#This Row],[angle]]))</f>
        <v>-0.67426936405355231</v>
      </c>
      <c r="S13" s="14">
        <f>Table1[[#This Row],[sin angle]]/Table1[[#This Row],[dy]]</f>
        <v>-21.000000093863907</v>
      </c>
      <c r="T13" s="15">
        <f>Table1[[#This Row],[dash_solid]]+-Table1[[#This Row],[dash_gap]]</f>
        <v>31.144823004794095</v>
      </c>
      <c r="U13" s="10">
        <f>Table1[[#This Row],[cos angle]]*Table1[[#This Row],[dash total]]</f>
        <v>-22.999999999083197</v>
      </c>
      <c r="V13" s="10">
        <f>Table1[[#This Row],[sin angle]]*Table1[[#This Row],[dash total]]</f>
        <v>-21.000000001002959</v>
      </c>
    </row>
    <row r="14" spans="1:22" x14ac:dyDescent="0.3">
      <c r="A14" s="1">
        <v>138.81407483000001</v>
      </c>
      <c r="B14">
        <v>25.4</v>
      </c>
      <c r="C14">
        <v>15.747999999999999</v>
      </c>
      <c r="D14">
        <v>234.16423855799999</v>
      </c>
      <c r="E14">
        <v>2.3894310068800002</v>
      </c>
      <c r="F14">
        <v>2.7000454</v>
      </c>
      <c r="G14" s="2">
        <v>-267.30565824344001</v>
      </c>
      <c r="H14" s="1">
        <v>138.81407483000001</v>
      </c>
      <c r="I14">
        <f>Table1[[#This Row],[xo]]/25.4</f>
        <v>1</v>
      </c>
      <c r="J14">
        <f>Table1[[#This Row],[yo]]/25.4</f>
        <v>0.62</v>
      </c>
      <c r="K14">
        <f>Table1[[#This Row],[dxo]]/25.4</f>
        <v>9.2190645101574802</v>
      </c>
      <c r="L14">
        <f>Table1[[#This Row],[dyo]]/25.4</f>
        <v>9.4072086885039388E-2</v>
      </c>
      <c r="M14">
        <f>Table1[[#This Row],[dash_solido]]/25.4</f>
        <v>0.10630100000000001</v>
      </c>
      <c r="N14" s="2">
        <f>Table1[[#This Row],[dash_gapo]]/25.4</f>
        <v>-10.523844812733859</v>
      </c>
      <c r="O14">
        <f>-Table1[[#This Row],[dash_solid]]*99</f>
        <v>-10.523799</v>
      </c>
      <c r="P14" s="14">
        <f>Table1[[#This Row],[dash_gap_calc]]/Table1[[#This Row],[dash_gap]]</f>
        <v>0.9999956467683937</v>
      </c>
      <c r="Q14" s="14">
        <f>COS(RADIANS(Table1[[#This Row],[angle]]))</f>
        <v>-0.7525766946575686</v>
      </c>
      <c r="R14" s="14">
        <f>SIN(RADIANS(Table1[[#This Row],[angle]]))</f>
        <v>0.65850460792487153</v>
      </c>
      <c r="S14" s="14">
        <f>Table1[[#This Row],[sin angle]]/Table1[[#This Row],[dy]]</f>
        <v>6.9999999971255642</v>
      </c>
      <c r="T14" s="15">
        <f>Table1[[#This Row],[dash_solid]]+-Table1[[#This Row],[dash_gap]]</f>
        <v>10.63014581273386</v>
      </c>
      <c r="U14" s="10">
        <f>Table1[[#This Row],[cos angle]]*Table1[[#This Row],[dash total]]</f>
        <v>-7.9999999994752411</v>
      </c>
      <c r="V14" s="10">
        <f>Table1[[#This Row],[sin angle]]*Table1[[#This Row],[dash total]]</f>
        <v>7.0000000005985248</v>
      </c>
    </row>
    <row r="15" spans="1:22" x14ac:dyDescent="0.3">
      <c r="A15" s="1">
        <v>171.4692344</v>
      </c>
      <c r="B15">
        <v>23.367999999999999</v>
      </c>
      <c r="C15">
        <v>17.526</v>
      </c>
      <c r="D15">
        <v>-334.08247872599998</v>
      </c>
      <c r="E15">
        <v>1.2559491678400001</v>
      </c>
      <c r="F15">
        <v>5.1368197999999996</v>
      </c>
      <c r="G15" s="2">
        <v>-508.54638997040001</v>
      </c>
      <c r="H15" s="1">
        <v>171.4692344</v>
      </c>
      <c r="I15">
        <f>Table1[[#This Row],[xo]]/25.4</f>
        <v>0.92</v>
      </c>
      <c r="J15">
        <f>Table1[[#This Row],[yo]]/25.4</f>
        <v>0.69000000000000006</v>
      </c>
      <c r="K15">
        <f>Table1[[#This Row],[dxo]]/25.4</f>
        <v>-13.152853493149607</v>
      </c>
      <c r="L15">
        <f>Table1[[#This Row],[dyo]]/25.4</f>
        <v>4.9446817631496068E-2</v>
      </c>
      <c r="M15">
        <f>Table1[[#This Row],[dash_solido]]/25.4</f>
        <v>0.202237</v>
      </c>
      <c r="N15" s="2">
        <f>Table1[[#This Row],[dash_gapo]]/25.4</f>
        <v>-20.02151141615748</v>
      </c>
      <c r="O15">
        <f>-Table1[[#This Row],[dash_solid]]*99</f>
        <v>-20.021463000000001</v>
      </c>
      <c r="P15" s="14">
        <f>Table1[[#This Row],[dash_gap_calc]]/Table1[[#This Row],[dash_gap]]</f>
        <v>0.99999758179307874</v>
      </c>
      <c r="Q15" s="14">
        <f>COS(RADIANS(Table1[[#This Row],[angle]]))</f>
        <v>-0.98893635289405357</v>
      </c>
      <c r="R15" s="14">
        <f>SIN(RADIANS(Table1[[#This Row],[angle]]))</f>
        <v>0.14834045275853783</v>
      </c>
      <c r="S15" s="14">
        <f>Table1[[#This Row],[sin angle]]/Table1[[#This Row],[dy]]</f>
        <v>2.999999997250574</v>
      </c>
      <c r="T15" s="15">
        <f>Table1[[#This Row],[dash_solid]]+-Table1[[#This Row],[dash_gap]]</f>
        <v>20.223748416157481</v>
      </c>
      <c r="U15" s="10">
        <f>Table1[[#This Row],[cos angle]]*Table1[[#This Row],[dash total]]</f>
        <v>-20.00000000052167</v>
      </c>
      <c r="V15" s="10">
        <f>Table1[[#This Row],[sin angle]]*Table1[[#This Row],[dash total]]</f>
        <v>2.999999996527563</v>
      </c>
    </row>
    <row r="16" spans="1:22" x14ac:dyDescent="0.3">
      <c r="A16" s="1">
        <v>225</v>
      </c>
      <c r="B16">
        <v>18.288</v>
      </c>
      <c r="C16">
        <v>18.288</v>
      </c>
      <c r="D16">
        <v>17.960512242139998</v>
      </c>
      <c r="E16">
        <v>17.960512242139998</v>
      </c>
      <c r="F16">
        <v>3.5920934</v>
      </c>
      <c r="G16" s="2">
        <v>-32.328931084280001</v>
      </c>
      <c r="H16" s="1">
        <v>225</v>
      </c>
      <c r="I16">
        <f>Table1[[#This Row],[xo]]/25.4</f>
        <v>0.72000000000000008</v>
      </c>
      <c r="J16">
        <f>Table1[[#This Row],[yo]]/25.4</f>
        <v>0.72000000000000008</v>
      </c>
      <c r="K16">
        <f>Table1[[#This Row],[dxo]]/25.4</f>
        <v>0.70710678118661419</v>
      </c>
      <c r="L16">
        <f>Table1[[#This Row],[dyo]]/25.4</f>
        <v>0.70710678118661419</v>
      </c>
      <c r="M16">
        <f>Table1[[#This Row],[dash_solido]]/25.4</f>
        <v>0.14142100000000002</v>
      </c>
      <c r="N16" s="2">
        <f>Table1[[#This Row],[dash_gapo]]/25.4</f>
        <v>-1.2727925623732284</v>
      </c>
      <c r="O16">
        <f>-Table1[[#This Row],[dash_solid]]*99</f>
        <v>-14.000679000000002</v>
      </c>
      <c r="P16" s="14">
        <f>Table1[[#This Row],[dash_gap_calc]]/Table1[[#This Row],[dash_gap]]</f>
        <v>10.999969212496467</v>
      </c>
      <c r="Q16" s="14">
        <f>COS(RADIANS(Table1[[#This Row],[angle]]))</f>
        <v>-0.70710678118654768</v>
      </c>
      <c r="R16" s="14">
        <f>SIN(RADIANS(Table1[[#This Row],[angle]]))</f>
        <v>-0.70710678118654746</v>
      </c>
      <c r="S16" s="14">
        <f>Table1[[#This Row],[sin angle]]/Table1[[#This Row],[dy]]</f>
        <v>-0.99999999999990563</v>
      </c>
      <c r="T16" s="15">
        <f>Table1[[#This Row],[dash_solid]]+-Table1[[#This Row],[dash_gap]]</f>
        <v>1.4142135623732284</v>
      </c>
      <c r="U16" s="10">
        <f>Table1[[#This Row],[cos angle]]*Table1[[#This Row],[dash total]]</f>
        <v>-1.0000000000000946</v>
      </c>
      <c r="V16" s="10">
        <f>Table1[[#This Row],[sin angle]]*Table1[[#This Row],[dash total]]</f>
        <v>-1.0000000000000941</v>
      </c>
    </row>
    <row r="17" spans="1:22" x14ac:dyDescent="0.3">
      <c r="A17" s="1">
        <v>203.19859051</v>
      </c>
      <c r="B17">
        <v>16.510000000000002</v>
      </c>
      <c r="C17">
        <v>21.335999999999999</v>
      </c>
      <c r="D17">
        <v>-136.74251917999999</v>
      </c>
      <c r="E17">
        <v>3.3351833954800001</v>
      </c>
      <c r="F17">
        <v>1.9344132000000001</v>
      </c>
      <c r="G17" s="2">
        <v>-191.50622368894</v>
      </c>
      <c r="H17" s="1">
        <v>203.19859051</v>
      </c>
      <c r="I17">
        <f>Table1[[#This Row],[xo]]/25.4</f>
        <v>0.65000000000000013</v>
      </c>
      <c r="J17">
        <f>Table1[[#This Row],[yo]]/25.4</f>
        <v>0.84</v>
      </c>
      <c r="K17">
        <f>Table1[[#This Row],[dxo]]/25.4</f>
        <v>-5.3835637472440947</v>
      </c>
      <c r="L17">
        <f>Table1[[#This Row],[dyo]]/25.4</f>
        <v>0.13130643289291341</v>
      </c>
      <c r="M17">
        <f>Table1[[#This Row],[dash_solido]]/25.4</f>
        <v>7.6158000000000003E-2</v>
      </c>
      <c r="N17" s="2">
        <f>Table1[[#This Row],[dash_gapo]]/25.4</f>
        <v>-7.5396151058637795</v>
      </c>
      <c r="O17">
        <f>-Table1[[#This Row],[dash_solid]]*99</f>
        <v>-7.5396420000000006</v>
      </c>
      <c r="P17" s="14">
        <f>Table1[[#This Row],[dash_gap_calc]]/Table1[[#This Row],[dash_gap]]</f>
        <v>1.0000035670436545</v>
      </c>
      <c r="Q17" s="14">
        <f>COS(RADIANS(Table1[[#This Row],[angle]]))</f>
        <v>-0.91914503004313985</v>
      </c>
      <c r="R17" s="14">
        <f>SIN(RADIANS(Table1[[#This Row],[angle]]))</f>
        <v>-0.39391929852064311</v>
      </c>
      <c r="S17" s="14">
        <f>Table1[[#This Row],[sin angle]]/Table1[[#This Row],[dy]]</f>
        <v>-2.999999998795968</v>
      </c>
      <c r="T17" s="15">
        <f>Table1[[#This Row],[dash_solid]]+-Table1[[#This Row],[dash_gap]]</f>
        <v>7.6157731058637799</v>
      </c>
      <c r="U17" s="10">
        <f>Table1[[#This Row],[cos angle]]*Table1[[#This Row],[dash total]]</f>
        <v>-7.0000000001909006</v>
      </c>
      <c r="V17" s="10">
        <f>Table1[[#This Row],[sin angle]]*Table1[[#This Row],[dash total]]</f>
        <v>-2.9999999995542397</v>
      </c>
    </row>
    <row r="18" spans="1:22" x14ac:dyDescent="0.3">
      <c r="A18" s="1">
        <v>291.80140949000003</v>
      </c>
      <c r="B18">
        <v>14.731999999999999</v>
      </c>
      <c r="C18">
        <v>20.574000000000002</v>
      </c>
      <c r="D18">
        <v>-80.183247024880004</v>
      </c>
      <c r="E18">
        <v>4.7166615892100001</v>
      </c>
      <c r="F18">
        <v>2.7356562000000002</v>
      </c>
      <c r="G18" s="2">
        <v>-134.0475299</v>
      </c>
      <c r="H18" s="1">
        <v>291.80140949000003</v>
      </c>
      <c r="I18">
        <f>Table1[[#This Row],[xo]]/25.4</f>
        <v>0.57999999999999996</v>
      </c>
      <c r="J18">
        <f>Table1[[#This Row],[yo]]/25.4</f>
        <v>0.81000000000000016</v>
      </c>
      <c r="K18">
        <f>Table1[[#This Row],[dxo]]/25.4</f>
        <v>-3.1568207490110241</v>
      </c>
      <c r="L18">
        <f>Table1[[#This Row],[dyo]]/25.4</f>
        <v>0.18569533815787403</v>
      </c>
      <c r="M18">
        <f>Table1[[#This Row],[dash_solido]]/25.4</f>
        <v>0.10770300000000002</v>
      </c>
      <c r="N18" s="2">
        <f>Table1[[#This Row],[dash_gapo]]/25.4</f>
        <v>-5.2774618070866142</v>
      </c>
      <c r="O18">
        <f>-Table1[[#This Row],[dash_solid]]*99</f>
        <v>-10.662597000000002</v>
      </c>
      <c r="P18" s="14">
        <f>Table1[[#This Row],[dash_gap_calc]]/Table1[[#This Row],[dash_gap]]</f>
        <v>2.0204024945632364</v>
      </c>
      <c r="Q18" s="14">
        <f>COS(RADIANS(Table1[[#This Row],[angle]]))</f>
        <v>0.37139067641322293</v>
      </c>
      <c r="R18" s="14">
        <f>SIN(RADIANS(Table1[[#This Row],[angle]]))</f>
        <v>-0.92847669086161166</v>
      </c>
      <c r="S18" s="14">
        <f>Table1[[#This Row],[sin angle]]/Table1[[#This Row],[dy]]</f>
        <v>-5.0000000003890319</v>
      </c>
      <c r="T18" s="15">
        <f>Table1[[#This Row],[dash_solid]]+-Table1[[#This Row],[dash_gap]]</f>
        <v>5.385164807086614</v>
      </c>
      <c r="U18" s="10">
        <f>Table1[[#This Row],[cos angle]]*Table1[[#This Row],[dash total]]</f>
        <v>2.0000000003005809</v>
      </c>
      <c r="V18" s="10">
        <f>Table1[[#This Row],[sin angle]]*Table1[[#This Row],[dash total]]</f>
        <v>-4.999999999828189</v>
      </c>
    </row>
    <row r="19" spans="1:22" x14ac:dyDescent="0.3">
      <c r="A19" s="1">
        <v>30.963756530000001</v>
      </c>
      <c r="B19">
        <v>15.747999999999999</v>
      </c>
      <c r="C19">
        <v>18.033999999999999</v>
      </c>
      <c r="D19">
        <v>91.477345315020003</v>
      </c>
      <c r="E19">
        <v>4.3560640625799998</v>
      </c>
      <c r="F19">
        <v>4.4431966000000003</v>
      </c>
      <c r="G19" s="2">
        <v>-143.66298152909999</v>
      </c>
      <c r="H19" s="1">
        <v>30.963756530000001</v>
      </c>
      <c r="I19">
        <f>Table1[[#This Row],[xo]]/25.4</f>
        <v>0.62</v>
      </c>
      <c r="J19">
        <f>Table1[[#This Row],[yo]]/25.4</f>
        <v>0.71</v>
      </c>
      <c r="K19">
        <f>Table1[[#This Row],[dxo]]/25.4</f>
        <v>3.6014702879929139</v>
      </c>
      <c r="L19">
        <f>Table1[[#This Row],[dyo]]/25.4</f>
        <v>0.17149858514094488</v>
      </c>
      <c r="M19">
        <f>Table1[[#This Row],[dash_solido]]/25.4</f>
        <v>0.17492900000000003</v>
      </c>
      <c r="N19" s="2">
        <f>Table1[[#This Row],[dash_gapo]]/25.4</f>
        <v>-5.6560228948464566</v>
      </c>
      <c r="O19">
        <f>-Table1[[#This Row],[dash_solid]]*99</f>
        <v>-17.317971000000004</v>
      </c>
      <c r="P19" s="14">
        <f>Table1[[#This Row],[dash_gap_calc]]/Table1[[#This Row],[dash_gap]]</f>
        <v>3.0618636667435437</v>
      </c>
      <c r="Q19" s="14">
        <f>COS(RADIANS(Table1[[#This Row],[angle]]))</f>
        <v>0.85749292573116365</v>
      </c>
      <c r="R19" s="14">
        <f>SIN(RADIANS(Table1[[#This Row],[angle]]))</f>
        <v>0.51449575539649406</v>
      </c>
      <c r="S19" s="14">
        <f>Table1[[#This Row],[sin angle]]/Table1[[#This Row],[dy]]</f>
        <v>2.9999999998464095</v>
      </c>
      <c r="T19" s="15">
        <f>Table1[[#This Row],[dash_solid]]+-Table1[[#This Row],[dash_gap]]</f>
        <v>5.8309518948464563</v>
      </c>
      <c r="U19" s="10">
        <f>Table1[[#This Row],[cos angle]]*Table1[[#This Row],[dash total]]</f>
        <v>5.0000000001095604</v>
      </c>
      <c r="V19" s="10">
        <f>Table1[[#This Row],[sin angle]]*Table1[[#This Row],[dash total]]</f>
        <v>2.999999999819646</v>
      </c>
    </row>
    <row r="20" spans="1:22" x14ac:dyDescent="0.3">
      <c r="A20" s="1">
        <v>161.56505118000001</v>
      </c>
      <c r="B20">
        <v>19.558</v>
      </c>
      <c r="C20">
        <v>20.32</v>
      </c>
      <c r="D20">
        <v>-56.225296797799999</v>
      </c>
      <c r="E20">
        <v>8.0321852567499992</v>
      </c>
      <c r="F20">
        <v>3.2128714</v>
      </c>
      <c r="G20" s="2">
        <v>-77.108981168279996</v>
      </c>
      <c r="H20" s="1">
        <v>161.56505118000001</v>
      </c>
      <c r="I20">
        <f>Table1[[#This Row],[xo]]/25.4</f>
        <v>0.77</v>
      </c>
      <c r="J20">
        <f>Table1[[#This Row],[yo]]/25.4</f>
        <v>0.8</v>
      </c>
      <c r="K20">
        <f>Table1[[#This Row],[dxo]]/25.4</f>
        <v>-2.2135943621181102</v>
      </c>
      <c r="L20">
        <f>Table1[[#This Row],[dyo]]/25.4</f>
        <v>0.3162277660137795</v>
      </c>
      <c r="M20">
        <f>Table1[[#This Row],[dash_solido]]/25.4</f>
        <v>0.12649100000000002</v>
      </c>
      <c r="N20" s="2">
        <f>Table1[[#This Row],[dash_gapo]]/25.4</f>
        <v>-3.0357866601685037</v>
      </c>
      <c r="O20">
        <f>-Table1[[#This Row],[dash_solid]]*99</f>
        <v>-12.522609000000003</v>
      </c>
      <c r="P20" s="14">
        <f>Table1[[#This Row],[dash_gap_calc]]/Table1[[#This Row],[dash_gap]]</f>
        <v>4.1249963853866216</v>
      </c>
      <c r="Q20" s="14">
        <f>COS(RADIANS(Table1[[#This Row],[angle]]))</f>
        <v>-0.94868329806664098</v>
      </c>
      <c r="R20" s="14">
        <f>SIN(RADIANS(Table1[[#This Row],[angle]]))</f>
        <v>0.31622776596845631</v>
      </c>
      <c r="S20" s="14">
        <f>Table1[[#This Row],[sin angle]]/Table1[[#This Row],[dy]]</f>
        <v>0.99999999985667554</v>
      </c>
      <c r="T20" s="15">
        <f>Table1[[#This Row],[dash_solid]]+-Table1[[#This Row],[dash_gap]]</f>
        <v>3.1622776601685039</v>
      </c>
      <c r="U20" s="10">
        <f>Table1[[#This Row],[cos angle]]*Table1[[#This Row],[dash total]]</f>
        <v>-3.0000000000511169</v>
      </c>
      <c r="V20" s="10">
        <f>Table1[[#This Row],[sin angle]]*Table1[[#This Row],[dash total]]</f>
        <v>0.99999999984704324</v>
      </c>
    </row>
    <row r="21" spans="1:22" x14ac:dyDescent="0.3">
      <c r="A21" s="1">
        <v>16.389540333999999</v>
      </c>
      <c r="B21">
        <v>0</v>
      </c>
      <c r="C21">
        <v>20.574000000000002</v>
      </c>
      <c r="D21">
        <v>265.17991128725998</v>
      </c>
      <c r="E21">
        <v>1.4334049260399999</v>
      </c>
      <c r="F21">
        <v>4.5008800000000004</v>
      </c>
      <c r="G21" s="2">
        <v>-445.58826672538999</v>
      </c>
      <c r="H21" s="1">
        <v>16.389540333999999</v>
      </c>
      <c r="I21">
        <f>Table1[[#This Row],[xo]]/25.4</f>
        <v>0</v>
      </c>
      <c r="J21">
        <f>Table1[[#This Row],[yo]]/25.4</f>
        <v>0.81000000000000016</v>
      </c>
      <c r="K21">
        <f>Table1[[#This Row],[dxo]]/25.4</f>
        <v>10.440153987687401</v>
      </c>
      <c r="L21">
        <f>Table1[[#This Row],[dyo]]/25.4</f>
        <v>5.6433264804724409E-2</v>
      </c>
      <c r="M21">
        <f>Table1[[#This Row],[dash_solido]]/25.4</f>
        <v>0.17720000000000002</v>
      </c>
      <c r="N21" s="2">
        <f>Table1[[#This Row],[dash_gapo]]/25.4</f>
        <v>-17.542845146668899</v>
      </c>
      <c r="O21">
        <f>-Table1[[#This Row],[dash_solid]]*99</f>
        <v>-17.542800000000003</v>
      </c>
      <c r="P21" s="14">
        <f>Table1[[#This Row],[dash_gap_calc]]/Table1[[#This Row],[dash_gap]]</f>
        <v>0.99999742649105561</v>
      </c>
      <c r="Q21" s="14">
        <f>COS(RADIANS(Table1[[#This Row],[angle]]))</f>
        <v>0.95936550157144185</v>
      </c>
      <c r="R21" s="14">
        <f>SIN(RADIANS(Table1[[#This Row],[angle]]))</f>
        <v>0.28216632399096775</v>
      </c>
      <c r="S21" s="14">
        <f>Table1[[#This Row],[sin angle]]/Table1[[#This Row],[dy]]</f>
        <v>4.9999999994213642</v>
      </c>
      <c r="T21" s="15">
        <f>Table1[[#This Row],[dash_solid]]+-Table1[[#This Row],[dash_gap]]</f>
        <v>17.720045146668898</v>
      </c>
      <c r="U21" s="10">
        <f>Table1[[#This Row],[cos angle]]*Table1[[#This Row],[dash total]]</f>
        <v>17.000000000002601</v>
      </c>
      <c r="V21" s="10">
        <f>Table1[[#This Row],[sin angle]]*Table1[[#This Row],[dash total]]</f>
        <v>4.9999999999895524</v>
      </c>
    </row>
    <row r="22" spans="1:22" x14ac:dyDescent="0.3">
      <c r="A22" s="1">
        <v>70.346175939999995</v>
      </c>
      <c r="B22">
        <v>4.3179999999999996</v>
      </c>
      <c r="C22">
        <v>21.844000000000001</v>
      </c>
      <c r="D22">
        <v>-297.29446803469</v>
      </c>
      <c r="E22">
        <v>1.70858889651</v>
      </c>
      <c r="F22">
        <v>3.7759893999999998</v>
      </c>
      <c r="G22" s="2">
        <v>-373.82215678199998</v>
      </c>
      <c r="H22" s="1">
        <v>70.346175939999995</v>
      </c>
      <c r="I22">
        <f>Table1[[#This Row],[xo]]/25.4</f>
        <v>0.16999999999999998</v>
      </c>
      <c r="J22">
        <f>Table1[[#This Row],[yo]]/25.4</f>
        <v>0.8600000000000001</v>
      </c>
      <c r="K22">
        <f>Table1[[#This Row],[dxo]]/25.4</f>
        <v>-11.704506615538977</v>
      </c>
      <c r="L22">
        <f>Table1[[#This Row],[dyo]]/25.4</f>
        <v>6.7267279390157489E-2</v>
      </c>
      <c r="M22">
        <f>Table1[[#This Row],[dash_solido]]/25.4</f>
        <v>0.14866100000000002</v>
      </c>
      <c r="N22" s="2">
        <f>Table1[[#This Row],[dash_gapo]]/25.4</f>
        <v>-14.717407747322834</v>
      </c>
      <c r="O22">
        <f>-Table1[[#This Row],[dash_solid]]*99</f>
        <v>-14.717439000000002</v>
      </c>
      <c r="P22" s="14">
        <f>Table1[[#This Row],[dash_gap_calc]]/Table1[[#This Row],[dash_gap]]</f>
        <v>1.0000021235177896</v>
      </c>
      <c r="Q22" s="14">
        <f>COS(RADIANS(Table1[[#This Row],[angle]]))</f>
        <v>0.33633639703015306</v>
      </c>
      <c r="R22" s="14">
        <f>SIN(RADIANS(Table1[[#This Row],[angle]]))</f>
        <v>0.94174191158341003</v>
      </c>
      <c r="S22" s="14">
        <f>Table1[[#This Row],[sin angle]]/Table1[[#This Row],[dy]]</f>
        <v>14.000000001801844</v>
      </c>
      <c r="T22" s="15">
        <f>Table1[[#This Row],[dash_solid]]+-Table1[[#This Row],[dash_gap]]</f>
        <v>14.866068747322835</v>
      </c>
      <c r="U22" s="10">
        <f>Table1[[#This Row],[cos angle]]*Table1[[#This Row],[dash total]]</f>
        <v>5.0000000004771232</v>
      </c>
      <c r="V22" s="10">
        <f>Table1[[#This Row],[sin angle]]*Table1[[#This Row],[dash total]]</f>
        <v>13.999999999834197</v>
      </c>
    </row>
    <row r="23" spans="1:22" x14ac:dyDescent="0.3">
      <c r="A23" s="1">
        <v>293.19859050999997</v>
      </c>
      <c r="B23">
        <v>19.558</v>
      </c>
      <c r="C23">
        <v>25.4</v>
      </c>
      <c r="D23">
        <v>-136.7425191801</v>
      </c>
      <c r="E23">
        <v>3.3351833954800001</v>
      </c>
      <c r="F23">
        <v>3.8688009999999999</v>
      </c>
      <c r="G23" s="2">
        <v>-189.57183588894</v>
      </c>
      <c r="H23" s="1">
        <v>293.19859050999997</v>
      </c>
      <c r="I23">
        <f>Table1[[#This Row],[xo]]/25.4</f>
        <v>0.77</v>
      </c>
      <c r="J23">
        <f>Table1[[#This Row],[yo]]/25.4</f>
        <v>1</v>
      </c>
      <c r="K23">
        <f>Table1[[#This Row],[dxo]]/25.4</f>
        <v>-5.383563747248032</v>
      </c>
      <c r="L23">
        <f>Table1[[#This Row],[dyo]]/25.4</f>
        <v>0.13130643289291341</v>
      </c>
      <c r="M23">
        <f>Table1[[#This Row],[dash_solido]]/25.4</f>
        <v>0.15231500000000001</v>
      </c>
      <c r="N23" s="2">
        <f>Table1[[#This Row],[dash_gapo]]/25.4</f>
        <v>-7.4634581058637801</v>
      </c>
      <c r="O23">
        <f>-Table1[[#This Row],[dash_solid]]*99</f>
        <v>-15.079185000000001</v>
      </c>
      <c r="P23" s="14">
        <f>Table1[[#This Row],[dash_gap_calc]]/Table1[[#This Row],[dash_gap]]</f>
        <v>2.0204019083530205</v>
      </c>
      <c r="Q23" s="14">
        <f>COS(RADIANS(Table1[[#This Row],[angle]]))</f>
        <v>0.39391929852064228</v>
      </c>
      <c r="R23" s="14">
        <f>SIN(RADIANS(Table1[[#This Row],[angle]]))</f>
        <v>-0.91914503004314019</v>
      </c>
      <c r="S23" s="14">
        <f>Table1[[#This Row],[sin angle]]/Table1[[#This Row],[dy]]</f>
        <v>-6.999999998421603</v>
      </c>
      <c r="T23" s="15">
        <f>Table1[[#This Row],[dash_solid]]+-Table1[[#This Row],[dash_gap]]</f>
        <v>7.6157731058637799</v>
      </c>
      <c r="U23" s="10">
        <f>Table1[[#This Row],[cos angle]]*Table1[[#This Row],[dash total]]</f>
        <v>2.9999999995542335</v>
      </c>
      <c r="V23" s="10">
        <f>Table1[[#This Row],[sin angle]]*Table1[[#This Row],[dash total]]</f>
        <v>-7.0000000001909033</v>
      </c>
    </row>
    <row r="24" spans="1:22" x14ac:dyDescent="0.3">
      <c r="A24" s="1">
        <v>343.61045967000001</v>
      </c>
      <c r="B24">
        <v>21.082000000000001</v>
      </c>
      <c r="C24">
        <v>21.844000000000001</v>
      </c>
      <c r="D24">
        <v>-265.17991128724998</v>
      </c>
      <c r="E24">
        <v>1.4334049259999999</v>
      </c>
      <c r="F24">
        <v>4.5008800000000004</v>
      </c>
      <c r="G24" s="2">
        <v>-445.58826672539999</v>
      </c>
      <c r="H24" s="1">
        <v>343.61045967000001</v>
      </c>
      <c r="I24">
        <f>Table1[[#This Row],[xo]]/25.4</f>
        <v>0.83000000000000007</v>
      </c>
      <c r="J24">
        <f>Table1[[#This Row],[yo]]/25.4</f>
        <v>0.8600000000000001</v>
      </c>
      <c r="K24">
        <f>Table1[[#This Row],[dxo]]/25.4</f>
        <v>-10.440153987687008</v>
      </c>
      <c r="L24">
        <f>Table1[[#This Row],[dyo]]/25.4</f>
        <v>5.6433264803149606E-2</v>
      </c>
      <c r="M24">
        <f>Table1[[#This Row],[dash_solido]]/25.4</f>
        <v>0.17720000000000002</v>
      </c>
      <c r="N24" s="2">
        <f>Table1[[#This Row],[dash_gapo]]/25.4</f>
        <v>-17.542845146669293</v>
      </c>
      <c r="O24">
        <f>-Table1[[#This Row],[dash_solid]]*99</f>
        <v>-17.542800000000003</v>
      </c>
      <c r="P24" s="14">
        <f>Table1[[#This Row],[dash_gap_calc]]/Table1[[#This Row],[dash_gap]]</f>
        <v>0.99999742649103307</v>
      </c>
      <c r="Q24" s="14">
        <f>COS(RADIANS(Table1[[#This Row],[angle]]))</f>
        <v>0.95936550159114087</v>
      </c>
      <c r="R24" s="14">
        <f>SIN(RADIANS(Table1[[#This Row],[angle]]))</f>
        <v>-0.28216632392399105</v>
      </c>
      <c r="S24" s="14">
        <f>Table1[[#This Row],[sin angle]]/Table1[[#This Row],[dy]]</f>
        <v>-4.9999999983740624</v>
      </c>
      <c r="T24" s="15">
        <f>Table1[[#This Row],[dash_solid]]+-Table1[[#This Row],[dash_gap]]</f>
        <v>17.720045146669293</v>
      </c>
      <c r="U24" s="10">
        <f>Table1[[#This Row],[cos angle]]*Table1[[#This Row],[dash total]]</f>
        <v>17.000000000352046</v>
      </c>
      <c r="V24" s="10">
        <f>Table1[[#This Row],[sin angle]]*Table1[[#This Row],[dash total]]</f>
        <v>-4.9999999988028332</v>
      </c>
    </row>
    <row r="25" spans="1:22" x14ac:dyDescent="0.3">
      <c r="A25" s="1">
        <v>339.44395478000001</v>
      </c>
      <c r="B25">
        <v>0</v>
      </c>
      <c r="C25">
        <v>4.8259999999999996</v>
      </c>
      <c r="D25">
        <v>-136.75087638398</v>
      </c>
      <c r="E25">
        <v>2.9728451377899998</v>
      </c>
      <c r="F25">
        <v>4.3403520000000002</v>
      </c>
      <c r="G25" s="2">
        <v>-212.67734313106001</v>
      </c>
      <c r="H25" s="1">
        <v>339.44395478000001</v>
      </c>
      <c r="I25">
        <f>Table1[[#This Row],[xo]]/25.4</f>
        <v>0</v>
      </c>
      <c r="J25">
        <f>Table1[[#This Row],[yo]]/25.4</f>
        <v>0.19</v>
      </c>
      <c r="K25">
        <f>Table1[[#This Row],[dxo]]/25.4</f>
        <v>-5.3838927710228353</v>
      </c>
      <c r="L25">
        <f>Table1[[#This Row],[dyo]]/25.4</f>
        <v>0.11704114715708662</v>
      </c>
      <c r="M25">
        <f>Table1[[#This Row],[dash_solido]]/25.4</f>
        <v>0.17088</v>
      </c>
      <c r="N25" s="2">
        <f>Table1[[#This Row],[dash_gapo]]/25.4</f>
        <v>-8.373123745317324</v>
      </c>
      <c r="O25">
        <f>-Table1[[#This Row],[dash_solid]]*99</f>
        <v>-16.917120000000001</v>
      </c>
      <c r="P25" s="14">
        <f>Table1[[#This Row],[dash_gap_calc]]/Table1[[#This Row],[dash_gap]]</f>
        <v>2.0204072595321327</v>
      </c>
      <c r="Q25" s="14">
        <f>COS(RADIANS(Table1[[#This Row],[angle]]))</f>
        <v>0.93632917756649181</v>
      </c>
      <c r="R25" s="14">
        <f>SIN(RADIANS(Table1[[#This Row],[angle]]))</f>
        <v>-0.35112344159519876</v>
      </c>
      <c r="S25" s="14">
        <f>Table1[[#This Row],[sin angle]]/Table1[[#This Row],[dy]]</f>
        <v>-3.0000000010589343</v>
      </c>
      <c r="T25" s="15">
        <f>Table1[[#This Row],[dash_solid]]+-Table1[[#This Row],[dash_gap]]</f>
        <v>8.5440037453173243</v>
      </c>
      <c r="U25" s="10">
        <f>Table1[[#This Row],[cos angle]]*Table1[[#This Row],[dash total]]</f>
        <v>7.9999999999779963</v>
      </c>
      <c r="V25" s="10">
        <f>Table1[[#This Row],[sin angle]]*Table1[[#This Row],[dash total]]</f>
        <v>-3.0000000000580869</v>
      </c>
    </row>
    <row r="26" spans="1:22" x14ac:dyDescent="0.3">
      <c r="A26" s="1">
        <v>294.77514059999999</v>
      </c>
      <c r="B26">
        <v>4.0640000000000001</v>
      </c>
      <c r="C26">
        <v>3.302</v>
      </c>
      <c r="D26">
        <v>-306.90424056705001</v>
      </c>
      <c r="E26">
        <v>1.7740129521500001</v>
      </c>
      <c r="F26">
        <v>3.6367212000000002</v>
      </c>
      <c r="G26" s="2">
        <v>-360.03593380720002</v>
      </c>
      <c r="H26" s="1">
        <v>294.77514059999999</v>
      </c>
      <c r="I26">
        <f>Table1[[#This Row],[xo]]/25.4</f>
        <v>0.16</v>
      </c>
      <c r="J26">
        <f>Table1[[#This Row],[yo]]/25.4</f>
        <v>0.13</v>
      </c>
      <c r="K26">
        <f>Table1[[#This Row],[dxo]]/25.4</f>
        <v>-12.082844116812993</v>
      </c>
      <c r="L26">
        <f>Table1[[#This Row],[dyo]]/25.4</f>
        <v>6.9843029612204732E-2</v>
      </c>
      <c r="M26">
        <f>Table1[[#This Row],[dash_solido]]/25.4</f>
        <v>0.14317800000000003</v>
      </c>
      <c r="N26" s="2">
        <f>Table1[[#This Row],[dash_gapo]]/25.4</f>
        <v>-14.174643063275592</v>
      </c>
      <c r="O26">
        <f>-Table1[[#This Row],[dash_solid]]*99</f>
        <v>-14.174622000000003</v>
      </c>
      <c r="P26" s="14">
        <f>Table1[[#This Row],[dash_gap_calc]]/Table1[[#This Row],[dash_gap]]</f>
        <v>0.99999851401721407</v>
      </c>
      <c r="Q26" s="14">
        <f>COS(RADIANS(Table1[[#This Row],[angle]]))</f>
        <v>0.41905817795566347</v>
      </c>
      <c r="R26" s="14">
        <f>SIN(RADIANS(Table1[[#This Row],[angle]]))</f>
        <v>-0.90795938427249023</v>
      </c>
      <c r="S26" s="14">
        <f>Table1[[#This Row],[sin angle]]/Table1[[#This Row],[dy]]</f>
        <v>-12.999999990175523</v>
      </c>
      <c r="T26" s="15">
        <f>Table1[[#This Row],[dash_solid]]+-Table1[[#This Row],[dash_gap]]</f>
        <v>14.317821063275593</v>
      </c>
      <c r="U26" s="10">
        <f>Table1[[#This Row],[cos angle]]*Table1[[#This Row],[dash total]]</f>
        <v>6.0000000070714901</v>
      </c>
      <c r="V26" s="10">
        <f>Table1[[#This Row],[sin angle]]*Table1[[#This Row],[dash total]]</f>
        <v>-12.999999996735399</v>
      </c>
    </row>
    <row r="27" spans="1:22" x14ac:dyDescent="0.3">
      <c r="A27" s="1">
        <v>66.801409489999998</v>
      </c>
      <c r="B27">
        <v>19.812000000000001</v>
      </c>
      <c r="C27">
        <v>0</v>
      </c>
      <c r="D27">
        <v>136.74251918012001</v>
      </c>
      <c r="E27">
        <v>3.33518339452</v>
      </c>
      <c r="F27">
        <v>3.8688009999999999</v>
      </c>
      <c r="G27" s="2">
        <v>-189.57183588894</v>
      </c>
      <c r="H27" s="1">
        <v>66.801409489999998</v>
      </c>
      <c r="I27">
        <f>Table1[[#This Row],[xo]]/25.4</f>
        <v>0.78000000000000014</v>
      </c>
      <c r="J27">
        <f>Table1[[#This Row],[yo]]/25.4</f>
        <v>0</v>
      </c>
      <c r="K27">
        <f>Table1[[#This Row],[dxo]]/25.4</f>
        <v>5.3835637472488198</v>
      </c>
      <c r="L27">
        <f>Table1[[#This Row],[dyo]]/25.4</f>
        <v>0.13130643285511812</v>
      </c>
      <c r="M27">
        <f>Table1[[#This Row],[dash_solido]]/25.4</f>
        <v>0.15231500000000001</v>
      </c>
      <c r="N27" s="2">
        <f>Table1[[#This Row],[dash_gapo]]/25.4</f>
        <v>-7.4634581058637801</v>
      </c>
      <c r="O27">
        <f>-Table1[[#This Row],[dash_solid]]*99</f>
        <v>-15.079185000000001</v>
      </c>
      <c r="P27" s="14">
        <f>Table1[[#This Row],[dash_gap_calc]]/Table1[[#This Row],[dash_gap]]</f>
        <v>2.0204019083530205</v>
      </c>
      <c r="Q27" s="14">
        <f>COS(RADIANS(Table1[[#This Row],[angle]]))</f>
        <v>0.39391929852064311</v>
      </c>
      <c r="R27" s="14">
        <f>SIN(RADIANS(Table1[[#This Row],[angle]]))</f>
        <v>0.91914503004313985</v>
      </c>
      <c r="S27" s="14">
        <f>Table1[[#This Row],[sin angle]]/Table1[[#This Row],[dy]]</f>
        <v>7.0000000004364828</v>
      </c>
      <c r="T27" s="15">
        <f>Table1[[#This Row],[dash_solid]]+-Table1[[#This Row],[dash_gap]]</f>
        <v>7.6157731058637799</v>
      </c>
      <c r="U27" s="10">
        <f>Table1[[#This Row],[cos angle]]*Table1[[#This Row],[dash total]]</f>
        <v>2.9999999995542397</v>
      </c>
      <c r="V27" s="10">
        <f>Table1[[#This Row],[sin angle]]*Table1[[#This Row],[dash total]]</f>
        <v>7.0000000001909006</v>
      </c>
    </row>
    <row r="28" spans="1:22" x14ac:dyDescent="0.3">
      <c r="A28" s="1">
        <v>17.354024639999999</v>
      </c>
      <c r="B28">
        <v>21.335999999999999</v>
      </c>
      <c r="C28">
        <v>3.556</v>
      </c>
      <c r="D28">
        <v>-345.47402804977003</v>
      </c>
      <c r="E28">
        <v>1.51523696536</v>
      </c>
      <c r="F28">
        <v>4.2578274</v>
      </c>
      <c r="G28" s="2">
        <v>-421.52375980199997</v>
      </c>
      <c r="H28" s="1">
        <v>17.354024639999999</v>
      </c>
      <c r="I28">
        <f>Table1[[#This Row],[xo]]/25.4</f>
        <v>0.84</v>
      </c>
      <c r="J28">
        <f>Table1[[#This Row],[yo]]/25.4</f>
        <v>0.14000000000000001</v>
      </c>
      <c r="K28">
        <f>Table1[[#This Row],[dxo]]/25.4</f>
        <v>-13.60133968699882</v>
      </c>
      <c r="L28">
        <f>Table1[[#This Row],[dyo]]/25.4</f>
        <v>5.9654998636220473E-2</v>
      </c>
      <c r="M28">
        <f>Table1[[#This Row],[dash_solido]]/25.4</f>
        <v>0.167631</v>
      </c>
      <c r="N28" s="2">
        <f>Table1[[#This Row],[dash_gapo]]/25.4</f>
        <v>-16.595423614251967</v>
      </c>
      <c r="O28">
        <f>-Table1[[#This Row],[dash_solid]]*99</f>
        <v>-16.595469000000001</v>
      </c>
      <c r="P28" s="14">
        <f>Table1[[#This Row],[dash_gap_calc]]/Table1[[#This Row],[dash_gap]]</f>
        <v>1.0000027348351623</v>
      </c>
      <c r="Q28" s="14">
        <f>COS(RADIANS(Table1[[#This Row],[angle]]))</f>
        <v>0.95447997801556661</v>
      </c>
      <c r="R28" s="14">
        <f>SIN(RADIANS(Table1[[#This Row],[angle]]))</f>
        <v>0.2982749931982287</v>
      </c>
      <c r="S28" s="14">
        <f>Table1[[#This Row],[sin angle]]/Table1[[#This Row],[dy]]</f>
        <v>5.0000000002870895</v>
      </c>
      <c r="T28" s="15">
        <f>Table1[[#This Row],[dash_solid]]+-Table1[[#This Row],[dash_gap]]</f>
        <v>16.763054614251967</v>
      </c>
      <c r="U28" s="10">
        <f>Table1[[#This Row],[cos angle]]*Table1[[#This Row],[dash total]]</f>
        <v>15.99999999968496</v>
      </c>
      <c r="V28" s="10">
        <f>Table1[[#This Row],[sin angle]]*Table1[[#This Row],[dash total]]</f>
        <v>5.0000000010475416</v>
      </c>
    </row>
    <row r="29" spans="1:22" x14ac:dyDescent="0.3">
      <c r="A29" s="1">
        <v>69.443954779999999</v>
      </c>
      <c r="B29">
        <v>7.3659999999999997</v>
      </c>
      <c r="C29">
        <v>0</v>
      </c>
      <c r="D29">
        <v>-136.75087638395999</v>
      </c>
      <c r="E29">
        <v>2.9728451387399999</v>
      </c>
      <c r="F29">
        <v>2.1701760000000001</v>
      </c>
      <c r="G29" s="2">
        <v>-214.84751913106001</v>
      </c>
      <c r="H29" s="1">
        <v>69.443954779999999</v>
      </c>
      <c r="I29">
        <f>Table1[[#This Row],[xo]]/25.4</f>
        <v>0.28999999999999998</v>
      </c>
      <c r="J29">
        <f>Table1[[#This Row],[yo]]/25.4</f>
        <v>0</v>
      </c>
      <c r="K29">
        <f>Table1[[#This Row],[dxo]]/25.4</f>
        <v>-5.3838927710220474</v>
      </c>
      <c r="L29">
        <f>Table1[[#This Row],[dyo]]/25.4</f>
        <v>0.11704114719448819</v>
      </c>
      <c r="M29">
        <f>Table1[[#This Row],[dash_solido]]/25.4</f>
        <v>8.5440000000000002E-2</v>
      </c>
      <c r="N29" s="2">
        <f>Table1[[#This Row],[dash_gapo]]/25.4</f>
        <v>-8.4585637453173241</v>
      </c>
      <c r="O29">
        <f>-Table1[[#This Row],[dash_solid]]*99</f>
        <v>-8.4585600000000003</v>
      </c>
      <c r="P29" s="14">
        <f>Table1[[#This Row],[dash_gap_calc]]/Table1[[#This Row],[dash_gap]]</f>
        <v>0.99999955721592504</v>
      </c>
      <c r="Q29" s="14">
        <f>COS(RADIANS(Table1[[#This Row],[angle]]))</f>
        <v>0.35112344159519882</v>
      </c>
      <c r="R29" s="14">
        <f>SIN(RADIANS(Table1[[#This Row],[angle]]))</f>
        <v>0.93632917756649181</v>
      </c>
      <c r="S29" s="14">
        <f>Table1[[#This Row],[sin angle]]/Table1[[#This Row],[dy]]</f>
        <v>8.0000000000904503</v>
      </c>
      <c r="T29" s="15">
        <f>Table1[[#This Row],[dash_solid]]+-Table1[[#This Row],[dash_gap]]</f>
        <v>8.5440037453173243</v>
      </c>
      <c r="U29" s="10">
        <f>Table1[[#This Row],[cos angle]]*Table1[[#This Row],[dash total]]</f>
        <v>3.0000000000580873</v>
      </c>
      <c r="V29" s="10">
        <f>Table1[[#This Row],[sin angle]]*Table1[[#This Row],[dash total]]</f>
        <v>7.9999999999779963</v>
      </c>
    </row>
    <row r="30" spans="1:22" x14ac:dyDescent="0.3">
      <c r="A30" s="1">
        <v>101.30993247399999</v>
      </c>
      <c r="B30">
        <v>18.288</v>
      </c>
      <c r="C30">
        <v>0</v>
      </c>
      <c r="D30">
        <v>104.60834648271</v>
      </c>
      <c r="E30">
        <v>4.9813498325500003</v>
      </c>
      <c r="F30">
        <v>1.2951459999999999</v>
      </c>
      <c r="G30" s="2">
        <v>-128.21994964525999</v>
      </c>
      <c r="H30" s="1">
        <v>101.30993247399999</v>
      </c>
      <c r="I30">
        <f>Table1[[#This Row],[xo]]/25.4</f>
        <v>0.72000000000000008</v>
      </c>
      <c r="J30">
        <f>Table1[[#This Row],[yo]]/25.4</f>
        <v>0</v>
      </c>
      <c r="K30">
        <f>Table1[[#This Row],[dxo]]/25.4</f>
        <v>4.1184388379019685</v>
      </c>
      <c r="L30">
        <f>Table1[[#This Row],[dyo]]/25.4</f>
        <v>0.19611613513976381</v>
      </c>
      <c r="M30">
        <f>Table1[[#This Row],[dash_solido]]/25.4</f>
        <v>5.0990000000000001E-2</v>
      </c>
      <c r="N30" s="2">
        <f>Table1[[#This Row],[dash_gapo]]/25.4</f>
        <v>-5.0480295135929127</v>
      </c>
      <c r="O30">
        <f>-Table1[[#This Row],[dash_solid]]*99</f>
        <v>-5.0480099999999997</v>
      </c>
      <c r="P30" s="14">
        <f>Table1[[#This Row],[dash_gap_calc]]/Table1[[#This Row],[dash_gap]]</f>
        <v>0.99999613441386181</v>
      </c>
      <c r="Q30" s="14">
        <f>COS(RADIANS(Table1[[#This Row],[angle]]))</f>
        <v>-0.1961161351378379</v>
      </c>
      <c r="R30" s="14">
        <f>SIN(RADIANS(Table1[[#This Row],[angle]]))</f>
        <v>0.98058067569098939</v>
      </c>
      <c r="S30" s="14">
        <f>Table1[[#This Row],[sin angle]]/Table1[[#This Row],[dy]]</f>
        <v>4.9999999999600764</v>
      </c>
      <c r="T30" s="15">
        <f>Table1[[#This Row],[dash_solid]]+-Table1[[#This Row],[dash_gap]]</f>
        <v>5.0990195135929124</v>
      </c>
      <c r="U30" s="10">
        <f>Table1[[#This Row],[cos angle]]*Table1[[#This Row],[dash total]]</f>
        <v>-0.99999999999826006</v>
      </c>
      <c r="V30" s="10">
        <f>Table1[[#This Row],[sin angle]]*Table1[[#This Row],[dash total]]</f>
        <v>5.0000000000004778</v>
      </c>
    </row>
    <row r="31" spans="1:22" x14ac:dyDescent="0.3">
      <c r="A31" s="1">
        <v>165.96375653199999</v>
      </c>
      <c r="B31">
        <v>18.033999999999999</v>
      </c>
      <c r="C31">
        <v>1.27</v>
      </c>
      <c r="D31">
        <v>-80.085263386999998</v>
      </c>
      <c r="E31">
        <v>6.1604048758200003</v>
      </c>
      <c r="F31">
        <v>5.2363369999999998</v>
      </c>
      <c r="G31" s="2">
        <v>-99.490545890690001</v>
      </c>
      <c r="H31" s="1">
        <v>165.96375653199999</v>
      </c>
      <c r="I31">
        <f>Table1[[#This Row],[xo]]/25.4</f>
        <v>0.71</v>
      </c>
      <c r="J31">
        <f>Table1[[#This Row],[yo]]/25.4</f>
        <v>0.05</v>
      </c>
      <c r="K31">
        <f>Table1[[#This Row],[dxo]]/25.4</f>
        <v>-3.1529631254724411</v>
      </c>
      <c r="L31">
        <f>Table1[[#This Row],[dyo]]/25.4</f>
        <v>0.24253562503228349</v>
      </c>
      <c r="M31">
        <f>Table1[[#This Row],[dash_solido]]/25.4</f>
        <v>0.206155</v>
      </c>
      <c r="N31" s="2">
        <f>Table1[[#This Row],[dash_gapo]]/25.4</f>
        <v>-3.9169506256177167</v>
      </c>
      <c r="O31">
        <f>-Table1[[#This Row],[dash_solid]]*99</f>
        <v>-20.409345000000002</v>
      </c>
      <c r="P31" s="14">
        <f>Table1[[#This Row],[dash_gap_calc]]/Table1[[#This Row],[dash_gap]]</f>
        <v>5.2105188323075629</v>
      </c>
      <c r="Q31" s="14">
        <f>COS(RADIANS(Table1[[#This Row],[angle]]))</f>
        <v>-0.97014250014502057</v>
      </c>
      <c r="R31" s="14">
        <f>SIN(RADIANS(Table1[[#This Row],[angle]]))</f>
        <v>0.24253562503757825</v>
      </c>
      <c r="S31" s="14">
        <f>Table1[[#This Row],[sin angle]]/Table1[[#This Row],[dy]]</f>
        <v>1.000000000021831</v>
      </c>
      <c r="T31" s="15">
        <f>Table1[[#This Row],[dash_solid]]+-Table1[[#This Row],[dash_gap]]</f>
        <v>4.1231056256177165</v>
      </c>
      <c r="U31" s="10">
        <f>Table1[[#This Row],[cos angle]]*Table1[[#This Row],[dash total]]</f>
        <v>-3.9999999999987708</v>
      </c>
      <c r="V31" s="10">
        <f>Table1[[#This Row],[sin angle]]*Table1[[#This Row],[dash total]]</f>
        <v>1.0000000000051479</v>
      </c>
    </row>
    <row r="32" spans="1:22" x14ac:dyDescent="0.3">
      <c r="A32" s="1">
        <v>186.00900596</v>
      </c>
      <c r="B32">
        <v>12.954000000000001</v>
      </c>
      <c r="C32">
        <v>2.54</v>
      </c>
      <c r="D32">
        <v>-255.26337856878999</v>
      </c>
      <c r="E32">
        <v>1.3294967611799999</v>
      </c>
      <c r="F32">
        <v>4.8526699999999998</v>
      </c>
      <c r="G32" s="2">
        <v>-480.41364863336997</v>
      </c>
      <c r="H32" s="1">
        <v>186.00900596</v>
      </c>
      <c r="I32">
        <f>Table1[[#This Row],[xo]]/25.4</f>
        <v>0.51</v>
      </c>
      <c r="J32">
        <f>Table1[[#This Row],[yo]]/25.4</f>
        <v>0.1</v>
      </c>
      <c r="K32">
        <f>Table1[[#This Row],[dxo]]/25.4</f>
        <v>-10.049739313731889</v>
      </c>
      <c r="L32">
        <f>Table1[[#This Row],[dyo]]/25.4</f>
        <v>5.2342392172440945E-2</v>
      </c>
      <c r="M32">
        <f>Table1[[#This Row],[dash_solido]]/25.4</f>
        <v>0.19105</v>
      </c>
      <c r="N32" s="2">
        <f>Table1[[#This Row],[dash_gapo]]/25.4</f>
        <v>-18.913923174542127</v>
      </c>
      <c r="O32">
        <f>-Table1[[#This Row],[dash_solid]]*99</f>
        <v>-18.91395</v>
      </c>
      <c r="P32" s="14">
        <f>Table1[[#This Row],[dash_gap_calc]]/Table1[[#This Row],[dash_gap]]</f>
        <v>1.0000014182915742</v>
      </c>
      <c r="Q32" s="14">
        <f>COS(RADIANS(Table1[[#This Row],[angle]]))</f>
        <v>-0.99450545291682835</v>
      </c>
      <c r="R32" s="14">
        <f>SIN(RADIANS(Table1[[#This Row],[angle]]))</f>
        <v>-0.10468478456153099</v>
      </c>
      <c r="S32" s="14">
        <f>Table1[[#This Row],[sin angle]]/Table1[[#This Row],[dy]]</f>
        <v>-2.0000000041390753</v>
      </c>
      <c r="T32" s="15">
        <f>Table1[[#This Row],[dash_solid]]+-Table1[[#This Row],[dash_gap]]</f>
        <v>19.104973174542128</v>
      </c>
      <c r="U32" s="10">
        <f>Table1[[#This Row],[cos angle]]*Table1[[#This Row],[dash total]]</f>
        <v>-18.999999999911875</v>
      </c>
      <c r="V32" s="10">
        <f>Table1[[#This Row],[sin angle]]*Table1[[#This Row],[dash total]]</f>
        <v>-2.0000000008307715</v>
      </c>
    </row>
    <row r="33" spans="1:22" x14ac:dyDescent="0.3">
      <c r="A33" s="1">
        <v>303.69006753000002</v>
      </c>
      <c r="B33">
        <v>15.747999999999999</v>
      </c>
      <c r="C33">
        <v>15.747999999999999</v>
      </c>
      <c r="D33">
        <v>-56.357539936480002</v>
      </c>
      <c r="E33">
        <v>7.0446924921000003</v>
      </c>
      <c r="F33">
        <v>3.6632387999999998</v>
      </c>
      <c r="G33" s="2">
        <v>-87.9177635968</v>
      </c>
      <c r="H33" s="1">
        <v>303.69006753000002</v>
      </c>
      <c r="I33">
        <f>Table1[[#This Row],[xo]]/25.4</f>
        <v>0.62</v>
      </c>
      <c r="J33">
        <f>Table1[[#This Row],[yo]]/25.4</f>
        <v>0.62</v>
      </c>
      <c r="K33">
        <f>Table1[[#This Row],[dxo]]/25.4</f>
        <v>-2.2188007849007878</v>
      </c>
      <c r="L33">
        <f>Table1[[#This Row],[dyo]]/25.4</f>
        <v>0.27735009811417327</v>
      </c>
      <c r="M33">
        <f>Table1[[#This Row],[dash_solido]]/25.4</f>
        <v>0.14422199999999999</v>
      </c>
      <c r="N33" s="2">
        <f>Table1[[#This Row],[dash_gapo]]/25.4</f>
        <v>-3.4613292754645673</v>
      </c>
      <c r="O33">
        <f>-Table1[[#This Row],[dash_solid]]*99</f>
        <v>-14.277977999999999</v>
      </c>
      <c r="P33" s="14">
        <f>Table1[[#This Row],[dash_gap_calc]]/Table1[[#This Row],[dash_gap]]</f>
        <v>4.1249984799795332</v>
      </c>
      <c r="Q33" s="14">
        <f>COS(RADIANS(Table1[[#This Row],[angle]]))</f>
        <v>0.55470019628361089</v>
      </c>
      <c r="R33" s="14">
        <f>SIN(RADIANS(Table1[[#This Row],[angle]]))</f>
        <v>-0.83205029429892252</v>
      </c>
      <c r="S33" s="14">
        <f>Table1[[#This Row],[sin angle]]/Table1[[#This Row],[dy]]</f>
        <v>-2.9999999998428075</v>
      </c>
      <c r="T33" s="15">
        <f>Table1[[#This Row],[dash_solid]]+-Table1[[#This Row],[dash_gap]]</f>
        <v>3.6055512754645673</v>
      </c>
      <c r="U33" s="10">
        <f>Table1[[#This Row],[cos angle]]*Table1[[#This Row],[dash total]]</f>
        <v>2.0000000002108189</v>
      </c>
      <c r="V33" s="10">
        <f>Table1[[#This Row],[sin angle]]*Table1[[#This Row],[dash total]]</f>
        <v>-2.9999999998601488</v>
      </c>
    </row>
    <row r="34" spans="1:22" x14ac:dyDescent="0.3">
      <c r="A34" s="1">
        <v>353.15722658999999</v>
      </c>
      <c r="B34">
        <v>17.78</v>
      </c>
      <c r="C34">
        <v>12.7</v>
      </c>
      <c r="D34">
        <v>434.77679606606</v>
      </c>
      <c r="E34">
        <v>1.0087628707</v>
      </c>
      <c r="F34">
        <v>6.3955675999999997</v>
      </c>
      <c r="G34" s="2">
        <v>-633.16009065031005</v>
      </c>
      <c r="H34" s="1">
        <v>353.15722658999999</v>
      </c>
      <c r="I34">
        <f>Table1[[#This Row],[xo]]/25.4</f>
        <v>0.70000000000000007</v>
      </c>
      <c r="J34">
        <f>Table1[[#This Row],[yo]]/25.4</f>
        <v>0.5</v>
      </c>
      <c r="K34">
        <f>Table1[[#This Row],[dxo]]/25.4</f>
        <v>17.117196695514174</v>
      </c>
      <c r="L34">
        <f>Table1[[#This Row],[dyo]]/25.4</f>
        <v>3.9715073649606303E-2</v>
      </c>
      <c r="M34">
        <f>Table1[[#This Row],[dash_solido]]/25.4</f>
        <v>0.25179400000000002</v>
      </c>
      <c r="N34" s="2">
        <f>Table1[[#This Row],[dash_gapo]]/25.4</f>
        <v>-24.927562624027956</v>
      </c>
      <c r="O34">
        <f>-Table1[[#This Row],[dash_solid]]*99</f>
        <v>-24.927606000000001</v>
      </c>
      <c r="P34" s="14">
        <f>Table1[[#This Row],[dash_gap_calc]]/Table1[[#This Row],[dash_gap]]</f>
        <v>1.000001740080757</v>
      </c>
      <c r="Q34" s="14">
        <f>COS(RADIANS(Table1[[#This Row],[angle]]))</f>
        <v>0.99287683849239305</v>
      </c>
      <c r="R34" s="14">
        <f>SIN(RADIANS(Table1[[#This Row],[angle]]))</f>
        <v>-0.11914522057283924</v>
      </c>
      <c r="S34" s="14">
        <f>Table1[[#This Row],[sin angle]]/Table1[[#This Row],[dy]]</f>
        <v>-2.9999999905330741</v>
      </c>
      <c r="T34" s="15">
        <f>Table1[[#This Row],[dash_solid]]+-Table1[[#This Row],[dash_gap]]</f>
        <v>25.179356624027957</v>
      </c>
      <c r="U34" s="10">
        <f>Table1[[#This Row],[cos angle]]*Table1[[#This Row],[dash total]]</f>
        <v>25.000000000137373</v>
      </c>
      <c r="V34" s="10">
        <f>Table1[[#This Row],[sin angle]]*Table1[[#This Row],[dash total]]</f>
        <v>-2.9999999988519916</v>
      </c>
    </row>
    <row r="35" spans="1:22" x14ac:dyDescent="0.3">
      <c r="A35" s="1">
        <v>60.945395900000001</v>
      </c>
      <c r="B35">
        <v>24.13</v>
      </c>
      <c r="C35">
        <v>11.938000000000001</v>
      </c>
      <c r="D35">
        <v>-204.76648550216001</v>
      </c>
      <c r="E35">
        <v>2.4670660903099999</v>
      </c>
      <c r="F35">
        <v>2.6150823999999999</v>
      </c>
      <c r="G35" s="2">
        <v>-258.89392318109998</v>
      </c>
      <c r="H35" s="1">
        <v>60.945395900000001</v>
      </c>
      <c r="I35">
        <f>Table1[[#This Row],[xo]]/25.4</f>
        <v>0.95000000000000007</v>
      </c>
      <c r="J35">
        <f>Table1[[#This Row],[yo]]/25.4</f>
        <v>0.47000000000000003</v>
      </c>
      <c r="K35">
        <f>Table1[[#This Row],[dxo]]/25.4</f>
        <v>-8.0616726575653548</v>
      </c>
      <c r="L35">
        <f>Table1[[#This Row],[dyo]]/25.4</f>
        <v>9.7128586232677172E-2</v>
      </c>
      <c r="M35">
        <f>Table1[[#This Row],[dash_solido]]/25.4</f>
        <v>0.10295600000000001</v>
      </c>
      <c r="N35" s="2">
        <f>Table1[[#This Row],[dash_gapo]]/25.4</f>
        <v>-10.192674140988188</v>
      </c>
      <c r="O35">
        <f>-Table1[[#This Row],[dash_solid]]*99</f>
        <v>-10.192644000000001</v>
      </c>
      <c r="P35" s="14">
        <f>Table1[[#This Row],[dash_gap_calc]]/Table1[[#This Row],[dash_gap]]</f>
        <v>0.99999704287728908</v>
      </c>
      <c r="Q35" s="14">
        <f>COS(RADIANS(Table1[[#This Row],[angle]]))</f>
        <v>0.48564293119271201</v>
      </c>
      <c r="R35" s="14">
        <f>SIN(RADIANS(Table1[[#This Row],[angle]]))</f>
        <v>0.87415727611371563</v>
      </c>
      <c r="S35" s="14">
        <f>Table1[[#This Row],[sin angle]]/Table1[[#This Row],[dy]]</f>
        <v>9.0000000002020109</v>
      </c>
      <c r="T35" s="15">
        <f>Table1[[#This Row],[dash_solid]]+-Table1[[#This Row],[dash_gap]]</f>
        <v>10.295630140988189</v>
      </c>
      <c r="U35" s="10">
        <f>Table1[[#This Row],[cos angle]]*Table1[[#This Row],[dash total]]</f>
        <v>5.0000000001455387</v>
      </c>
      <c r="V35" s="10">
        <f>Table1[[#This Row],[sin angle]]*Table1[[#This Row],[dash total]]</f>
        <v>8.9999999999205063</v>
      </c>
    </row>
    <row r="36" spans="1:22" x14ac:dyDescent="0.3">
      <c r="A36" s="1">
        <v>90</v>
      </c>
      <c r="B36">
        <v>25.4</v>
      </c>
      <c r="C36">
        <v>14.224</v>
      </c>
      <c r="D36">
        <v>25.4</v>
      </c>
      <c r="E36">
        <v>25.4</v>
      </c>
      <c r="F36">
        <v>1.524</v>
      </c>
      <c r="G36" s="2">
        <v>-23.876000000000001</v>
      </c>
      <c r="H36" s="1">
        <v>90</v>
      </c>
      <c r="I36">
        <f>Table1[[#This Row],[xo]]/25.4</f>
        <v>1</v>
      </c>
      <c r="J36">
        <f>Table1[[#This Row],[yo]]/25.4</f>
        <v>0.56000000000000005</v>
      </c>
      <c r="K36">
        <f>Table1[[#This Row],[dxo]]/25.4</f>
        <v>1</v>
      </c>
      <c r="L36">
        <f>Table1[[#This Row],[dyo]]/25.4</f>
        <v>1</v>
      </c>
      <c r="M36">
        <f>Table1[[#This Row],[dash_solido]]/25.4</f>
        <v>6.0000000000000005E-2</v>
      </c>
      <c r="N36" s="2">
        <f>Table1[[#This Row],[dash_gapo]]/25.4</f>
        <v>-0.94000000000000006</v>
      </c>
      <c r="O36">
        <f>-Table1[[#This Row],[dash_solid]]*99</f>
        <v>-5.94</v>
      </c>
      <c r="P36" s="14">
        <f>Table1[[#This Row],[dash_gap_calc]]/Table1[[#This Row],[dash_gap]]</f>
        <v>6.3191489361702127</v>
      </c>
      <c r="Q36" s="14">
        <f>COS(RADIANS(Table1[[#This Row],[angle]]))</f>
        <v>6.1257422745431001E-17</v>
      </c>
      <c r="R36" s="14">
        <f>SIN(RADIANS(Table1[[#This Row],[angle]]))</f>
        <v>1</v>
      </c>
      <c r="S36" s="14">
        <f>Table1[[#This Row],[sin angle]]/Table1[[#This Row],[dy]]</f>
        <v>1</v>
      </c>
      <c r="T36" s="15">
        <f>Table1[[#This Row],[dash_solid]]+-Table1[[#This Row],[dash_gap]]</f>
        <v>1</v>
      </c>
      <c r="U36" s="10">
        <f>Table1[[#This Row],[cos angle]]*Table1[[#This Row],[dash total]]</f>
        <v>6.1257422745431001E-17</v>
      </c>
      <c r="V36" s="10">
        <f>Table1[[#This Row],[sin angle]]*Table1[[#This Row],[dash total]]</f>
        <v>1</v>
      </c>
    </row>
    <row r="37" spans="1:22" x14ac:dyDescent="0.3">
      <c r="A37" s="1">
        <v>120.25643716</v>
      </c>
      <c r="B37">
        <v>12.446</v>
      </c>
      <c r="C37">
        <v>3.302</v>
      </c>
      <c r="D37">
        <v>-204.77318477297001</v>
      </c>
      <c r="E37">
        <v>1.8283320085999999</v>
      </c>
      <c r="F37">
        <v>3.5286696000000002</v>
      </c>
      <c r="G37" s="2">
        <v>-349.33940773199998</v>
      </c>
      <c r="H37" s="1">
        <v>120.25643716</v>
      </c>
      <c r="I37">
        <f>Table1[[#This Row],[xo]]/25.4</f>
        <v>0.49</v>
      </c>
      <c r="J37">
        <f>Table1[[#This Row],[yo]]/25.4</f>
        <v>0.13</v>
      </c>
      <c r="K37">
        <f>Table1[[#This Row],[dxo]]/25.4</f>
        <v>-8.0619364083846463</v>
      </c>
      <c r="L37">
        <f>Table1[[#This Row],[dyo]]/25.4</f>
        <v>7.1981575141732285E-2</v>
      </c>
      <c r="M37">
        <f>Table1[[#This Row],[dash_solido]]/25.4</f>
        <v>0.13892400000000002</v>
      </c>
      <c r="N37" s="2">
        <f>Table1[[#This Row],[dash_gapo]]/25.4</f>
        <v>-13.753519989448819</v>
      </c>
      <c r="O37">
        <f>-Table1[[#This Row],[dash_solid]]*99</f>
        <v>-13.753476000000003</v>
      </c>
      <c r="P37" s="14">
        <f>Table1[[#This Row],[dash_gap_calc]]/Table1[[#This Row],[dash_gap]]</f>
        <v>0.99999680158615034</v>
      </c>
      <c r="Q37" s="14">
        <f>COS(RADIANS(Table1[[#This Row],[angle]]))</f>
        <v>-0.5038710254708797</v>
      </c>
      <c r="R37" s="14">
        <f>SIN(RADIANS(Table1[[#This Row],[angle]]))</f>
        <v>0.86377890092947052</v>
      </c>
      <c r="S37" s="14">
        <f>Table1[[#This Row],[sin angle]]/Table1[[#This Row],[dy]]</f>
        <v>11.999999989284523</v>
      </c>
      <c r="T37" s="15">
        <f>Table1[[#This Row],[dash_solid]]+-Table1[[#This Row],[dash_gap]]</f>
        <v>13.892443989448818</v>
      </c>
      <c r="U37" s="10">
        <f>Table1[[#This Row],[cos angle]]*Table1[[#This Row],[dash total]]</f>
        <v>-6.9999999992603348</v>
      </c>
      <c r="V37" s="10">
        <f>Table1[[#This Row],[sin angle]]*Table1[[#This Row],[dash total]]</f>
        <v>12.00000000043033</v>
      </c>
    </row>
    <row r="38" spans="1:22" x14ac:dyDescent="0.3">
      <c r="A38" s="1">
        <v>48.012787500000002</v>
      </c>
      <c r="B38">
        <v>10.667999999999999</v>
      </c>
      <c r="C38">
        <v>6.35</v>
      </c>
      <c r="D38">
        <v>305.85067529778001</v>
      </c>
      <c r="E38">
        <v>1.8879671313799999</v>
      </c>
      <c r="F38">
        <v>6.8344288000000004</v>
      </c>
      <c r="G38" s="2">
        <v>-334.88762199565002</v>
      </c>
      <c r="H38" s="1">
        <v>48.012787500000002</v>
      </c>
      <c r="I38">
        <f>Table1[[#This Row],[xo]]/25.4</f>
        <v>0.42</v>
      </c>
      <c r="J38">
        <f>Table1[[#This Row],[yo]]/25.4</f>
        <v>0.25</v>
      </c>
      <c r="K38">
        <f>Table1[[#This Row],[dxo]]/25.4</f>
        <v>12.041365169203939</v>
      </c>
      <c r="L38">
        <f>Table1[[#This Row],[dyo]]/25.4</f>
        <v>7.4329414621259846E-2</v>
      </c>
      <c r="M38">
        <f>Table1[[#This Row],[dash_solido]]/25.4</f>
        <v>0.26907200000000003</v>
      </c>
      <c r="N38" s="2">
        <f>Table1[[#This Row],[dash_gapo]]/25.4</f>
        <v>-13.184552047072836</v>
      </c>
      <c r="O38">
        <f>-Table1[[#This Row],[dash_solid]]*99</f>
        <v>-26.638128000000002</v>
      </c>
      <c r="P38" s="14">
        <f>Table1[[#This Row],[dash_gap_calc]]/Table1[[#This Row],[dash_gap]]</f>
        <v>2.0204044782783543</v>
      </c>
      <c r="Q38" s="14">
        <f>COS(RADIANS(Table1[[#This Row],[angle]]))</f>
        <v>0.66896473167671988</v>
      </c>
      <c r="R38" s="14">
        <f>SIN(RADIANS(Table1[[#This Row],[angle]]))</f>
        <v>0.74329414619832312</v>
      </c>
      <c r="S38" s="14">
        <f>Table1[[#This Row],[sin angle]]/Table1[[#This Row],[dy]]</f>
        <v>9.9999999998079456</v>
      </c>
      <c r="T38" s="15">
        <f>Table1[[#This Row],[dash_solid]]+-Table1[[#This Row],[dash_gap]]</f>
        <v>13.453624047072836</v>
      </c>
      <c r="U38" s="10">
        <f>Table1[[#This Row],[cos angle]]*Table1[[#This Row],[dash total]]</f>
        <v>9.0000000007295462</v>
      </c>
      <c r="V38" s="10">
        <f>Table1[[#This Row],[sin angle]]*Table1[[#This Row],[dash total]]</f>
        <v>9.9999999993422328</v>
      </c>
    </row>
    <row r="39" spans="1:22" x14ac:dyDescent="0.3">
      <c r="A39" s="1">
        <v>0</v>
      </c>
      <c r="B39">
        <v>15.24</v>
      </c>
      <c r="C39">
        <v>11.43</v>
      </c>
      <c r="D39">
        <v>25.4</v>
      </c>
      <c r="E39">
        <v>25.4</v>
      </c>
      <c r="F39">
        <v>6.6040000000000001</v>
      </c>
      <c r="G39" s="2">
        <v>-18.795999999999999</v>
      </c>
      <c r="H39" s="1">
        <v>0</v>
      </c>
      <c r="I39">
        <f>Table1[[#This Row],[xo]]/25.4</f>
        <v>0.60000000000000009</v>
      </c>
      <c r="J39">
        <f>Table1[[#This Row],[yo]]/25.4</f>
        <v>0.45</v>
      </c>
      <c r="K39">
        <f>Table1[[#This Row],[dxo]]/25.4</f>
        <v>1</v>
      </c>
      <c r="L39">
        <f>Table1[[#This Row],[dyo]]/25.4</f>
        <v>1</v>
      </c>
      <c r="M39">
        <f>Table1[[#This Row],[dash_solido]]/25.4</f>
        <v>0.26</v>
      </c>
      <c r="N39" s="2">
        <f>Table1[[#This Row],[dash_gapo]]/25.4</f>
        <v>-0.74</v>
      </c>
      <c r="O39">
        <f>-Table1[[#This Row],[dash_solid]]*99</f>
        <v>-25.740000000000002</v>
      </c>
      <c r="P39" s="14">
        <f>Table1[[#This Row],[dash_gap_calc]]/Table1[[#This Row],[dash_gap]]</f>
        <v>34.78378378378379</v>
      </c>
      <c r="Q39" s="14">
        <f>COS(RADIANS(Table1[[#This Row],[angle]]))</f>
        <v>1</v>
      </c>
      <c r="R39" s="14">
        <f>SIN(RADIANS(Table1[[#This Row],[angle]]))</f>
        <v>0</v>
      </c>
      <c r="S39" s="14">
        <f>Table1[[#This Row],[sin angle]]/Table1[[#This Row],[dy]]</f>
        <v>0</v>
      </c>
      <c r="T39" s="15">
        <f>Table1[[#This Row],[dash_solid]]+-Table1[[#This Row],[dash_gap]]</f>
        <v>1</v>
      </c>
      <c r="U39" s="10">
        <f>Table1[[#This Row],[cos angle]]*Table1[[#This Row],[dash total]]</f>
        <v>1</v>
      </c>
      <c r="V39" s="10">
        <f>Table1[[#This Row],[sin angle]]*Table1[[#This Row],[dash total]]</f>
        <v>0</v>
      </c>
    </row>
    <row r="40" spans="1:22" x14ac:dyDescent="0.3">
      <c r="A40" s="1">
        <v>325.3048465</v>
      </c>
      <c r="B40">
        <v>21.844000000000001</v>
      </c>
      <c r="C40">
        <v>11.43</v>
      </c>
      <c r="D40">
        <v>310.04235091354002</v>
      </c>
      <c r="E40">
        <v>-1.6064370526</v>
      </c>
      <c r="F40">
        <v>4.0160955999999999</v>
      </c>
      <c r="G40" s="2">
        <v>-397.59316724140001</v>
      </c>
      <c r="H40" s="1">
        <v>325.3048465</v>
      </c>
      <c r="I40">
        <f>Table1[[#This Row],[xo]]/25.4</f>
        <v>0.8600000000000001</v>
      </c>
      <c r="J40">
        <f>Table1[[#This Row],[yo]]/25.4</f>
        <v>0.45</v>
      </c>
      <c r="K40">
        <f>Table1[[#This Row],[dxo]]/25.4</f>
        <v>12.206391768249608</v>
      </c>
      <c r="L40">
        <f>Table1[[#This Row],[dyo]]/25.4</f>
        <v>-6.3245553251968512E-2</v>
      </c>
      <c r="M40">
        <f>Table1[[#This Row],[dash_solido]]/25.4</f>
        <v>0.158114</v>
      </c>
      <c r="N40" s="2">
        <f>Table1[[#This Row],[dash_gapo]]/25.4</f>
        <v>-15.65327430084252</v>
      </c>
      <c r="O40">
        <f>-Table1[[#This Row],[dash_solid]]*99</f>
        <v>-15.653286</v>
      </c>
      <c r="P40" s="14">
        <f>Table1[[#This Row],[dash_gap_calc]]/Table1[[#This Row],[dash_gap]]</f>
        <v>1.0000007473936285</v>
      </c>
      <c r="Q40" s="14">
        <f>COS(RADIANS(Table1[[#This Row],[angle]]))</f>
        <v>0.822192191954075</v>
      </c>
      <c r="R40" s="14">
        <f>SIN(RADIANS(Table1[[#This Row],[angle]]))</f>
        <v>-0.56920997838210241</v>
      </c>
      <c r="S40" s="14">
        <f>Table1[[#This Row],[sin angle]]/Table1[[#This Row],[dy]]</f>
        <v>8.99999998599721</v>
      </c>
      <c r="T40" s="15">
        <f>Table1[[#This Row],[dash_solid]]+-Table1[[#This Row],[dash_gap]]</f>
        <v>15.81138830084252</v>
      </c>
      <c r="U40" s="10">
        <f>Table1[[#This Row],[cos angle]]*Table1[[#This Row],[dash total]]</f>
        <v>13.000000004906729</v>
      </c>
      <c r="V40" s="10">
        <f>Table1[[#This Row],[sin angle]]*Table1[[#This Row],[dash total]]</f>
        <v>-8.9999999929135974</v>
      </c>
    </row>
    <row r="41" spans="1:22" x14ac:dyDescent="0.3">
      <c r="A41" s="1">
        <v>254.05460410000001</v>
      </c>
      <c r="B41">
        <v>25.146000000000001</v>
      </c>
      <c r="C41">
        <v>9.1440000000000001</v>
      </c>
      <c r="D41">
        <v>104.6687497289</v>
      </c>
      <c r="E41">
        <v>3.48895832444</v>
      </c>
      <c r="F41">
        <v>3.6982908000000001</v>
      </c>
      <c r="G41" s="2">
        <v>-181.21650038772</v>
      </c>
      <c r="H41" s="1">
        <v>254.05460410000001</v>
      </c>
      <c r="I41">
        <f>Table1[[#This Row],[xo]]/25.4</f>
        <v>0.9900000000000001</v>
      </c>
      <c r="J41">
        <f>Table1[[#This Row],[yo]]/25.4</f>
        <v>0.36000000000000004</v>
      </c>
      <c r="K41">
        <f>Table1[[#This Row],[dxo]]/25.4</f>
        <v>4.1208169184606298</v>
      </c>
      <c r="L41">
        <f>Table1[[#This Row],[dyo]]/25.4</f>
        <v>0.13736056395433072</v>
      </c>
      <c r="M41">
        <f>Table1[[#This Row],[dash_solido]]/25.4</f>
        <v>0.14560200000000001</v>
      </c>
      <c r="N41" s="2">
        <f>Table1[[#This Row],[dash_gapo]]/25.4</f>
        <v>-7.1345078892803153</v>
      </c>
      <c r="O41">
        <f>-Table1[[#This Row],[dash_solid]]*99</f>
        <v>-14.414598000000002</v>
      </c>
      <c r="P41" s="14">
        <f>Table1[[#This Row],[dash_gap_calc]]/Table1[[#This Row],[dash_gap]]</f>
        <v>2.0204053627382077</v>
      </c>
      <c r="Q41" s="14">
        <f>COS(RADIANS(Table1[[#This Row],[angle]]))</f>
        <v>-0.27472112788189096</v>
      </c>
      <c r="R41" s="14">
        <f>SIN(RADIANS(Table1[[#This Row],[angle]]))</f>
        <v>-0.96152394764524807</v>
      </c>
      <c r="S41" s="14">
        <f>Table1[[#This Row],[sin angle]]/Table1[[#This Row],[dy]]</f>
        <v>-6.9999999997447091</v>
      </c>
      <c r="T41" s="15">
        <f>Table1[[#This Row],[dash_solid]]+-Table1[[#This Row],[dash_gap]]</f>
        <v>7.2801098892803155</v>
      </c>
      <c r="U41" s="10">
        <f>Table1[[#This Row],[cos angle]]*Table1[[#This Row],[dash total]]</f>
        <v>-1.9999999998871967</v>
      </c>
      <c r="V41" s="10">
        <f>Table1[[#This Row],[sin angle]]*Table1[[#This Row],[dash total]]</f>
        <v>-7.0000000000320188</v>
      </c>
    </row>
    <row r="42" spans="1:22" x14ac:dyDescent="0.3">
      <c r="A42" s="1">
        <v>207.64597535999999</v>
      </c>
      <c r="B42">
        <v>24.13</v>
      </c>
      <c r="C42">
        <v>5.5880000000000001</v>
      </c>
      <c r="D42">
        <v>545.36007557253004</v>
      </c>
      <c r="E42">
        <v>1.07143433066</v>
      </c>
      <c r="F42">
        <v>6.0214509999999999</v>
      </c>
      <c r="G42" s="2">
        <v>-596.12464422938001</v>
      </c>
      <c r="H42" s="1">
        <v>207.64597535999999</v>
      </c>
      <c r="I42">
        <f>Table1[[#This Row],[xo]]/25.4</f>
        <v>0.95000000000000007</v>
      </c>
      <c r="J42">
        <f>Table1[[#This Row],[yo]]/25.4</f>
        <v>0.22000000000000003</v>
      </c>
      <c r="K42">
        <f>Table1[[#This Row],[dxo]]/25.4</f>
        <v>21.470869117028744</v>
      </c>
      <c r="L42">
        <f>Table1[[#This Row],[dyo]]/25.4</f>
        <v>4.2182453962992132E-2</v>
      </c>
      <c r="M42">
        <f>Table1[[#This Row],[dash_solido]]/25.4</f>
        <v>0.237065</v>
      </c>
      <c r="N42" s="2">
        <f>Table1[[#This Row],[dash_gapo]]/25.4</f>
        <v>-23.469474182259056</v>
      </c>
      <c r="O42">
        <f>-Table1[[#This Row],[dash_solid]]*99</f>
        <v>-23.469435000000001</v>
      </c>
      <c r="P42" s="14">
        <f>Table1[[#This Row],[dash_gap_calc]]/Table1[[#This Row],[dash_gap]]</f>
        <v>0.99999833050119702</v>
      </c>
      <c r="Q42" s="14">
        <f>COS(RADIANS(Table1[[#This Row],[angle]]))</f>
        <v>-0.88583153531043279</v>
      </c>
      <c r="R42" s="14">
        <f>SIN(RADIANS(Table1[[#This Row],[angle]]))</f>
        <v>-0.46400699461275513</v>
      </c>
      <c r="S42" s="14">
        <f>Table1[[#This Row],[sin angle]]/Table1[[#This Row],[dy]]</f>
        <v>-11.000000024176916</v>
      </c>
      <c r="T42" s="15">
        <f>Table1[[#This Row],[dash_solid]]+-Table1[[#This Row],[dash_gap]]</f>
        <v>23.706539182259057</v>
      </c>
      <c r="U42" s="10">
        <f>Table1[[#This Row],[cos angle]]*Table1[[#This Row],[dash total]]</f>
        <v>-21.000000000717474</v>
      </c>
      <c r="V42" s="10">
        <f>Table1[[#This Row],[sin angle]]*Table1[[#This Row],[dash total]]</f>
        <v>-10.999999998629546</v>
      </c>
    </row>
    <row r="43" spans="1:22" ht="17.25" thickBot="1" x14ac:dyDescent="0.35">
      <c r="A43" s="3">
        <v>175.42607874000001</v>
      </c>
      <c r="B43" s="4">
        <v>18.795999999999999</v>
      </c>
      <c r="C43" s="4">
        <v>2.794</v>
      </c>
      <c r="D43" s="4">
        <v>331.17393361860002</v>
      </c>
      <c r="E43" s="4">
        <v>1.0127643235699999</v>
      </c>
      <c r="F43" s="4">
        <v>6.3702946000000003</v>
      </c>
      <c r="G43" s="5">
        <v>-630.65846456240001</v>
      </c>
      <c r="H43" s="3">
        <v>175.42607874000001</v>
      </c>
      <c r="I43" s="4">
        <f>Table1[[#This Row],[xo]]/25.4</f>
        <v>0.74</v>
      </c>
      <c r="J43" s="4">
        <f>Table1[[#This Row],[yo]]/25.4</f>
        <v>0.11000000000000001</v>
      </c>
      <c r="K43" s="4">
        <f>Table1[[#This Row],[dxo]]/25.4</f>
        <v>13.038343843251971</v>
      </c>
      <c r="L43" s="4">
        <f>Table1[[#This Row],[dyo]]/25.4</f>
        <v>3.9872611164173226E-2</v>
      </c>
      <c r="M43" s="4">
        <f>Table1[[#This Row],[dash_solido]]/25.4</f>
        <v>0.25079900000000005</v>
      </c>
      <c r="N43" s="5">
        <f>Table1[[#This Row],[dash_gapo]]/25.4</f>
        <v>-24.829073407968504</v>
      </c>
      <c r="O43">
        <f>-Table1[[#This Row],[dash_solid]]*99</f>
        <v>-24.829101000000005</v>
      </c>
      <c r="P43" s="14">
        <f>Table1[[#This Row],[dash_gap_calc]]/Table1[[#This Row],[dash_gap]]</f>
        <v>1.0000011112791463</v>
      </c>
      <c r="Q43" s="14">
        <f>COS(RADIANS(Table1[[#This Row],[angle]]))</f>
        <v>-0.99681527853598706</v>
      </c>
      <c r="R43" s="14">
        <f>SIN(RADIANS(Table1[[#This Row],[angle]]))</f>
        <v>7.9745222284614781E-2</v>
      </c>
      <c r="S43" s="14">
        <f>Table1[[#This Row],[sin angle]]/Table1[[#This Row],[dy]]</f>
        <v>1.9999999989032153</v>
      </c>
      <c r="T43" s="15">
        <f>Table1[[#This Row],[dash_solid]]+-Table1[[#This Row],[dash_gap]]</f>
        <v>25.079872407968505</v>
      </c>
      <c r="U43" s="10">
        <f>Table1[[#This Row],[cos angle]]*Table1[[#This Row],[dash total]]</f>
        <v>-24.999999999996142</v>
      </c>
      <c r="V43" s="10">
        <f>Table1[[#This Row],[sin angle]]*Table1[[#This Row],[dash total]]</f>
        <v>2.0000000000432254</v>
      </c>
    </row>
  </sheetData>
  <mergeCells count="3">
    <mergeCell ref="A1:G1"/>
    <mergeCell ref="H1:N1"/>
    <mergeCell ref="O1:V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2022-10-06T16:31:34Z</dcterms:created>
  <dcterms:modified xsi:type="dcterms:W3CDTF">2022-10-11T21:42:21Z</dcterms:modified>
</cp:coreProperties>
</file>