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Novot\Downloads\"/>
    </mc:Choice>
  </mc:AlternateContent>
  <xr:revisionPtr revIDLastSave="0" documentId="10_ncr:8100000_{3EC7E5E7-E087-4D74-8E93-8B55A442E80A}" xr6:coauthVersionLast="33" xr6:coauthVersionMax="33" xr10:uidLastSave="{00000000-0000-0000-0000-000000000000}"/>
  <bookViews>
    <workbookView xWindow="0" yWindow="0" windowWidth="23040" windowHeight="9072" activeTab="2" xr2:uid="{00000000-000D-0000-FFFF-FFFF00000000}"/>
  </bookViews>
  <sheets>
    <sheet name="Size of the atmosphere" sheetId="6" r:id="rId1"/>
    <sheet name="Atmosphere" sheetId="7" r:id="rId2"/>
    <sheet name="Temperation regulation" sheetId="8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8" l="1"/>
  <c r="J2" i="8" s="1"/>
  <c r="H10" i="8"/>
  <c r="H5" i="6" l="1"/>
  <c r="J1" i="7"/>
  <c r="H2" i="8" l="1"/>
  <c r="H4" i="8" s="1"/>
  <c r="J4" i="7"/>
  <c r="H7" i="8" l="1"/>
  <c r="J5" i="8" s="1"/>
  <c r="J10" i="8" s="1"/>
  <c r="J3" i="7"/>
  <c r="B16" i="7"/>
  <c r="B17" i="7"/>
  <c r="B1" i="6"/>
  <c r="B2" i="6"/>
  <c r="J11" i="8" l="1"/>
  <c r="F2" i="8" s="1"/>
  <c r="F5" i="6"/>
  <c r="F10" i="6"/>
  <c r="F14" i="6"/>
  <c r="F18" i="6"/>
  <c r="F7" i="6"/>
  <c r="F11" i="6"/>
  <c r="F15" i="6"/>
  <c r="F19" i="6"/>
  <c r="F8" i="6"/>
  <c r="F12" i="6"/>
  <c r="F16" i="6"/>
  <c r="F20" i="6"/>
  <c r="F6" i="6"/>
  <c r="F9" i="6"/>
  <c r="F13" i="6"/>
  <c r="F17" i="6"/>
  <c r="F21" i="6"/>
  <c r="G6" i="6"/>
  <c r="G5" i="6"/>
  <c r="G10" i="6"/>
  <c r="G14" i="6"/>
  <c r="G18" i="6"/>
  <c r="G7" i="6"/>
  <c r="G11" i="6"/>
  <c r="G15" i="6"/>
  <c r="G19" i="6"/>
  <c r="G8" i="6"/>
  <c r="G12" i="6"/>
  <c r="G16" i="6"/>
  <c r="G20" i="6"/>
  <c r="G9" i="6"/>
  <c r="G13" i="6"/>
  <c r="G17" i="6"/>
  <c r="G21" i="6"/>
  <c r="C5" i="6"/>
  <c r="C6" i="6"/>
  <c r="C19" i="6"/>
  <c r="C11" i="6"/>
  <c r="C9" i="6"/>
  <c r="C6" i="7"/>
  <c r="C5" i="7"/>
  <c r="C4" i="7"/>
  <c r="C3" i="7"/>
  <c r="F2" i="7" s="1"/>
  <c r="D6" i="7"/>
  <c r="C8" i="7"/>
  <c r="C15" i="6" l="1"/>
  <c r="C17" i="6"/>
  <c r="C21" i="6"/>
  <c r="C7" i="6"/>
  <c r="C13" i="6"/>
  <c r="C12" i="6"/>
  <c r="C20" i="6"/>
  <c r="C14" i="6"/>
  <c r="C8" i="6"/>
  <c r="C16" i="6"/>
  <c r="C10" i="6"/>
  <c r="C18" i="6"/>
  <c r="D3" i="7"/>
  <c r="D2" i="7"/>
  <c r="D4" i="7"/>
  <c r="D5" i="7"/>
</calcChain>
</file>

<file path=xl/sharedStrings.xml><?xml version="1.0" encoding="utf-8"?>
<sst xmlns="http://schemas.openxmlformats.org/spreadsheetml/2006/main" count="58" uniqueCount="54">
  <si>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0</t>
    </r>
  </si>
  <si>
    <r>
      <t>CO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</si>
  <si>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charset val="238"/>
        <scheme val="minor"/>
      </rPr>
      <t>4</t>
    </r>
  </si>
  <si>
    <r>
      <t>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</si>
  <si>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t>Greenhouse reflection</t>
  </si>
  <si>
    <t>Average tempreture measured (without radiation effect)</t>
  </si>
  <si>
    <r>
      <t>Greenhouse gases in CO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</si>
  <si>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NO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</si>
  <si>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influence on greenhouse effect</t>
  </si>
  <si>
    <t>Works only for troposphere!!!</t>
  </si>
  <si>
    <t>Altitude (km):</t>
  </si>
  <si>
    <t>Stable atmosphere?</t>
  </si>
  <si>
    <t>Escape speed</t>
  </si>
  <si>
    <t>Temperature speed</t>
  </si>
  <si>
    <t>Sun temperature</t>
  </si>
  <si>
    <t>concentration (ppm)</t>
  </si>
  <si>
    <t>SUM</t>
  </si>
  <si>
    <t>K</t>
  </si>
  <si>
    <t>Grav. Const</t>
  </si>
  <si>
    <t>Average molecule mass</t>
  </si>
  <si>
    <t>strenght</t>
  </si>
  <si>
    <t>Bolz. Const</t>
  </si>
  <si>
    <t>Temperature K</t>
  </si>
  <si>
    <t>Albedo</t>
  </si>
  <si>
    <t>Tempreture without atmospheric effects (calculated)</t>
  </si>
  <si>
    <t>Solar constant (calculated)</t>
  </si>
  <si>
    <t>Sun radius</t>
  </si>
  <si>
    <t>Astronomical unit</t>
  </si>
  <si>
    <t>Time</t>
  </si>
  <si>
    <t>Latitude</t>
  </si>
  <si>
    <t>Summer time</t>
  </si>
  <si>
    <t>Ground temperature approximation</t>
  </si>
  <si>
    <t>YES</t>
  </si>
  <si>
    <t>Day</t>
  </si>
  <si>
    <t>Month</t>
  </si>
  <si>
    <t>Temperature measured</t>
  </si>
  <si>
    <t>Sun height angle</t>
  </si>
  <si>
    <t> ČSN 730581</t>
  </si>
  <si>
    <t>Rise-Set time</t>
  </si>
  <si>
    <t>Declanation</t>
  </si>
  <si>
    <t>h</t>
  </si>
  <si>
    <t>Sun set:</t>
  </si>
  <si>
    <t>Height at the moment</t>
  </si>
  <si>
    <t>J</t>
  </si>
  <si>
    <t>Měrná tepelná kapacita určí ohřev půdy</t>
  </si>
  <si>
    <t>All values must be written in decimals!!!</t>
  </si>
  <si>
    <r>
      <t>Energy of m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for all the time before mesuring</t>
    </r>
  </si>
  <si>
    <t>Rotation speed</t>
  </si>
  <si>
    <t>Soil density</t>
  </si>
  <si>
    <t>Soil heat capacity (depends on dignity)</t>
  </si>
  <si>
    <t>Real soil temperature</t>
  </si>
  <si>
    <t>Function const (Hf on 0,12 to 1)</t>
  </si>
  <si>
    <t>The depth of the ground in this interval is stable on longer time scales. (It is represented by hypecbolic function, this information may help to the math nerds…)</t>
  </si>
  <si>
    <t>Sun rise: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</si>
</sst>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color rgb="FF000000"/>
      <name val="Arial"/>
      <family val="2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0" fontId="0" fillId="0" borderId="0" xfId="0" applyNumberForma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4" fillId="3" borderId="0" xfId="0" applyNumberFormat="1" applyFont="1" applyFill="1"/>
    <xf numFmtId="2" fontId="0" fillId="2" borderId="0" xfId="0" applyNumberFormat="1" applyFill="1"/>
    <xf numFmtId="0" fontId="0" fillId="4" borderId="0" xfId="0" applyFill="1"/>
    <xf numFmtId="0" fontId="4" fillId="2" borderId="0" xfId="0" applyFont="1" applyFill="1"/>
    <xf numFmtId="0" fontId="0" fillId="0" borderId="0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586740</xdr:colOff>
      <xdr:row>1</xdr:row>
      <xdr:rowOff>190500</xdr:rowOff>
    </xdr:from>
    <xdr:to>
      <xdr:col>15</xdr:col>
      <xdr:colOff>76516</xdr:colOff>
      <xdr:row>3</xdr:row>
      <xdr:rowOff>160052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EABC4D5C-8F8E-4128-A2FF-2DACEDC2B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373380"/>
          <a:ext cx="3642676" cy="365792"/>
        </a:xfrm>
        <a:prstGeom prst="rect">
          <a:avLst/>
        </a:prstGeom>
      </xdr:spPr>
    </xdr:pic>
    <xdr:clientData/>
  </xdr:twoCellAnchor>
  <xdr:twoCellAnchor editAs="oneCell">
    <xdr:from>
      <xdr:col>7</xdr:col>
      <xdr:colOff>588874</xdr:colOff>
      <xdr:row>5</xdr:row>
      <xdr:rowOff>17944</xdr:rowOff>
    </xdr:from>
    <xdr:to>
      <xdr:col>9</xdr:col>
      <xdr:colOff>571500</xdr:colOff>
      <xdr:row>22</xdr:row>
      <xdr:rowOff>7620</xdr:rowOff>
    </xdr:to>
    <xdr:pic>
      <xdr:nvPicPr>
        <xdr:cNvPr id="8" name="Obrázek 7" descr="https://upload.wikimedia.org/wikipedia/commons/thumb/0/08/Globalni_toky_energie_cs.svg/744px-Globalni_toky_energie_cs.svg.png">
          <a:extLst>
            <a:ext uri="{FF2B5EF4-FFF2-40B4-BE49-F238E27FC236}">
              <a16:creationId xmlns:a16="http://schemas.microsoft.com/office/drawing/2014/main" id="{A6C9774D-B424-41AC-B92F-9DEAEC249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6814" y="1008544"/>
          <a:ext cx="3861206" cy="311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</xdr:colOff>
      <xdr:row>10</xdr:row>
      <xdr:rowOff>0</xdr:rowOff>
    </xdr:from>
    <xdr:to>
      <xdr:col>5</xdr:col>
      <xdr:colOff>175260</xdr:colOff>
      <xdr:row>21</xdr:row>
      <xdr:rowOff>30480</xdr:rowOff>
    </xdr:to>
    <xdr:pic>
      <xdr:nvPicPr>
        <xdr:cNvPr id="5" name="Obrázek 4" descr="HlavnÃ­ sklenÃ­kovÃ© plyny">
          <a:extLst>
            <a:ext uri="{FF2B5EF4-FFF2-40B4-BE49-F238E27FC236}">
              <a16:creationId xmlns:a16="http://schemas.microsoft.com/office/drawing/2014/main" id="{61C6E7B4-C558-4BA4-A020-2D9DA2192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1920240"/>
          <a:ext cx="204216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872836</xdr:colOff>
      <xdr:row>9</xdr:row>
      <xdr:rowOff>138545</xdr:rowOff>
    </xdr:from>
    <xdr:to>
      <xdr:col>4</xdr:col>
      <xdr:colOff>1340427</xdr:colOff>
      <xdr:row>24</xdr:row>
      <xdr:rowOff>126077</xdr:rowOff>
    </xdr:to>
    <xdr:pic>
      <xdr:nvPicPr>
        <xdr:cNvPr id="2" name="Obrázek 1" descr="https://upload.wikimedia.org/wikipedia/commons/c/cc/Soil_profile.jpg">
          <a:extLst>
            <a:ext uri="{FF2B5EF4-FFF2-40B4-BE49-F238E27FC236}">
              <a16:creationId xmlns:a16="http://schemas.microsoft.com/office/drawing/2014/main" id="{E61474B5-D02D-4F43-8CB9-A2A1F393D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7527" y="1780309"/>
          <a:ext cx="2247900" cy="270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zoomScaleNormal="100" workbookViewId="0">
      <selection activeCell="I17" sqref="I17"/>
    </sheetView>
  </sheetViews>
  <sheetFormatPr defaultRowHeight="14.4" x14ac:dyDescent="0.3"/>
  <cols>
    <col min="1" max="1" width="20.21875" bestFit="1" customWidth="1"/>
    <col min="2" max="2" width="13.77734375" customWidth="1"/>
    <col min="6" max="6" width="11.88671875" bestFit="1" customWidth="1"/>
    <col min="7" max="7" width="16.88671875" bestFit="1" customWidth="1"/>
  </cols>
  <sheetData>
    <row r="1" spans="1:8" x14ac:dyDescent="0.3">
      <c r="A1" t="s">
        <v>21</v>
      </c>
      <c r="B1">
        <f>1.38*10^(-23)</f>
        <v>1.3800000000000001E-23</v>
      </c>
    </row>
    <row r="2" spans="1:8" x14ac:dyDescent="0.3">
      <c r="A2" t="s">
        <v>18</v>
      </c>
      <c r="B2">
        <f>6.674*10^(-11)</f>
        <v>6.6739999999999994E-11</v>
      </c>
    </row>
    <row r="3" spans="1:8" x14ac:dyDescent="0.3">
      <c r="A3" t="s">
        <v>19</v>
      </c>
      <c r="B3">
        <v>28.96</v>
      </c>
    </row>
    <row r="4" spans="1:8" x14ac:dyDescent="0.3">
      <c r="A4" t="s">
        <v>10</v>
      </c>
      <c r="B4" t="s">
        <v>22</v>
      </c>
      <c r="C4" t="s">
        <v>11</v>
      </c>
      <c r="F4" t="s">
        <v>12</v>
      </c>
      <c r="G4" t="s">
        <v>13</v>
      </c>
      <c r="H4" t="s">
        <v>47</v>
      </c>
    </row>
    <row r="5" spans="1:8" x14ac:dyDescent="0.3">
      <c r="A5">
        <v>100000</v>
      </c>
      <c r="B5">
        <v>900</v>
      </c>
      <c r="C5" t="str">
        <f>IF((G5+H5)&lt;F5,"ANO","NE")</f>
        <v>ANO</v>
      </c>
      <c r="F5">
        <f>SQRT(2*$B$2*5.79*10^24/((6371+A5)*1000))</f>
        <v>2695.4778030297434</v>
      </c>
      <c r="G5">
        <f>SQRT(3*$B$1*B5/($B$3*1.667*10^(-27)))</f>
        <v>878.52544901894328</v>
      </c>
      <c r="H5">
        <f>(40075+A5)/24/3.6</f>
        <v>1621.2384259259259</v>
      </c>
    </row>
    <row r="6" spans="1:8" x14ac:dyDescent="0.3">
      <c r="C6" t="str">
        <f t="shared" ref="C6:C21" si="0">IF((G6+H6)&lt;F6,"ANO","NE")</f>
        <v>ANO</v>
      </c>
      <c r="F6">
        <f>SQRT(2*$B$2*5.79*10^24/((6371+A6)*1000))</f>
        <v>11013.962115502032</v>
      </c>
      <c r="G6">
        <f>SQRT(3*$B$1*B6/($B$3*1.667*10^(-27)))</f>
        <v>0</v>
      </c>
    </row>
    <row r="7" spans="1:8" x14ac:dyDescent="0.3">
      <c r="C7" t="str">
        <f t="shared" si="0"/>
        <v>ANO</v>
      </c>
      <c r="F7">
        <f t="shared" ref="F7:F21" si="1">SQRT(2*$B$2*5.79*10^24/((6371+A7)*1000))</f>
        <v>11013.962115502032</v>
      </c>
      <c r="G7">
        <f t="shared" ref="G7:G21" si="2">SQRT(3*$B$1*B7/($B$3*1.667*10^(-27)))</f>
        <v>0</v>
      </c>
    </row>
    <row r="8" spans="1:8" x14ac:dyDescent="0.3">
      <c r="C8" t="str">
        <f t="shared" si="0"/>
        <v>ANO</v>
      </c>
      <c r="F8">
        <f t="shared" si="1"/>
        <v>11013.962115502032</v>
      </c>
      <c r="G8">
        <f t="shared" si="2"/>
        <v>0</v>
      </c>
    </row>
    <row r="9" spans="1:8" x14ac:dyDescent="0.3">
      <c r="C9" t="str">
        <f t="shared" si="0"/>
        <v>ANO</v>
      </c>
      <c r="F9">
        <f t="shared" si="1"/>
        <v>11013.962115502032</v>
      </c>
      <c r="G9">
        <f t="shared" si="2"/>
        <v>0</v>
      </c>
    </row>
    <row r="10" spans="1:8" x14ac:dyDescent="0.3">
      <c r="C10" t="str">
        <f t="shared" si="0"/>
        <v>ANO</v>
      </c>
      <c r="F10">
        <f t="shared" si="1"/>
        <v>11013.962115502032</v>
      </c>
      <c r="G10">
        <f t="shared" si="2"/>
        <v>0</v>
      </c>
    </row>
    <row r="11" spans="1:8" x14ac:dyDescent="0.3">
      <c r="C11" t="str">
        <f t="shared" si="0"/>
        <v>ANO</v>
      </c>
      <c r="F11">
        <f t="shared" si="1"/>
        <v>11013.962115502032</v>
      </c>
      <c r="G11">
        <f t="shared" si="2"/>
        <v>0</v>
      </c>
    </row>
    <row r="12" spans="1:8" x14ac:dyDescent="0.3">
      <c r="C12" t="str">
        <f t="shared" si="0"/>
        <v>ANO</v>
      </c>
      <c r="F12">
        <f t="shared" si="1"/>
        <v>11013.962115502032</v>
      </c>
      <c r="G12">
        <f t="shared" si="2"/>
        <v>0</v>
      </c>
    </row>
    <row r="13" spans="1:8" x14ac:dyDescent="0.3">
      <c r="C13" t="str">
        <f t="shared" si="0"/>
        <v>ANO</v>
      </c>
      <c r="F13">
        <f t="shared" si="1"/>
        <v>11013.962115502032</v>
      </c>
      <c r="G13">
        <f t="shared" si="2"/>
        <v>0</v>
      </c>
    </row>
    <row r="14" spans="1:8" x14ac:dyDescent="0.3">
      <c r="C14" t="str">
        <f t="shared" si="0"/>
        <v>ANO</v>
      </c>
      <c r="F14">
        <f t="shared" si="1"/>
        <v>11013.962115502032</v>
      </c>
      <c r="G14">
        <f t="shared" si="2"/>
        <v>0</v>
      </c>
    </row>
    <row r="15" spans="1:8" x14ac:dyDescent="0.3">
      <c r="C15" t="str">
        <f t="shared" si="0"/>
        <v>ANO</v>
      </c>
      <c r="F15">
        <f t="shared" si="1"/>
        <v>11013.962115502032</v>
      </c>
      <c r="G15">
        <f t="shared" si="2"/>
        <v>0</v>
      </c>
    </row>
    <row r="16" spans="1:8" x14ac:dyDescent="0.3">
      <c r="C16" t="str">
        <f t="shared" si="0"/>
        <v>ANO</v>
      </c>
      <c r="F16">
        <f t="shared" si="1"/>
        <v>11013.962115502032</v>
      </c>
      <c r="G16">
        <f t="shared" si="2"/>
        <v>0</v>
      </c>
    </row>
    <row r="17" spans="3:7" x14ac:dyDescent="0.3">
      <c r="C17" t="str">
        <f t="shared" si="0"/>
        <v>ANO</v>
      </c>
      <c r="F17">
        <f t="shared" si="1"/>
        <v>11013.962115502032</v>
      </c>
      <c r="G17">
        <f t="shared" si="2"/>
        <v>0</v>
      </c>
    </row>
    <row r="18" spans="3:7" x14ac:dyDescent="0.3">
      <c r="C18" t="str">
        <f t="shared" si="0"/>
        <v>ANO</v>
      </c>
      <c r="F18">
        <f t="shared" si="1"/>
        <v>11013.962115502032</v>
      </c>
      <c r="G18">
        <f t="shared" si="2"/>
        <v>0</v>
      </c>
    </row>
    <row r="19" spans="3:7" x14ac:dyDescent="0.3">
      <c r="C19" t="str">
        <f t="shared" si="0"/>
        <v>ANO</v>
      </c>
      <c r="F19">
        <f t="shared" si="1"/>
        <v>11013.962115502032</v>
      </c>
      <c r="G19">
        <f t="shared" si="2"/>
        <v>0</v>
      </c>
    </row>
    <row r="20" spans="3:7" x14ac:dyDescent="0.3">
      <c r="C20" t="str">
        <f t="shared" si="0"/>
        <v>ANO</v>
      </c>
      <c r="F20">
        <f t="shared" si="1"/>
        <v>11013.962115502032</v>
      </c>
      <c r="G20">
        <f t="shared" si="2"/>
        <v>0</v>
      </c>
    </row>
    <row r="21" spans="3:7" x14ac:dyDescent="0.3">
      <c r="C21" t="str">
        <f t="shared" si="0"/>
        <v>ANO</v>
      </c>
      <c r="F21">
        <f t="shared" si="1"/>
        <v>11013.962115502032</v>
      </c>
      <c r="G21">
        <f t="shared" si="2"/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A5DC-4908-4304-B2ED-D32A3A86346A}">
  <dimension ref="A1:J18"/>
  <sheetViews>
    <sheetView workbookViewId="0">
      <selection activeCell="J3" sqref="J3"/>
    </sheetView>
  </sheetViews>
  <sheetFormatPr defaultRowHeight="14.4" x14ac:dyDescent="0.3"/>
  <cols>
    <col min="1" max="1" width="25.88671875" bestFit="1" customWidth="1"/>
    <col min="2" max="2" width="12" bestFit="1" customWidth="1"/>
    <col min="3" max="3" width="19.44140625" customWidth="1"/>
    <col min="4" max="4" width="16" bestFit="1" customWidth="1"/>
    <col min="5" max="5" width="11.44140625" bestFit="1" customWidth="1"/>
    <col min="9" max="9" width="47.6640625" bestFit="1" customWidth="1"/>
    <col min="10" max="10" width="12" bestFit="1" customWidth="1"/>
    <col min="12" max="12" width="11" bestFit="1" customWidth="1"/>
    <col min="15" max="15" width="22.88671875" customWidth="1"/>
  </cols>
  <sheetData>
    <row r="1" spans="1:10" ht="15.6" x14ac:dyDescent="0.35">
      <c r="A1" t="s">
        <v>6</v>
      </c>
      <c r="B1" t="s">
        <v>20</v>
      </c>
      <c r="C1" t="s">
        <v>15</v>
      </c>
      <c r="D1" t="s">
        <v>8</v>
      </c>
      <c r="F1" t="s">
        <v>16</v>
      </c>
      <c r="I1" t="s">
        <v>24</v>
      </c>
      <c r="J1">
        <f>(J3/4*(1-C8)/(5.670367*10^(-8)))^0.25</f>
        <v>247.19620158626506</v>
      </c>
    </row>
    <row r="2" spans="1:10" ht="15.6" x14ac:dyDescent="0.35">
      <c r="A2" t="s">
        <v>0</v>
      </c>
      <c r="B2" s="6">
        <v>0.72</v>
      </c>
      <c r="C2" s="5">
        <v>18000</v>
      </c>
      <c r="D2" s="2">
        <f>B2*C2/(B$2*$C$2+$B$3*$C$3+$B$4*$C$4+$B$5*$C$5+$B$6*$C$6)</f>
        <v>0.95434462444771728</v>
      </c>
      <c r="F2">
        <f>B2*C2+B3*C3+B4*C4+B5*C5+B6*C6</f>
        <v>13580</v>
      </c>
      <c r="I2" t="s">
        <v>5</v>
      </c>
      <c r="J2" s="5">
        <v>300</v>
      </c>
    </row>
    <row r="3" spans="1:10" ht="15.6" x14ac:dyDescent="0.35">
      <c r="A3" t="s">
        <v>1</v>
      </c>
      <c r="B3">
        <v>1</v>
      </c>
      <c r="C3" s="5">
        <f>360</f>
        <v>360</v>
      </c>
      <c r="D3" s="2">
        <f>B3*C3/(B$2*$C$2+$B$3*$C$3+$B$4*$C$4+$B$5*$C$5+$B$6*$C$6)</f>
        <v>2.6509572901325478E-2</v>
      </c>
      <c r="I3" t="s">
        <v>25</v>
      </c>
      <c r="J3">
        <f>B17*4*PI()*B18^2*B15^4/(B16^2*4*PI())</f>
        <v>1365.9872404074997</v>
      </c>
    </row>
    <row r="4" spans="1:10" ht="15.6" x14ac:dyDescent="0.35">
      <c r="A4" t="s">
        <v>2</v>
      </c>
      <c r="B4">
        <v>20</v>
      </c>
      <c r="C4" s="5">
        <f>1.7</f>
        <v>1.7</v>
      </c>
      <c r="D4" s="2">
        <f>B4*C4/(B$2*$C$2+$B$3*$C$3+$B$4*$C$4+$B$5*$C$5+$B$6*$C$6)</f>
        <v>2.5036818851251843E-3</v>
      </c>
      <c r="I4" t="s">
        <v>4</v>
      </c>
      <c r="J4">
        <f>(J3*(1-C8)/(4*5.670367*10^(-8))-J2^4)/(J1^4*239/341-J2^4)</f>
        <v>0.79629670831874599</v>
      </c>
    </row>
    <row r="5" spans="1:10" ht="15.6" x14ac:dyDescent="0.35">
      <c r="A5" t="s">
        <v>3</v>
      </c>
      <c r="B5">
        <v>2000</v>
      </c>
      <c r="C5" s="5">
        <f>82/10^3</f>
        <v>8.2000000000000003E-2</v>
      </c>
      <c r="D5" s="2">
        <f>B5*C5/(B$2*$C$2+$B$3*$C$3+$B$4*$C$4+$B$5*$C$5+$B$6*$C$6)</f>
        <v>1.207658321060383E-2</v>
      </c>
    </row>
    <row r="6" spans="1:10" ht="15.6" x14ac:dyDescent="0.35">
      <c r="A6" t="s">
        <v>7</v>
      </c>
      <c r="B6">
        <v>200</v>
      </c>
      <c r="C6" s="5">
        <f>310/10^3</f>
        <v>0.31</v>
      </c>
      <c r="D6" s="2">
        <f>310/10^9</f>
        <v>3.1E-7</v>
      </c>
    </row>
    <row r="7" spans="1:10" x14ac:dyDescent="0.3">
      <c r="A7" t="s">
        <v>9</v>
      </c>
    </row>
    <row r="8" spans="1:10" x14ac:dyDescent="0.3">
      <c r="B8" t="s">
        <v>23</v>
      </c>
      <c r="C8">
        <f>0.38</f>
        <v>0.38</v>
      </c>
    </row>
    <row r="15" spans="1:10" x14ac:dyDescent="0.3">
      <c r="A15" t="s">
        <v>14</v>
      </c>
      <c r="B15">
        <v>5778</v>
      </c>
      <c r="C15" t="s">
        <v>17</v>
      </c>
    </row>
    <row r="16" spans="1:10" x14ac:dyDescent="0.3">
      <c r="A16" t="s">
        <v>27</v>
      </c>
      <c r="B16">
        <f>149597871000</f>
        <v>149597871000</v>
      </c>
    </row>
    <row r="17" spans="1:2" x14ac:dyDescent="0.3">
      <c r="A17" t="s">
        <v>21</v>
      </c>
      <c r="B17">
        <f>5.67*10^(-8)</f>
        <v>5.6699999999999998E-8</v>
      </c>
    </row>
    <row r="18" spans="1:2" x14ac:dyDescent="0.3">
      <c r="A18" t="s">
        <v>26</v>
      </c>
      <c r="B18">
        <v>695508000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417C-18C2-4AD1-83A8-B7412B142678}">
  <dimension ref="A1:K20"/>
  <sheetViews>
    <sheetView tabSelected="1" topLeftCell="B1" zoomScaleNormal="100" workbookViewId="0">
      <selection activeCell="I14" sqref="I14"/>
    </sheetView>
  </sheetViews>
  <sheetFormatPr defaultRowHeight="14.4" x14ac:dyDescent="0.3"/>
  <cols>
    <col min="2" max="2" width="34.21875" bestFit="1" customWidth="1"/>
    <col min="3" max="3" width="14.21875" bestFit="1" customWidth="1"/>
    <col min="4" max="4" width="26" customWidth="1"/>
    <col min="5" max="5" width="20.21875" bestFit="1" customWidth="1"/>
    <col min="6" max="6" width="34.21875" bestFit="1" customWidth="1"/>
    <col min="7" max="8" width="16" bestFit="1" customWidth="1"/>
    <col min="10" max="10" width="31.109375" customWidth="1"/>
  </cols>
  <sheetData>
    <row r="1" spans="1:11" x14ac:dyDescent="0.3">
      <c r="B1" t="s">
        <v>31</v>
      </c>
      <c r="D1" s="4" t="s">
        <v>45</v>
      </c>
      <c r="H1" t="s">
        <v>39</v>
      </c>
      <c r="J1" t="s">
        <v>42</v>
      </c>
    </row>
    <row r="2" spans="1:11" x14ac:dyDescent="0.3">
      <c r="E2" t="s">
        <v>50</v>
      </c>
      <c r="F2" s="4">
        <f>E4-J11</f>
        <v>305.72626165625604</v>
      </c>
      <c r="G2" t="s">
        <v>17</v>
      </c>
      <c r="H2">
        <f>23.45*SIN(RADIANS(0.98*B4+29.7*A4-109))</f>
        <v>23.371816012398</v>
      </c>
      <c r="J2" s="1">
        <f>IF(C4 &lt; 13,H4/(13-H10)*(C4-H10), H4/(H12-13)*(H12-C4))</f>
        <v>71.322791291909823</v>
      </c>
    </row>
    <row r="3" spans="1:11" x14ac:dyDescent="0.3">
      <c r="A3" t="s">
        <v>34</v>
      </c>
      <c r="B3" t="s">
        <v>33</v>
      </c>
      <c r="C3" t="s">
        <v>28</v>
      </c>
      <c r="D3" t="s">
        <v>29</v>
      </c>
      <c r="E3" t="s">
        <v>35</v>
      </c>
      <c r="F3" t="s">
        <v>49</v>
      </c>
      <c r="H3" t="s">
        <v>36</v>
      </c>
    </row>
    <row r="4" spans="1:11" ht="15.6" x14ac:dyDescent="0.35">
      <c r="A4" s="5">
        <v>6</v>
      </c>
      <c r="B4" s="5">
        <v>26</v>
      </c>
      <c r="C4" s="7">
        <v>13.3333333333333</v>
      </c>
      <c r="D4" s="5">
        <v>38.659999999999997</v>
      </c>
      <c r="E4" s="8">
        <v>320</v>
      </c>
      <c r="F4" s="9">
        <v>2000</v>
      </c>
      <c r="H4">
        <f>90-ABS(D4)+H2</f>
        <v>74.711816012398003</v>
      </c>
      <c r="J4" t="s">
        <v>46</v>
      </c>
    </row>
    <row r="5" spans="1:11" x14ac:dyDescent="0.3">
      <c r="F5" t="s">
        <v>48</v>
      </c>
      <c r="J5">
        <f>(-COS(RADIANS(J2))+COS(RADIANS(0)))*Atmosphere!J3*(1-Atmosphere!C8)*3600*(C4-H10)</f>
        <v>15920569.376732942</v>
      </c>
      <c r="K5" t="s">
        <v>43</v>
      </c>
    </row>
    <row r="6" spans="1:11" x14ac:dyDescent="0.3">
      <c r="F6" s="5">
        <v>920</v>
      </c>
      <c r="H6" t="s">
        <v>38</v>
      </c>
    </row>
    <row r="7" spans="1:11" x14ac:dyDescent="0.3">
      <c r="H7">
        <f>DEGREES(ACOS(-TAN(RADIANS(D4))*TAN(RADIANS(H2))))*2/15</f>
        <v>14.696817358835586</v>
      </c>
      <c r="I7" t="s">
        <v>40</v>
      </c>
    </row>
    <row r="9" spans="1:11" x14ac:dyDescent="0.3">
      <c r="H9" t="s">
        <v>53</v>
      </c>
      <c r="J9" t="s">
        <v>51</v>
      </c>
    </row>
    <row r="10" spans="1:11" x14ac:dyDescent="0.3">
      <c r="H10" s="1">
        <f>IF(C11="YES",13-H7/2,12-H7/2)</f>
        <v>5.6515913205822068</v>
      </c>
      <c r="I10" t="s">
        <v>40</v>
      </c>
      <c r="J10">
        <f>$J$5/($F$6*$F$4)</f>
        <v>8.6524833569200776</v>
      </c>
    </row>
    <row r="11" spans="1:11" x14ac:dyDescent="0.3">
      <c r="B11" t="s">
        <v>30</v>
      </c>
      <c r="C11" s="5" t="s">
        <v>32</v>
      </c>
      <c r="H11" t="s">
        <v>41</v>
      </c>
      <c r="J11">
        <f>J10*(LN(1)-LN(0.15))/1.15</f>
        <v>14.273738343743965</v>
      </c>
    </row>
    <row r="12" spans="1:11" x14ac:dyDescent="0.3">
      <c r="H12" s="1">
        <f>IF(C11="YES",13+H7/2,12+H7/2)</f>
        <v>20.348408679417794</v>
      </c>
      <c r="I12" t="s">
        <v>40</v>
      </c>
    </row>
    <row r="13" spans="1:11" x14ac:dyDescent="0.3">
      <c r="J13" t="s">
        <v>52</v>
      </c>
    </row>
    <row r="14" spans="1:11" x14ac:dyDescent="0.3">
      <c r="A14" t="s">
        <v>44</v>
      </c>
    </row>
    <row r="15" spans="1:11" x14ac:dyDescent="0.3">
      <c r="A15" s="3" t="s">
        <v>37</v>
      </c>
    </row>
    <row r="16" spans="1:11" x14ac:dyDescent="0.3">
      <c r="F16" s="10"/>
      <c r="I16" s="10"/>
    </row>
    <row r="17" spans="6:9" x14ac:dyDescent="0.3">
      <c r="F17" s="10"/>
      <c r="I17" s="10"/>
    </row>
    <row r="18" spans="6:9" x14ac:dyDescent="0.3">
      <c r="F18" s="10"/>
      <c r="I18" s="10"/>
    </row>
    <row r="19" spans="6:9" x14ac:dyDescent="0.3">
      <c r="F19" s="10"/>
      <c r="I19" s="10"/>
    </row>
    <row r="20" spans="6:9" x14ac:dyDescent="0.3">
      <c r="F20" s="10"/>
      <c r="I20" s="10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Size of the atmosphere</vt:lpstr>
      <vt:lpstr>Atmosphere</vt:lpstr>
      <vt:lpstr>Temperation regulation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Suchanek</dc:creator>
  <cp:lastModifiedBy>Novotny Patrik</cp:lastModifiedBy>
  <dcterms:created xsi:type="dcterms:W3CDTF">2018-06-12T07:15:17Z</dcterms:created>
  <dcterms:modified xsi:type="dcterms:W3CDTF">2018-06-27T00:23:41Z</dcterms:modified>
</cp:coreProperties>
</file>