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chanek\Programming\CanSat\Analysis\"/>
    </mc:Choice>
  </mc:AlternateContent>
  <bookViews>
    <workbookView xWindow="0" yWindow="0" windowWidth="17250" windowHeight="5700" activeTab="3"/>
  </bookViews>
  <sheets>
    <sheet name="Měření" sheetId="1" r:id="rId1"/>
    <sheet name="Další výsledky" sheetId="3" r:id="rId2"/>
    <sheet name="Výsledky" sheetId="2" r:id="rId3"/>
    <sheet name="Fitování teploty Slunce" sheetId="5" r:id="rId4"/>
    <sheet name="Další nápady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5" l="1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10" i="5"/>
  <c r="B4" i="5"/>
  <c r="J20" i="5"/>
  <c r="J21" i="5"/>
  <c r="J22" i="5"/>
  <c r="J23" i="5"/>
  <c r="J24" i="5"/>
  <c r="J25" i="5"/>
  <c r="J26" i="5"/>
  <c r="J27" i="5"/>
  <c r="J28" i="5"/>
  <c r="J29" i="5"/>
  <c r="J30" i="5"/>
  <c r="J32" i="5"/>
  <c r="J39" i="5"/>
  <c r="J38" i="5"/>
  <c r="J37" i="5"/>
  <c r="J31" i="5"/>
  <c r="J33" i="5"/>
  <c r="J34" i="5"/>
  <c r="J35" i="5"/>
  <c r="F8" i="5"/>
  <c r="G8" i="5"/>
  <c r="H8" i="5"/>
  <c r="J36" i="5"/>
  <c r="E37" i="5"/>
  <c r="F37" i="5" s="1"/>
  <c r="E38" i="5"/>
  <c r="F38" i="5" s="1"/>
  <c r="E39" i="5"/>
  <c r="F39" i="5" s="1"/>
  <c r="E24" i="5"/>
  <c r="F24" i="5" s="1"/>
  <c r="E25" i="5"/>
  <c r="F25" i="5" s="1"/>
  <c r="F26" i="5"/>
  <c r="H36" i="5"/>
  <c r="G10" i="5"/>
  <c r="H10" i="5"/>
  <c r="F10" i="5"/>
  <c r="E35" i="5"/>
  <c r="H35" i="5" s="1"/>
  <c r="E36" i="5"/>
  <c r="F36" i="5" s="1"/>
  <c r="E32" i="5"/>
  <c r="F32" i="5" s="1"/>
  <c r="E33" i="5"/>
  <c r="F33" i="5" s="1"/>
  <c r="E34" i="5"/>
  <c r="G34" i="5" s="1"/>
  <c r="E28" i="5"/>
  <c r="F28" i="5" s="1"/>
  <c r="E29" i="5"/>
  <c r="F29" i="5" s="1"/>
  <c r="E30" i="5"/>
  <c r="G30" i="5" s="1"/>
  <c r="E31" i="5"/>
  <c r="H31" i="5" s="1"/>
  <c r="A8" i="5"/>
  <c r="E13" i="5" s="1"/>
  <c r="H13" i="5" s="1"/>
  <c r="B2" i="5"/>
  <c r="B6" i="5" s="1"/>
  <c r="E12" i="5"/>
  <c r="G12" i="5" s="1"/>
  <c r="E16" i="5"/>
  <c r="G16" i="5" s="1"/>
  <c r="E20" i="5"/>
  <c r="G20" i="5" s="1"/>
  <c r="E26" i="5"/>
  <c r="G26" i="5" s="1"/>
  <c r="B1" i="5"/>
  <c r="K8" i="5" l="1"/>
  <c r="K7" i="5" s="1"/>
  <c r="H39" i="5"/>
  <c r="H37" i="5"/>
  <c r="G39" i="5"/>
  <c r="G38" i="5"/>
  <c r="G37" i="5"/>
  <c r="H38" i="5"/>
  <c r="H25" i="5"/>
  <c r="H24" i="5"/>
  <c r="G25" i="5"/>
  <c r="G24" i="5"/>
  <c r="H32" i="5"/>
  <c r="F20" i="5"/>
  <c r="F30" i="5"/>
  <c r="G13" i="5"/>
  <c r="H28" i="5"/>
  <c r="F12" i="5"/>
  <c r="F34" i="5"/>
  <c r="G31" i="5"/>
  <c r="F16" i="5"/>
  <c r="G36" i="5"/>
  <c r="F35" i="5"/>
  <c r="H33" i="5"/>
  <c r="G32" i="5"/>
  <c r="F31" i="5"/>
  <c r="H29" i="5"/>
  <c r="G28" i="5"/>
  <c r="F13" i="5"/>
  <c r="H34" i="5"/>
  <c r="G33" i="5"/>
  <c r="H30" i="5"/>
  <c r="G29" i="5"/>
  <c r="H26" i="5"/>
  <c r="H20" i="5"/>
  <c r="H16" i="5"/>
  <c r="H12" i="5"/>
  <c r="G35" i="5"/>
  <c r="E19" i="5"/>
  <c r="E11" i="5"/>
  <c r="E22" i="5"/>
  <c r="E18" i="5"/>
  <c r="E14" i="5"/>
  <c r="E10" i="5"/>
  <c r="E23" i="5"/>
  <c r="E15" i="5"/>
  <c r="E27" i="5"/>
  <c r="E21" i="5"/>
  <c r="E17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B6" i="2"/>
  <c r="C6" i="2"/>
  <c r="F15" i="5" l="1"/>
  <c r="G15" i="5"/>
  <c r="H15" i="5"/>
  <c r="F18" i="5"/>
  <c r="H18" i="5"/>
  <c r="G18" i="5"/>
  <c r="H17" i="5"/>
  <c r="F17" i="5"/>
  <c r="F7" i="5" s="1"/>
  <c r="G17" i="5"/>
  <c r="F23" i="5"/>
  <c r="G23" i="5"/>
  <c r="H23" i="5"/>
  <c r="F22" i="5"/>
  <c r="H22" i="5"/>
  <c r="G22" i="5"/>
  <c r="H21" i="5"/>
  <c r="G21" i="5"/>
  <c r="F21" i="5"/>
  <c r="F11" i="5"/>
  <c r="G11" i="5"/>
  <c r="G7" i="5" s="1"/>
  <c r="H11" i="5"/>
  <c r="H27" i="5"/>
  <c r="G27" i="5"/>
  <c r="F27" i="5"/>
  <c r="F14" i="5"/>
  <c r="G14" i="5"/>
  <c r="H14" i="5"/>
  <c r="F19" i="5"/>
  <c r="G19" i="5"/>
  <c r="H19" i="5"/>
  <c r="H7" i="5"/>
  <c r="F5" i="2"/>
  <c r="J5" i="2"/>
  <c r="N5" i="2"/>
  <c r="R5" i="2"/>
  <c r="V5" i="2"/>
  <c r="K5" i="2"/>
  <c r="O5" i="2"/>
  <c r="S5" i="2"/>
  <c r="W5" i="2"/>
  <c r="L5" i="2"/>
  <c r="P5" i="2"/>
  <c r="T5" i="2"/>
  <c r="I5" i="2"/>
  <c r="M5" i="2"/>
  <c r="Q5" i="2"/>
  <c r="U5" i="2"/>
  <c r="G5" i="2"/>
  <c r="H5" i="2"/>
  <c r="E5" i="2"/>
  <c r="D5" i="2"/>
  <c r="F10" i="2"/>
  <c r="F11" i="2"/>
  <c r="V10" i="2"/>
  <c r="V11" i="2"/>
  <c r="W12" i="2"/>
  <c r="W9" i="2"/>
  <c r="I11" i="2"/>
  <c r="I10" i="2"/>
  <c r="G12" i="2"/>
  <c r="G11" i="2"/>
  <c r="S12" i="2"/>
  <c r="S11" i="2"/>
  <c r="D13" i="2"/>
  <c r="J8" i="2"/>
  <c r="J9" i="2"/>
  <c r="K10" i="2"/>
  <c r="K9" i="2"/>
  <c r="L11" i="2"/>
  <c r="L10" i="2"/>
  <c r="M9" i="2"/>
  <c r="M8" i="2"/>
  <c r="H11" i="2"/>
  <c r="H10" i="2"/>
  <c r="O12" i="2"/>
  <c r="O9" i="2"/>
  <c r="P11" i="2"/>
  <c r="P10" i="2"/>
  <c r="Q9" i="2"/>
  <c r="Q8" i="2"/>
  <c r="E8" i="2"/>
  <c r="T9" i="2"/>
  <c r="T8" i="2"/>
  <c r="U7" i="2"/>
  <c r="U6" i="2"/>
  <c r="N6" i="2"/>
  <c r="N7" i="2"/>
  <c r="R6" i="2"/>
  <c r="R7" i="2"/>
  <c r="E10" i="2"/>
  <c r="D12" i="2"/>
  <c r="F6" i="2"/>
  <c r="V6" i="2"/>
  <c r="W8" i="2"/>
  <c r="I7" i="2"/>
  <c r="G8" i="2"/>
  <c r="S7" i="2"/>
  <c r="J13" i="2"/>
  <c r="K13" i="2"/>
  <c r="L7" i="2"/>
  <c r="M12" i="2"/>
  <c r="H7" i="2"/>
  <c r="O8" i="2"/>
  <c r="P7" i="2"/>
  <c r="Q12" i="2"/>
  <c r="T13" i="2"/>
  <c r="U11" i="2"/>
  <c r="N10" i="2"/>
  <c r="R10" i="2"/>
  <c r="E12" i="2"/>
  <c r="D6" i="2"/>
  <c r="F12" i="2"/>
  <c r="V13" i="2"/>
  <c r="W11" i="2"/>
  <c r="I12" i="2"/>
  <c r="G13" i="2"/>
  <c r="S13" i="2"/>
  <c r="J10" i="2"/>
  <c r="K12" i="2"/>
  <c r="L13" i="2"/>
  <c r="M11" i="2"/>
  <c r="H13" i="2"/>
  <c r="O13" i="2"/>
  <c r="P13" i="2"/>
  <c r="Q11" i="2"/>
  <c r="T11" i="2"/>
  <c r="T10" i="2"/>
  <c r="U8" i="2"/>
  <c r="N9" i="2"/>
  <c r="R9" i="2"/>
  <c r="D9" i="2"/>
  <c r="F8" i="2"/>
  <c r="F9" i="2"/>
  <c r="V8" i="2"/>
  <c r="V9" i="2"/>
  <c r="W10" i="2"/>
  <c r="W7" i="2"/>
  <c r="I9" i="2"/>
  <c r="I8" i="2"/>
  <c r="G10" i="2"/>
  <c r="G9" i="2"/>
  <c r="S10" i="2"/>
  <c r="S9" i="2"/>
  <c r="D8" i="2"/>
  <c r="J6" i="2"/>
  <c r="J7" i="2"/>
  <c r="K8" i="2"/>
  <c r="K7" i="2"/>
  <c r="L9" i="2"/>
  <c r="L8" i="2"/>
  <c r="M7" i="2"/>
  <c r="M6" i="2"/>
  <c r="H9" i="2"/>
  <c r="H8" i="2"/>
  <c r="O10" i="2"/>
  <c r="O7" i="2"/>
  <c r="P9" i="2"/>
  <c r="P8" i="2"/>
  <c r="Q7" i="2"/>
  <c r="Q6" i="2"/>
  <c r="T6" i="2"/>
  <c r="T7" i="2"/>
  <c r="U13" i="2"/>
  <c r="U12" i="2"/>
  <c r="N12" i="2"/>
  <c r="N13" i="2"/>
  <c r="R12" i="2"/>
  <c r="R13" i="2"/>
  <c r="E11" i="2"/>
  <c r="E6" i="2"/>
  <c r="D11" i="2"/>
  <c r="F7" i="2"/>
  <c r="V7" i="2"/>
  <c r="W13" i="2"/>
  <c r="I6" i="2"/>
  <c r="G7" i="2"/>
  <c r="S8" i="2"/>
  <c r="J12" i="2"/>
  <c r="K6" i="2"/>
  <c r="L6" i="2"/>
  <c r="M13" i="2"/>
  <c r="H6" i="2"/>
  <c r="O6" i="2"/>
  <c r="P6" i="2"/>
  <c r="Q13" i="2"/>
  <c r="E7" i="2"/>
  <c r="T12" i="2"/>
  <c r="U10" i="2"/>
  <c r="N11" i="2"/>
  <c r="R11" i="2"/>
  <c r="D10" i="2"/>
  <c r="F13" i="2"/>
  <c r="V12" i="2"/>
  <c r="W6" i="2"/>
  <c r="I13" i="2"/>
  <c r="G6" i="2"/>
  <c r="S6" i="2"/>
  <c r="D7" i="2"/>
  <c r="J11" i="2"/>
  <c r="K11" i="2"/>
  <c r="L12" i="2"/>
  <c r="M10" i="2"/>
  <c r="H12" i="2"/>
  <c r="O11" i="2"/>
  <c r="P12" i="2"/>
  <c r="Q10" i="2"/>
  <c r="E13" i="2"/>
  <c r="U9" i="2"/>
  <c r="N8" i="2"/>
  <c r="R8" i="2"/>
  <c r="E9" i="2"/>
  <c r="Y6" i="2" l="1"/>
</calcChain>
</file>

<file path=xl/sharedStrings.xml><?xml version="1.0" encoding="utf-8"?>
<sst xmlns="http://schemas.openxmlformats.org/spreadsheetml/2006/main" count="105" uniqueCount="74">
  <si>
    <t>time</t>
  </si>
  <si>
    <t>temp</t>
  </si>
  <si>
    <t>pressure</t>
  </si>
  <si>
    <t>humidity</t>
  </si>
  <si>
    <t>CO2</t>
  </si>
  <si>
    <t>O2</t>
  </si>
  <si>
    <t>O3</t>
  </si>
  <si>
    <t>gamma</t>
  </si>
  <si>
    <t>fix.alt_cm</t>
  </si>
  <si>
    <t>fix.lat</t>
  </si>
  <si>
    <t>fix.lon</t>
  </si>
  <si>
    <t>UV</t>
  </si>
  <si>
    <t>infra</t>
  </si>
  <si>
    <t>visible</t>
  </si>
  <si>
    <t>acc_x</t>
  </si>
  <si>
    <t>acc_y</t>
  </si>
  <si>
    <t>acc_z</t>
  </si>
  <si>
    <t>mag_x</t>
  </si>
  <si>
    <t>mag_y</t>
  </si>
  <si>
    <t>mag_z</t>
  </si>
  <si>
    <t>period</t>
  </si>
  <si>
    <t>n</t>
  </si>
  <si>
    <t>CONSTANT</t>
  </si>
  <si>
    <t>název proměnné</t>
  </si>
  <si>
    <t>typ</t>
  </si>
  <si>
    <t>odkaz na sloupec</t>
  </si>
  <si>
    <t>'Další výsledky'!A</t>
  </si>
  <si>
    <t>počet</t>
  </si>
  <si>
    <t>LINEAR</t>
  </si>
  <si>
    <t>Měření!I</t>
  </si>
  <si>
    <t>Měření!B</t>
  </si>
  <si>
    <t>průměr</t>
  </si>
  <si>
    <t>k (y = kx + q)</t>
  </si>
  <si>
    <t>q (y = kx + q)</t>
  </si>
  <si>
    <t>min</t>
  </si>
  <si>
    <t>max</t>
  </si>
  <si>
    <t>odchylka lin regrese</t>
  </si>
  <si>
    <t>odchylka měření</t>
  </si>
  <si>
    <t>odchylka průměru</t>
  </si>
  <si>
    <t>temperature</t>
  </si>
  <si>
    <t>Měření!C</t>
  </si>
  <si>
    <t>Měření!D</t>
  </si>
  <si>
    <t>Měření!E</t>
  </si>
  <si>
    <t>Měření!F</t>
  </si>
  <si>
    <t>Měření!G</t>
  </si>
  <si>
    <t>Měření!H</t>
  </si>
  <si>
    <t>Měření!J</t>
  </si>
  <si>
    <t>Měření!K</t>
  </si>
  <si>
    <t>Měření!L</t>
  </si>
  <si>
    <t>Měření!M</t>
  </si>
  <si>
    <t>Měření!N</t>
  </si>
  <si>
    <t>Měření!O</t>
  </si>
  <si>
    <t>Měření!P</t>
  </si>
  <si>
    <t>Měření!Q</t>
  </si>
  <si>
    <t>Měření!R</t>
  </si>
  <si>
    <t>Měření!T</t>
  </si>
  <si>
    <t>Měření!U</t>
  </si>
  <si>
    <t>jednotka</t>
  </si>
  <si>
    <t>step</t>
  </si>
  <si>
    <t>plack</t>
  </si>
  <si>
    <t>sun distance</t>
  </si>
  <si>
    <t>sun radius</t>
  </si>
  <si>
    <t>sun steradian size</t>
  </si>
  <si>
    <t>ozone thickness</t>
  </si>
  <si>
    <t>ozone cross section absorbsion</t>
  </si>
  <si>
    <t>vawelength</t>
  </si>
  <si>
    <t>gas atoms per cubic meter</t>
  </si>
  <si>
    <t>UV with ozone absorbsion</t>
  </si>
  <si>
    <t>g</t>
  </si>
  <si>
    <t>density</t>
  </si>
  <si>
    <t>určíme podle hezkých hodnot na akcelerometru</t>
  </si>
  <si>
    <t>určit zbývající skleníkové plyny</t>
  </si>
  <si>
    <t>určit maximální velikost atmosféry, omezení jsou - velikost magnetického pole, odstředivá síla z rotace &gt; gravitační, střední kvadratická rychlost plynu &gt; úniková</t>
  </si>
  <si>
    <t>!tohle má vyjít cca 20x tolik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</si>
</sst>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quotePrefix="1"/>
    <xf numFmtId="0" fontId="0" fillId="0" borderId="0" xfId="0" applyNumberFormat="1" applyBorder="1"/>
    <xf numFmtId="0" fontId="0" fillId="0" borderId="0" xfId="0" applyNumberFormat="1" applyFill="1" applyBorder="1" applyAlignment="1"/>
    <xf numFmtId="0" fontId="1" fillId="0" borderId="0" xfId="0" applyNumberFormat="1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I9" sqref="I9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1">
        <v>0.62861111111111112</v>
      </c>
      <c r="B2">
        <v>34</v>
      </c>
      <c r="I2">
        <v>5000</v>
      </c>
    </row>
    <row r="3" spans="1:20" x14ac:dyDescent="0.25">
      <c r="A3" s="1">
        <v>0.62875000000000003</v>
      </c>
      <c r="B3">
        <v>33</v>
      </c>
      <c r="I3">
        <v>4500</v>
      </c>
    </row>
    <row r="4" spans="1:20" x14ac:dyDescent="0.25">
      <c r="A4" s="1">
        <v>0.62891203703703702</v>
      </c>
      <c r="B4">
        <v>35</v>
      </c>
      <c r="I4">
        <v>4123</v>
      </c>
    </row>
    <row r="5" spans="1:20" x14ac:dyDescent="0.25">
      <c r="A5" s="1">
        <v>0.62903935185185189</v>
      </c>
      <c r="B5">
        <v>32</v>
      </c>
      <c r="I5">
        <v>3583</v>
      </c>
    </row>
    <row r="6" spans="1:20" x14ac:dyDescent="0.25">
      <c r="A6" s="1">
        <v>0.62916666666666665</v>
      </c>
      <c r="B6">
        <v>31</v>
      </c>
      <c r="I6">
        <v>3142</v>
      </c>
    </row>
    <row r="7" spans="1:20" x14ac:dyDescent="0.25">
      <c r="A7" s="1">
        <v>0.62930555555555556</v>
      </c>
      <c r="B7">
        <v>30</v>
      </c>
      <c r="I7">
        <v>2341</v>
      </c>
    </row>
    <row r="8" spans="1:20" x14ac:dyDescent="0.25">
      <c r="A8" s="1">
        <v>0.62938657407407406</v>
      </c>
      <c r="B8">
        <v>32</v>
      </c>
      <c r="I8">
        <v>1235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E7" sqref="E7"/>
    </sheetView>
  </sheetViews>
  <sheetFormatPr defaultRowHeight="15" x14ac:dyDescent="0.25"/>
  <cols>
    <col min="1" max="1" width="9.140625" customWidth="1"/>
  </cols>
  <sheetData>
    <row r="1" spans="1:1" x14ac:dyDescent="0.25">
      <c r="A1" t="s">
        <v>20</v>
      </c>
    </row>
    <row r="2" spans="1:1" x14ac:dyDescent="0.25">
      <c r="A2" s="3">
        <f>IF(COUNTBLANK(Měření!A2:A3) = 0,(Měření!A3-Měření!A2)*24*60*60,)</f>
        <v>12.000000000001876</v>
      </c>
    </row>
    <row r="3" spans="1:1" x14ac:dyDescent="0.25">
      <c r="A3" s="3">
        <f>IF(COUNTBLANK(Měření!A3:A4) = 0,(Měření!A4-Měření!A3)*24*60*60,)</f>
        <v>13.999999999995794</v>
      </c>
    </row>
    <row r="4" spans="1:1" x14ac:dyDescent="0.25">
      <c r="A4" s="3">
        <f>IF(COUNTBLANK(Měření!A4:A5) = 0,(Měření!A5-Měření!A4)*24*60*60,)</f>
        <v>11.000000000004917</v>
      </c>
    </row>
    <row r="5" spans="1:1" x14ac:dyDescent="0.25">
      <c r="A5" s="3">
        <f>IF(COUNTBLANK(Měření!A5:A6) = 0,(Měření!A6-Měření!A5)*24*60*60,)</f>
        <v>10.999999999995325</v>
      </c>
    </row>
    <row r="6" spans="1:1" x14ac:dyDescent="0.25">
      <c r="A6" s="3">
        <f>IF(COUNTBLANK(Měření!A6:A7) = 0,(Měření!A7-Měření!A6)*24*60*60,)</f>
        <v>12.000000000001876</v>
      </c>
    </row>
    <row r="7" spans="1:1" x14ac:dyDescent="0.25">
      <c r="A7" s="3">
        <f>IF(COUNTBLANK(Měření!A7:A8) = 0,(Měření!A8-Měření!A7)*24*60*60,)</f>
        <v>6.9999999999978968</v>
      </c>
    </row>
    <row r="8" spans="1:1" x14ac:dyDescent="0.25">
      <c r="A8" s="3">
        <f>IF(COUNTBLANK(Měření!A8:A9) = 0,(Měření!A9-Měření!A8)*24*60*60,)</f>
        <v>0</v>
      </c>
    </row>
    <row r="9" spans="1:1" x14ac:dyDescent="0.25">
      <c r="A9" s="3">
        <f>IF(COUNTBLANK(Měření!A9:A10) = 0,(Měření!A10-Měření!A9)*24*60*60,)</f>
        <v>0</v>
      </c>
    </row>
    <row r="10" spans="1:1" x14ac:dyDescent="0.25">
      <c r="A10" s="3">
        <f>IF(COUNTBLANK(Měření!A10:A11) = 0,(Měření!A11-Měření!A10)*24*60*60,)</f>
        <v>0</v>
      </c>
    </row>
    <row r="11" spans="1:1" x14ac:dyDescent="0.25">
      <c r="A11" s="3">
        <f>IF(COUNTBLANK(Měření!A11:A12) = 0,(Měření!A12-Měření!A11)*24*60*60,)</f>
        <v>0</v>
      </c>
    </row>
    <row r="12" spans="1:1" x14ac:dyDescent="0.25">
      <c r="A12" s="3">
        <f>IF(COUNTBLANK(Měření!A12:A13) = 0,(Měření!A13-Měření!A12)*24*60*60,)</f>
        <v>0</v>
      </c>
    </row>
    <row r="13" spans="1:1" x14ac:dyDescent="0.25">
      <c r="A13" s="3">
        <f>IF(COUNTBLANK(Měření!A13:A14) = 0,(Měření!A14-Měření!A13)*24*60*60,)</f>
        <v>0</v>
      </c>
    </row>
    <row r="14" spans="1:1" x14ac:dyDescent="0.25">
      <c r="A14" s="3">
        <f>IF(COUNTBLANK(Měření!A14:A15) = 0,(Měření!A15-Měření!A14)*24*60*60,)</f>
        <v>0</v>
      </c>
    </row>
    <row r="15" spans="1:1" x14ac:dyDescent="0.25">
      <c r="A15" s="3">
        <f>IF(COUNTBLANK(Měření!A15:A16) = 0,(Měření!A16-Měření!A15)*24*60*60,)</f>
        <v>0</v>
      </c>
    </row>
    <row r="16" spans="1:1" x14ac:dyDescent="0.25">
      <c r="A16" s="3">
        <f>IF(COUNTBLANK(Měření!A16:A17) = 0,(Měření!A17-Měření!A16)*24*60*60,)</f>
        <v>0</v>
      </c>
    </row>
    <row r="17" spans="1:1" x14ac:dyDescent="0.25">
      <c r="A17" s="3">
        <f>IF(COUNTBLANK(Měření!A17:A18) = 0,(Měření!A18-Měření!A17)*24*60*60,)</f>
        <v>0</v>
      </c>
    </row>
    <row r="18" spans="1:1" x14ac:dyDescent="0.25">
      <c r="A18" s="3">
        <f>IF(COUNTBLANK(Měření!A18:A19) = 0,(Měření!A19-Měření!A18)*24*60*60,)</f>
        <v>0</v>
      </c>
    </row>
    <row r="19" spans="1:1" x14ac:dyDescent="0.25">
      <c r="A19" s="3">
        <f>IF(COUNTBLANK(Měření!A19:A20) = 0,(Měření!A20-Měření!A19)*24*60*60,)</f>
        <v>0</v>
      </c>
    </row>
    <row r="20" spans="1:1" x14ac:dyDescent="0.25">
      <c r="A20" s="3">
        <f>IF(COUNTBLANK(Měření!A20:A21) = 0,(Měření!A21-Měření!A20)*24*60*60,)</f>
        <v>0</v>
      </c>
    </row>
    <row r="21" spans="1:1" x14ac:dyDescent="0.25">
      <c r="A21" s="3">
        <f>IF(COUNTBLANK(Měření!A21:A22) = 0,(Měření!A22-Měření!A21)*24*60*60,)</f>
        <v>0</v>
      </c>
    </row>
    <row r="22" spans="1:1" x14ac:dyDescent="0.25">
      <c r="A22" s="3">
        <f>IF(COUNTBLANK(Měření!A22:A23) = 0,(Měření!A23-Měření!A22)*24*60*60,)</f>
        <v>0</v>
      </c>
    </row>
    <row r="23" spans="1:1" x14ac:dyDescent="0.25">
      <c r="A23" s="3">
        <f>IF(COUNTBLANK(Měření!A23:A24) = 0,(Měření!A24-Měření!A23)*24*60*60,)</f>
        <v>0</v>
      </c>
    </row>
    <row r="24" spans="1:1" x14ac:dyDescent="0.25">
      <c r="A24" s="3">
        <f>IF(COUNTBLANK(Měření!A24:A25) = 0,(Měření!A25-Měření!A24)*24*60*60,)</f>
        <v>0</v>
      </c>
    </row>
    <row r="25" spans="1:1" x14ac:dyDescent="0.25">
      <c r="A25" s="3">
        <f>IF(COUNTBLANK(Měření!A25:A26) = 0,(Měření!A26-Měření!A25)*24*60*60,)</f>
        <v>0</v>
      </c>
    </row>
    <row r="26" spans="1:1" x14ac:dyDescent="0.25">
      <c r="A26" s="3">
        <f>IF(COUNTBLANK(Měření!A26:A27) = 0,(Měření!A27-Měření!A26)*24*60*60,)</f>
        <v>0</v>
      </c>
    </row>
    <row r="27" spans="1:1" x14ac:dyDescent="0.25">
      <c r="A27" s="3">
        <f>IF(COUNTBLANK(Měření!A27:A28) = 0,(Měření!A28-Měření!A27)*24*60*60,)</f>
        <v>0</v>
      </c>
    </row>
    <row r="28" spans="1:1" x14ac:dyDescent="0.25">
      <c r="A28" s="3">
        <f>IF(COUNTBLANK(Měření!A28:A29) = 0,(Měření!A29-Měření!A28)*24*60*60,)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H16" sqref="H16"/>
    </sheetView>
  </sheetViews>
  <sheetFormatPr defaultRowHeight="15" x14ac:dyDescent="0.25"/>
  <cols>
    <col min="1" max="1" width="18.7109375" customWidth="1"/>
    <col min="4" max="4" width="16.28515625" bestFit="1" customWidth="1"/>
    <col min="5" max="5" width="12.85546875" customWidth="1"/>
    <col min="6" max="6" width="10.42578125" customWidth="1"/>
    <col min="25" max="25" width="9.28515625" customWidth="1"/>
  </cols>
  <sheetData>
    <row r="1" spans="1:25" x14ac:dyDescent="0.25">
      <c r="A1" t="s">
        <v>23</v>
      </c>
      <c r="B1" t="s">
        <v>21</v>
      </c>
      <c r="C1" t="s">
        <v>0</v>
      </c>
      <c r="D1" t="s">
        <v>20</v>
      </c>
      <c r="E1" t="s">
        <v>39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68</v>
      </c>
      <c r="Y1" t="s">
        <v>69</v>
      </c>
    </row>
    <row r="2" spans="1:25" x14ac:dyDescent="0.25">
      <c r="A2" t="s">
        <v>24</v>
      </c>
      <c r="D2" t="s">
        <v>22</v>
      </c>
      <c r="E2" t="s">
        <v>28</v>
      </c>
      <c r="O2" t="s">
        <v>22</v>
      </c>
      <c r="P2" t="s">
        <v>22</v>
      </c>
      <c r="Q2" t="s">
        <v>22</v>
      </c>
    </row>
    <row r="3" spans="1:25" x14ac:dyDescent="0.25">
      <c r="A3" t="s">
        <v>57</v>
      </c>
    </row>
    <row r="4" spans="1:25" x14ac:dyDescent="0.25">
      <c r="A4" t="s">
        <v>25</v>
      </c>
      <c r="D4" t="s">
        <v>26</v>
      </c>
      <c r="E4" s="4" t="s">
        <v>30</v>
      </c>
      <c r="F4" s="4" t="s">
        <v>40</v>
      </c>
      <c r="G4" s="4" t="s">
        <v>41</v>
      </c>
      <c r="H4" s="4" t="s">
        <v>42</v>
      </c>
      <c r="I4" s="4" t="s">
        <v>43</v>
      </c>
      <c r="J4" s="4" t="s">
        <v>44</v>
      </c>
      <c r="K4" s="4" t="s">
        <v>45</v>
      </c>
      <c r="L4" s="4" t="s">
        <v>29</v>
      </c>
      <c r="M4" s="4" t="s">
        <v>46</v>
      </c>
      <c r="N4" s="4" t="s">
        <v>47</v>
      </c>
      <c r="O4" s="4" t="s">
        <v>48</v>
      </c>
      <c r="P4" s="4" t="s">
        <v>49</v>
      </c>
      <c r="Q4" s="4" t="s">
        <v>50</v>
      </c>
      <c r="R4" s="4" t="s">
        <v>51</v>
      </c>
      <c r="S4" s="4" t="s">
        <v>52</v>
      </c>
      <c r="T4" s="4" t="s">
        <v>53</v>
      </c>
      <c r="U4" s="4" t="s">
        <v>54</v>
      </c>
      <c r="V4" s="4" t="s">
        <v>55</v>
      </c>
      <c r="W4" s="4" t="s">
        <v>56</v>
      </c>
    </row>
    <row r="5" spans="1:25" x14ac:dyDescent="0.25">
      <c r="A5" t="s">
        <v>27</v>
      </c>
      <c r="D5">
        <f>$B$6-1</f>
        <v>6</v>
      </c>
      <c r="E5">
        <f>$B$6</f>
        <v>7</v>
      </c>
      <c r="F5">
        <f t="shared" ref="F5:W5" si="0">$B$6</f>
        <v>7</v>
      </c>
      <c r="G5">
        <f t="shared" si="0"/>
        <v>7</v>
      </c>
      <c r="H5">
        <f t="shared" si="0"/>
        <v>7</v>
      </c>
      <c r="I5">
        <f t="shared" si="0"/>
        <v>7</v>
      </c>
      <c r="J5">
        <f t="shared" si="0"/>
        <v>7</v>
      </c>
      <c r="K5">
        <f t="shared" si="0"/>
        <v>7</v>
      </c>
      <c r="L5">
        <f t="shared" si="0"/>
        <v>7</v>
      </c>
      <c r="M5">
        <f t="shared" si="0"/>
        <v>7</v>
      </c>
      <c r="N5">
        <f t="shared" si="0"/>
        <v>7</v>
      </c>
      <c r="O5">
        <f t="shared" si="0"/>
        <v>7</v>
      </c>
      <c r="P5">
        <f t="shared" si="0"/>
        <v>7</v>
      </c>
      <c r="Q5">
        <f t="shared" si="0"/>
        <v>7</v>
      </c>
      <c r="R5">
        <f t="shared" si="0"/>
        <v>7</v>
      </c>
      <c r="S5">
        <f t="shared" si="0"/>
        <v>7</v>
      </c>
      <c r="T5">
        <f t="shared" si="0"/>
        <v>7</v>
      </c>
      <c r="U5">
        <f t="shared" si="0"/>
        <v>7</v>
      </c>
      <c r="V5">
        <f t="shared" si="0"/>
        <v>7</v>
      </c>
      <c r="W5">
        <f t="shared" si="0"/>
        <v>7</v>
      </c>
    </row>
    <row r="6" spans="1:25" x14ac:dyDescent="0.25">
      <c r="A6" t="s">
        <v>31</v>
      </c>
      <c r="B6" s="2">
        <f>(1048575-COUNTBLANK(Měření!A2:A1048576))</f>
        <v>7</v>
      </c>
      <c r="C6" s="2">
        <f>(MAX(Měření!A2:A1048576)-MIN(Měření!A2:A1048576))*24*60*60</f>
        <v>66.999999999997684</v>
      </c>
      <c r="D6" s="2">
        <f ca="1">AVERAGE(INDIRECT(D$4 &amp; "2"):INDIRECT(D$4 &amp; D$5))</f>
        <v>11.999999999999957</v>
      </c>
      <c r="E6" s="2">
        <f ca="1">AVERAGE(INDIRECT(E$4 &amp; "2"):INDIRECT(E$4 &amp; E$5))</f>
        <v>32.5</v>
      </c>
      <c r="F6" s="2" t="e">
        <f ca="1">AVERAGE(INDIRECT(F$4 &amp; "2"):INDIRECT(F$4 &amp; F$5))</f>
        <v>#DIV/0!</v>
      </c>
      <c r="G6" s="2" t="e">
        <f ca="1">AVERAGE(INDIRECT(G$4 &amp; "2"):INDIRECT(G$4 &amp; G$5))</f>
        <v>#DIV/0!</v>
      </c>
      <c r="H6" s="2" t="e">
        <f ca="1">AVERAGE(INDIRECT(H$4 &amp; "2"):INDIRECT(H$4 &amp; H$5))</f>
        <v>#DIV/0!</v>
      </c>
      <c r="I6" s="2" t="e">
        <f ca="1">AVERAGE(INDIRECT(I$4 &amp; "2"):INDIRECT(I$4 &amp; I$5))</f>
        <v>#DIV/0!</v>
      </c>
      <c r="J6" s="2" t="e">
        <f ca="1">AVERAGE(INDIRECT(J$4 &amp; "2"):INDIRECT(J$4 &amp; J$5))</f>
        <v>#DIV/0!</v>
      </c>
      <c r="K6" s="2" t="e">
        <f ca="1">AVERAGE(INDIRECT(K$4 &amp; "2"):INDIRECT(K$4 &amp; K$5))</f>
        <v>#DIV/0!</v>
      </c>
      <c r="L6" s="2">
        <f ca="1">AVERAGE(INDIRECT(L$4 &amp; "2"):INDIRECT(L$4 &amp; L$5))</f>
        <v>3781.5</v>
      </c>
      <c r="M6" s="2" t="e">
        <f ca="1">AVERAGE(INDIRECT(M$4 &amp; "2"):INDIRECT(M$4 &amp; M$5))</f>
        <v>#DIV/0!</v>
      </c>
      <c r="N6" s="2" t="e">
        <f ca="1">AVERAGE(INDIRECT(N$4 &amp; "2"):INDIRECT(N$4 &amp; N$5))</f>
        <v>#DIV/0!</v>
      </c>
      <c r="O6" s="2" t="e">
        <f ca="1">AVERAGE(INDIRECT(O$4 &amp; "2"):INDIRECT(O$4 &amp; O$5))</f>
        <v>#DIV/0!</v>
      </c>
      <c r="P6" s="2" t="e">
        <f ca="1">AVERAGE(INDIRECT(P$4 &amp; "2"):INDIRECT(P$4 &amp; P$5))</f>
        <v>#DIV/0!</v>
      </c>
      <c r="Q6" s="2" t="e">
        <f ca="1">AVERAGE(INDIRECT(Q$4 &amp; "2"):INDIRECT(Q$4 &amp; Q$5))</f>
        <v>#DIV/0!</v>
      </c>
      <c r="R6" s="2" t="e">
        <f ca="1">AVERAGE(INDIRECT(R$4 &amp; "2"):INDIRECT(R$4 &amp; R$5))</f>
        <v>#DIV/0!</v>
      </c>
      <c r="S6" s="2" t="e">
        <f ca="1">AVERAGE(INDIRECT(S$4 &amp; "2"):INDIRECT(S$4 &amp; S$5))</f>
        <v>#DIV/0!</v>
      </c>
      <c r="T6" s="2" t="e">
        <f ca="1">AVERAGE(INDIRECT(T$4 &amp; "2"):INDIRECT(T$4 &amp; T$5))</f>
        <v>#DIV/0!</v>
      </c>
      <c r="U6" s="2" t="e">
        <f ca="1">AVERAGE(INDIRECT(U$4 &amp; "2"):INDIRECT(U$4 &amp; U$5))</f>
        <v>#DIV/0!</v>
      </c>
      <c r="V6" s="2" t="e">
        <f ca="1">AVERAGE(INDIRECT(V$4 &amp; "2"):INDIRECT(V$4 &amp; V$5))</f>
        <v>#DIV/0!</v>
      </c>
      <c r="W6" s="2" t="e">
        <f ca="1">AVERAGE(INDIRECT(W$4 &amp; "2"):INDIRECT(W$4 &amp; W$5))</f>
        <v>#DIV/0!</v>
      </c>
      <c r="X6">
        <v>9.81</v>
      </c>
      <c r="Y6" t="e">
        <f ca="1">F11/X6</f>
        <v>#DIV/0!</v>
      </c>
    </row>
    <row r="7" spans="1:25" x14ac:dyDescent="0.25">
      <c r="A7" t="s">
        <v>37</v>
      </c>
      <c r="B7" s="2"/>
      <c r="C7" s="2"/>
      <c r="D7" s="2">
        <f ca="1">STDEVPA(INDIRECT(D$4 &amp; "2"):INDIRECT(D$4 &amp; D$5))</f>
        <v>1.0954451150087521</v>
      </c>
      <c r="E7" s="2">
        <f ca="1">STDEVPA(INDIRECT(E$4 &amp; "2"):INDIRECT(E$4 &amp; E$5))</f>
        <v>1.707825127659933</v>
      </c>
      <c r="F7" s="2" t="e">
        <f ca="1">STDEVPA(INDIRECT(F$4 &amp; "2"):INDIRECT(F$4 &amp; F$5))</f>
        <v>#DIV/0!</v>
      </c>
      <c r="G7" s="2" t="e">
        <f ca="1">STDEVPA(INDIRECT(G$4 &amp; "2"):INDIRECT(G$4 &amp; G$5))</f>
        <v>#DIV/0!</v>
      </c>
      <c r="H7" s="2" t="e">
        <f ca="1">STDEVPA(INDIRECT(H$4 &amp; "2"):INDIRECT(H$4 &amp; H$5))</f>
        <v>#DIV/0!</v>
      </c>
      <c r="I7" s="2" t="e">
        <f ca="1">STDEVPA(INDIRECT(I$4 &amp; "2"):INDIRECT(I$4 &amp; I$5))</f>
        <v>#DIV/0!</v>
      </c>
      <c r="J7" s="2" t="e">
        <f ca="1">STDEVPA(INDIRECT(J$4 &amp; "2"):INDIRECT(J$4 &amp; J$5))</f>
        <v>#DIV/0!</v>
      </c>
      <c r="K7" s="2" t="e">
        <f ca="1">STDEVPA(INDIRECT(K$4 &amp; "2"):INDIRECT(K$4 &amp; K$5))</f>
        <v>#DIV/0!</v>
      </c>
      <c r="L7" s="2">
        <f ca="1">STDEVPA(INDIRECT(L$4 &amp; "2"):INDIRECT(L$4 &amp; L$5))</f>
        <v>879.48938784577354</v>
      </c>
      <c r="M7" s="2" t="e">
        <f ca="1">STDEVPA(INDIRECT(M$4 &amp; "2"):INDIRECT(M$4 &amp; M$5))</f>
        <v>#DIV/0!</v>
      </c>
      <c r="N7" s="2" t="e">
        <f ca="1">STDEVPA(INDIRECT(N$4 &amp; "2"):INDIRECT(N$4 &amp; N$5))</f>
        <v>#DIV/0!</v>
      </c>
      <c r="O7" s="2" t="e">
        <f ca="1">STDEVPA(INDIRECT(O$4 &amp; "2"):INDIRECT(O$4 &amp; O$5))</f>
        <v>#DIV/0!</v>
      </c>
      <c r="P7" s="2" t="e">
        <f ca="1">STDEVPA(INDIRECT(P$4 &amp; "2"):INDIRECT(P$4 &amp; P$5))</f>
        <v>#DIV/0!</v>
      </c>
      <c r="Q7" s="2" t="e">
        <f ca="1">STDEVPA(INDIRECT(Q$4 &amp; "2"):INDIRECT(Q$4 &amp; Q$5))</f>
        <v>#DIV/0!</v>
      </c>
      <c r="R7" s="2" t="e">
        <f ca="1">STDEVPA(INDIRECT(R$4 &amp; "2"):INDIRECT(R$4 &amp; R$5))</f>
        <v>#DIV/0!</v>
      </c>
      <c r="S7" s="2" t="e">
        <f ca="1">STDEVPA(INDIRECT(S$4 &amp; "2"):INDIRECT(S$4 &amp; S$5))</f>
        <v>#DIV/0!</v>
      </c>
      <c r="T7" s="2" t="e">
        <f ca="1">STDEVPA(INDIRECT(T$4 &amp; "2"):INDIRECT(T$4 &amp; T$5))</f>
        <v>#DIV/0!</v>
      </c>
      <c r="U7" s="2" t="e">
        <f ca="1">STDEVPA(INDIRECT(U$4 &amp; "2"):INDIRECT(U$4 &amp; U$5))</f>
        <v>#DIV/0!</v>
      </c>
      <c r="V7" s="2" t="e">
        <f ca="1">STDEVPA(INDIRECT(V$4 &amp; "2"):INDIRECT(V$4 &amp; V$5))</f>
        <v>#DIV/0!</v>
      </c>
      <c r="W7" s="2" t="e">
        <f ca="1">STDEVPA(INDIRECT(W$4 &amp; "2"):INDIRECT(W$4 &amp; W$5))</f>
        <v>#DIV/0!</v>
      </c>
      <c r="X7" t="s">
        <v>70</v>
      </c>
    </row>
    <row r="8" spans="1:25" x14ac:dyDescent="0.25">
      <c r="A8" t="s">
        <v>38</v>
      </c>
      <c r="B8" s="2"/>
      <c r="C8" s="2"/>
      <c r="D8" s="2">
        <f ca="1">STDEVPA(INDIRECT(D$4 &amp; "2"):INDIRECT(D$4 &amp; D$5))/SQRT(D$5-1)</f>
        <v>0.48989794855592894</v>
      </c>
      <c r="E8" s="2">
        <f ca="1">STDEVPA(INDIRECT(E$4 &amp; "2"):INDIRECT(E$4 &amp; E$5))/SQRT(E$5-1)</f>
        <v>0.69721668877839638</v>
      </c>
      <c r="F8" s="2" t="e">
        <f ca="1">STDEVPA(INDIRECT(F$4 &amp; "2"):INDIRECT(F$4 &amp; F$5))/SQRT(F$5-1)</f>
        <v>#DIV/0!</v>
      </c>
      <c r="G8" s="2" t="e">
        <f ca="1">STDEVPA(INDIRECT(G$4 &amp; "2"):INDIRECT(G$4 &amp; G$5))/SQRT(G$5-1)</f>
        <v>#DIV/0!</v>
      </c>
      <c r="H8" s="2" t="e">
        <f ca="1">STDEVPA(INDIRECT(H$4 &amp; "2"):INDIRECT(H$4 &amp; H$5))/SQRT(H$5-1)</f>
        <v>#DIV/0!</v>
      </c>
      <c r="I8" s="2" t="e">
        <f ca="1">STDEVPA(INDIRECT(I$4 &amp; "2"):INDIRECT(I$4 &amp; I$5))/SQRT(I$5-1)</f>
        <v>#DIV/0!</v>
      </c>
      <c r="J8" s="2" t="e">
        <f ca="1">STDEVPA(INDIRECT(J$4 &amp; "2"):INDIRECT(J$4 &amp; J$5))/SQRT(J$5-1)</f>
        <v>#DIV/0!</v>
      </c>
      <c r="K8" s="2" t="e">
        <f ca="1">STDEVPA(INDIRECT(K$4 &amp; "2"):INDIRECT(K$4 &amp; K$5))/SQRT(K$5-1)</f>
        <v>#DIV/0!</v>
      </c>
      <c r="L8" s="2">
        <f ca="1">STDEVPA(INDIRECT(L$4 &amp; "2"):INDIRECT(L$4 &amp; L$5))/SQRT(L$5-1)</f>
        <v>359.05003906914646</v>
      </c>
      <c r="M8" s="2" t="e">
        <f ca="1">STDEVPA(INDIRECT(M$4 &amp; "2"):INDIRECT(M$4 &amp; M$5))/SQRT(M$5-1)</f>
        <v>#DIV/0!</v>
      </c>
      <c r="N8" s="2" t="e">
        <f ca="1">STDEVPA(INDIRECT(N$4 &amp; "2"):INDIRECT(N$4 &amp; N$5))/SQRT(N$5-1)</f>
        <v>#DIV/0!</v>
      </c>
      <c r="O8" s="2" t="e">
        <f ca="1">STDEVPA(INDIRECT(O$4 &amp; "2"):INDIRECT(O$4 &amp; O$5))/SQRT(O$5-1)</f>
        <v>#DIV/0!</v>
      </c>
      <c r="P8" s="2" t="e">
        <f ca="1">STDEVPA(INDIRECT(P$4 &amp; "2"):INDIRECT(P$4 &amp; P$5))/SQRT(P$5-1)</f>
        <v>#DIV/0!</v>
      </c>
      <c r="Q8" s="2" t="e">
        <f ca="1">STDEVPA(INDIRECT(Q$4 &amp; "2"):INDIRECT(Q$4 &amp; Q$5))/SQRT(Q$5-1)</f>
        <v>#DIV/0!</v>
      </c>
      <c r="R8" s="2" t="e">
        <f ca="1">STDEVPA(INDIRECT(R$4 &amp; "2"):INDIRECT(R$4 &amp; R$5))/SQRT(R$5-1)</f>
        <v>#DIV/0!</v>
      </c>
      <c r="S8" s="2" t="e">
        <f ca="1">STDEVPA(INDIRECT(S$4 &amp; "2"):INDIRECT(S$4 &amp; S$5))/SQRT(S$5-1)</f>
        <v>#DIV/0!</v>
      </c>
      <c r="T8" s="2" t="e">
        <f ca="1">STDEVPA(INDIRECT(T$4 &amp; "2"):INDIRECT(T$4 &amp; T$5))/SQRT(T$5-1)</f>
        <v>#DIV/0!</v>
      </c>
      <c r="U8" s="2" t="e">
        <f ca="1">STDEVPA(INDIRECT(U$4 &amp; "2"):INDIRECT(U$4 &amp; U$5))/SQRT(U$5-1)</f>
        <v>#DIV/0!</v>
      </c>
      <c r="V8" s="2" t="e">
        <f ca="1">STDEVPA(INDIRECT(V$4 &amp; "2"):INDIRECT(V$4 &amp; V$5))/SQRT(V$5-1)</f>
        <v>#DIV/0!</v>
      </c>
      <c r="W8" s="2" t="e">
        <f ca="1">STDEVPA(INDIRECT(W$4 &amp; "2"):INDIRECT(W$4 &amp; W$5))/SQRT(W$5-1)</f>
        <v>#DIV/0!</v>
      </c>
    </row>
    <row r="9" spans="1:25" x14ac:dyDescent="0.25">
      <c r="A9" t="s">
        <v>34</v>
      </c>
      <c r="B9" s="2"/>
      <c r="C9" s="2"/>
      <c r="D9" s="2">
        <f ca="1">MIN(INDIRECT(D$4 &amp; "2"):INDIRECT(D$4 &amp; D$5))</f>
        <v>10.999999999995325</v>
      </c>
      <c r="E9" s="2">
        <f ca="1">MIN(INDIRECT(E$4 &amp; "2"):INDIRECT(E$4 &amp; E$5))</f>
        <v>30</v>
      </c>
      <c r="F9" s="2">
        <f ca="1">MIN(INDIRECT(F$4 &amp; "2"):INDIRECT(F$4 &amp; F$5))</f>
        <v>0</v>
      </c>
      <c r="G9" s="2">
        <f ca="1">MIN(INDIRECT(G$4 &amp; "2"):INDIRECT(G$4 &amp; G$5))</f>
        <v>0</v>
      </c>
      <c r="H9" s="2">
        <f ca="1">MIN(INDIRECT(H$4 &amp; "2"):INDIRECT(H$4 &amp; H$5))</f>
        <v>0</v>
      </c>
      <c r="I9" s="2">
        <f ca="1">MIN(INDIRECT(I$4 &amp; "2"):INDIRECT(I$4 &amp; I$5))</f>
        <v>0</v>
      </c>
      <c r="J9" s="2">
        <f ca="1">MIN(INDIRECT(J$4 &amp; "2"):INDIRECT(J$4 &amp; J$5))</f>
        <v>0</v>
      </c>
      <c r="K9" s="2">
        <f ca="1">MIN(INDIRECT(K$4 &amp; "2"):INDIRECT(K$4 &amp; K$5))</f>
        <v>0</v>
      </c>
      <c r="L9" s="2">
        <f ca="1">MIN(INDIRECT(L$4 &amp; "2"):INDIRECT(L$4 &amp; L$5))</f>
        <v>2341</v>
      </c>
      <c r="M9" s="2">
        <f ca="1">MIN(INDIRECT(M$4 &amp; "2"):INDIRECT(M$4 &amp; M$5))</f>
        <v>0</v>
      </c>
      <c r="N9" s="2">
        <f ca="1">MIN(INDIRECT(N$4 &amp; "2"):INDIRECT(N$4 &amp; N$5))</f>
        <v>0</v>
      </c>
      <c r="O9" s="2">
        <f ca="1">MIN(INDIRECT(O$4 &amp; "2"):INDIRECT(O$4 &amp; O$5))</f>
        <v>0</v>
      </c>
      <c r="P9" s="2">
        <f ca="1">MIN(INDIRECT(P$4 &amp; "2"):INDIRECT(P$4 &amp; P$5))</f>
        <v>0</v>
      </c>
      <c r="Q9" s="2">
        <f ca="1">MIN(INDIRECT(Q$4 &amp; "2"):INDIRECT(Q$4 &amp; Q$5))</f>
        <v>0</v>
      </c>
      <c r="R9" s="2">
        <f ca="1">MIN(INDIRECT(R$4 &amp; "2"):INDIRECT(R$4 &amp; R$5))</f>
        <v>0</v>
      </c>
      <c r="S9" s="2">
        <f ca="1">MIN(INDIRECT(S$4 &amp; "2"):INDIRECT(S$4 &amp; S$5))</f>
        <v>0</v>
      </c>
      <c r="T9" s="2">
        <f ca="1">MIN(INDIRECT(T$4 &amp; "2"):INDIRECT(T$4 &amp; T$5))</f>
        <v>0</v>
      </c>
      <c r="U9" s="2">
        <f ca="1">MIN(INDIRECT(U$4 &amp; "2"):INDIRECT(U$4 &amp; U$5))</f>
        <v>0</v>
      </c>
      <c r="V9" s="2">
        <f ca="1">MIN(INDIRECT(V$4 &amp; "2"):INDIRECT(V$4 &amp; V$5))</f>
        <v>0</v>
      </c>
      <c r="W9" s="2">
        <f ca="1">MIN(INDIRECT(W$4 &amp; "2"):INDIRECT(W$4 &amp; W$5))</f>
        <v>0</v>
      </c>
    </row>
    <row r="10" spans="1:25" x14ac:dyDescent="0.25">
      <c r="A10" t="s">
        <v>35</v>
      </c>
      <c r="B10" s="2"/>
      <c r="C10" s="2"/>
      <c r="D10" s="2">
        <f ca="1">MAX(INDIRECT(D$4 &amp; "2"):INDIRECT(D$4 &amp; D$5))</f>
        <v>13.999999999995794</v>
      </c>
      <c r="E10" s="2">
        <f ca="1">MAX(INDIRECT(E$4 &amp; "2"):INDIRECT(E$4 &amp; E$5))</f>
        <v>35</v>
      </c>
      <c r="F10" s="2">
        <f ca="1">MAX(INDIRECT(F$4 &amp; "2"):INDIRECT(F$4 &amp; F$5))</f>
        <v>0</v>
      </c>
      <c r="G10" s="2">
        <f ca="1">MAX(INDIRECT(G$4 &amp; "2"):INDIRECT(G$4 &amp; G$5))</f>
        <v>0</v>
      </c>
      <c r="H10" s="2">
        <f ca="1">MAX(INDIRECT(H$4 &amp; "2"):INDIRECT(H$4 &amp; H$5))</f>
        <v>0</v>
      </c>
      <c r="I10" s="2">
        <f ca="1">MAX(INDIRECT(I$4 &amp; "2"):INDIRECT(I$4 &amp; I$5))</f>
        <v>0</v>
      </c>
      <c r="J10" s="2">
        <f ca="1">MAX(INDIRECT(J$4 &amp; "2"):INDIRECT(J$4 &amp; J$5))</f>
        <v>0</v>
      </c>
      <c r="K10" s="2">
        <f ca="1">MAX(INDIRECT(K$4 &amp; "2"):INDIRECT(K$4 &amp; K$5))</f>
        <v>0</v>
      </c>
      <c r="L10" s="2">
        <f ca="1">MAX(INDIRECT(L$4 &amp; "2"):INDIRECT(L$4 &amp; L$5))</f>
        <v>5000</v>
      </c>
      <c r="M10" s="2">
        <f ca="1">MAX(INDIRECT(M$4 &amp; "2"):INDIRECT(M$4 &amp; M$5))</f>
        <v>0</v>
      </c>
      <c r="N10" s="2">
        <f ca="1">MAX(INDIRECT(N$4 &amp; "2"):INDIRECT(N$4 &amp; N$5))</f>
        <v>0</v>
      </c>
      <c r="O10" s="2">
        <f ca="1">MAX(INDIRECT(O$4 &amp; "2"):INDIRECT(O$4 &amp; O$5))</f>
        <v>0</v>
      </c>
      <c r="P10" s="2">
        <f ca="1">MAX(INDIRECT(P$4 &amp; "2"):INDIRECT(P$4 &amp; P$5))</f>
        <v>0</v>
      </c>
      <c r="Q10" s="2">
        <f ca="1">MAX(INDIRECT(Q$4 &amp; "2"):INDIRECT(Q$4 &amp; Q$5))</f>
        <v>0</v>
      </c>
      <c r="R10" s="2">
        <f ca="1">MAX(INDIRECT(R$4 &amp; "2"):INDIRECT(R$4 &amp; R$5))</f>
        <v>0</v>
      </c>
      <c r="S10" s="2">
        <f ca="1">MAX(INDIRECT(S$4 &amp; "2"):INDIRECT(S$4 &amp; S$5))</f>
        <v>0</v>
      </c>
      <c r="T10" s="2">
        <f ca="1">MAX(INDIRECT(T$4 &amp; "2"):INDIRECT(T$4 &amp; T$5))</f>
        <v>0</v>
      </c>
      <c r="U10" s="2">
        <f ca="1">MAX(INDIRECT(U$4 &amp; "2"):INDIRECT(U$4 &amp; U$5))</f>
        <v>0</v>
      </c>
      <c r="V10" s="2">
        <f ca="1">MAX(INDIRECT(V$4 &amp; "2"):INDIRECT(V$4 &amp; V$5))</f>
        <v>0</v>
      </c>
      <c r="W10" s="2">
        <f ca="1">MAX(INDIRECT(W$4 &amp; "2"):INDIRECT(W$4 &amp; W$5))</f>
        <v>0</v>
      </c>
    </row>
    <row r="11" spans="1:25" x14ac:dyDescent="0.25">
      <c r="A11" t="s">
        <v>32</v>
      </c>
      <c r="B11" s="2"/>
      <c r="C11" s="2"/>
      <c r="D11" s="2">
        <f ca="1">SLOPE(INDIRECT(D$4 &amp; "2"):INDIRECT(D$4 &amp; D$5),INDIRECT($L$4 &amp; "2"):INDIRECT($L$4 &amp; D$5))</f>
        <v>6.0159151173937132E-4</v>
      </c>
      <c r="E11" s="2">
        <f ca="1">SLOPE(INDIRECT(E$4 &amp; "2"):INDIRECT(E$4 &amp; E$5),INDIRECT($L$4 &amp; "2"):INDIRECT($L$4 &amp; E$5))</f>
        <v>1.6592295275413679E-3</v>
      </c>
      <c r="F11" s="2" t="e">
        <f ca="1">SLOPE(INDIRECT(F$4 &amp; "2"):INDIRECT(F$4 &amp; F$5),INDIRECT($L$4 &amp; "2"):INDIRECT($L$4 &amp; F$5))</f>
        <v>#DIV/0!</v>
      </c>
      <c r="G11" s="2" t="e">
        <f ca="1">SLOPE(INDIRECT(G$4 &amp; "2"):INDIRECT(G$4 &amp; G$5),INDIRECT($L$4 &amp; "2"):INDIRECT($L$4 &amp; G$5))</f>
        <v>#DIV/0!</v>
      </c>
      <c r="H11" s="2" t="e">
        <f ca="1">SLOPE(INDIRECT(H$4 &amp; "2"):INDIRECT(H$4 &amp; H$5),INDIRECT($L$4 &amp; "2"):INDIRECT($L$4 &amp; H$5))</f>
        <v>#DIV/0!</v>
      </c>
      <c r="I11" s="2" t="e">
        <f ca="1">SLOPE(INDIRECT(I$4 &amp; "2"):INDIRECT(I$4 &amp; I$5),INDIRECT($L$4 &amp; "2"):INDIRECT($L$4 &amp; I$5))</f>
        <v>#DIV/0!</v>
      </c>
      <c r="J11" s="2" t="e">
        <f ca="1">SLOPE(INDIRECT(J$4 &amp; "2"):INDIRECT(J$4 &amp; J$5),INDIRECT($L$4 &amp; "2"):INDIRECT($L$4 &amp; J$5))</f>
        <v>#DIV/0!</v>
      </c>
      <c r="K11" s="2" t="e">
        <f ca="1">SLOPE(INDIRECT(K$4 &amp; "2"):INDIRECT(K$4 &amp; K$5),INDIRECT($L$4 &amp; "2"):INDIRECT($L$4 &amp; K$5))</f>
        <v>#DIV/0!</v>
      </c>
      <c r="L11" s="2">
        <f ca="1">SLOPE(INDIRECT(L$4 &amp; "2"):INDIRECT(L$4 &amp; L$5),INDIRECT($L$4 &amp; "2"):INDIRECT($L$4 &amp; L$5))</f>
        <v>1</v>
      </c>
      <c r="M11" s="2" t="e">
        <f ca="1">SLOPE(INDIRECT(M$4 &amp; "2"):INDIRECT(M$4 &amp; M$5),INDIRECT($L$4 &amp; "2"):INDIRECT($L$4 &amp; M$5))</f>
        <v>#DIV/0!</v>
      </c>
      <c r="N11" s="2" t="e">
        <f ca="1">SLOPE(INDIRECT(N$4 &amp; "2"):INDIRECT(N$4 &amp; N$5),INDIRECT($L$4 &amp; "2"):INDIRECT($L$4 &amp; N$5))</f>
        <v>#DIV/0!</v>
      </c>
      <c r="O11" s="2" t="e">
        <f ca="1">SLOPE(INDIRECT(O$4 &amp; "2"):INDIRECT(O$4 &amp; O$5),INDIRECT($L$4 &amp; "2"):INDIRECT($L$4 &amp; O$5))</f>
        <v>#DIV/0!</v>
      </c>
      <c r="P11" s="2" t="e">
        <f ca="1">SLOPE(INDIRECT(P$4 &amp; "2"):INDIRECT(P$4 &amp; P$5),INDIRECT($L$4 &amp; "2"):INDIRECT($L$4 &amp; P$5))</f>
        <v>#DIV/0!</v>
      </c>
      <c r="Q11" s="2" t="e">
        <f ca="1">SLOPE(INDIRECT(Q$4 &amp; "2"):INDIRECT(Q$4 &amp; Q$5),INDIRECT($L$4 &amp; "2"):INDIRECT($L$4 &amp; Q$5))</f>
        <v>#DIV/0!</v>
      </c>
      <c r="R11" s="2" t="e">
        <f ca="1">SLOPE(INDIRECT(R$4 &amp; "2"):INDIRECT(R$4 &amp; R$5),INDIRECT($L$4 &amp; "2"):INDIRECT($L$4 &amp; R$5))</f>
        <v>#DIV/0!</v>
      </c>
      <c r="S11" s="2" t="e">
        <f ca="1">SLOPE(INDIRECT(S$4 &amp; "2"):INDIRECT(S$4 &amp; S$5),INDIRECT($L$4 &amp; "2"):INDIRECT($L$4 &amp; S$5))</f>
        <v>#DIV/0!</v>
      </c>
      <c r="T11" s="2" t="e">
        <f ca="1">SLOPE(INDIRECT(T$4 &amp; "2"):INDIRECT(T$4 &amp; T$5),INDIRECT($L$4 &amp; "2"):INDIRECT($L$4 &amp; T$5))</f>
        <v>#DIV/0!</v>
      </c>
      <c r="U11" s="2" t="e">
        <f ca="1">SLOPE(INDIRECT(U$4 &amp; "2"):INDIRECT(U$4 &amp; U$5),INDIRECT($L$4 &amp; "2"):INDIRECT($L$4 &amp; U$5))</f>
        <v>#DIV/0!</v>
      </c>
      <c r="V11" s="2" t="e">
        <f ca="1">SLOPE(INDIRECT(V$4 &amp; "2"):INDIRECT(V$4 &amp; V$5),INDIRECT($L$4 &amp; "2"):INDIRECT($L$4 &amp; V$5))</f>
        <v>#DIV/0!</v>
      </c>
      <c r="W11" s="2" t="e">
        <f ca="1">SLOPE(INDIRECT(W$4 &amp; "2"):INDIRECT(W$4 &amp; W$5),INDIRECT($L$4 &amp; "2"):INDIRECT($L$4 &amp; W$5))</f>
        <v>#DIV/0!</v>
      </c>
    </row>
    <row r="12" spans="1:25" x14ac:dyDescent="0.25">
      <c r="A12" t="s">
        <v>33</v>
      </c>
      <c r="B12" s="2"/>
      <c r="C12" s="2"/>
      <c r="D12" s="6">
        <f ca="1">INTERCEPT(INDIRECT(D$4 &amp; "2"):INDIRECT(D$4 &amp; D$5),INDIRECT($L$4 &amp; "2"):INDIRECT($L$4 &amp; D$5))</f>
        <v>9.5517631838254111</v>
      </c>
      <c r="E12" s="6">
        <f ca="1">INTERCEPT(INDIRECT(E$4 &amp; "2"):INDIRECT(E$4 &amp; E$5),INDIRECT($L$4 &amp; "2"):INDIRECT($L$4 &amp; E$5))</f>
        <v>26.225623541602317</v>
      </c>
      <c r="F12" s="6" t="e">
        <f ca="1">INTERCEPT(INDIRECT(F$4 &amp; "2"):INDIRECT(F$4 &amp; F$5),INDIRECT($L$4 &amp; "2"):INDIRECT($L$4 &amp; F$5))</f>
        <v>#DIV/0!</v>
      </c>
      <c r="G12" s="6" t="e">
        <f ca="1">INTERCEPT(INDIRECT(G$4 &amp; "2"):INDIRECT(G$4 &amp; G$5),INDIRECT($L$4 &amp; "2"):INDIRECT($L$4 &amp; G$5))</f>
        <v>#DIV/0!</v>
      </c>
      <c r="H12" s="6" t="e">
        <f ca="1">INTERCEPT(INDIRECT(H$4 &amp; "2"):INDIRECT(H$4 &amp; H$5),INDIRECT($L$4 &amp; "2"):INDIRECT($L$4 &amp; H$5))</f>
        <v>#DIV/0!</v>
      </c>
      <c r="I12" s="6" t="e">
        <f ca="1">INTERCEPT(INDIRECT(I$4 &amp; "2"):INDIRECT(I$4 &amp; I$5),INDIRECT($L$4 &amp; "2"):INDIRECT($L$4 &amp; I$5))</f>
        <v>#DIV/0!</v>
      </c>
      <c r="J12" s="6" t="e">
        <f ca="1">INTERCEPT(INDIRECT(J$4 &amp; "2"):INDIRECT(J$4 &amp; J$5),INDIRECT($L$4 &amp; "2"):INDIRECT($L$4 &amp; J$5))</f>
        <v>#DIV/0!</v>
      </c>
      <c r="K12" s="6" t="e">
        <f ca="1">INTERCEPT(INDIRECT(K$4 &amp; "2"):INDIRECT(K$4 &amp; K$5),INDIRECT($L$4 &amp; "2"):INDIRECT($L$4 &amp; K$5))</f>
        <v>#DIV/0!</v>
      </c>
      <c r="L12" s="6">
        <f ca="1">INTERCEPT(INDIRECT(L$4 &amp; "2"):INDIRECT(L$4 &amp; L$5),INDIRECT($L$4 &amp; "2"):INDIRECT($L$4 &amp; L$5))</f>
        <v>0</v>
      </c>
      <c r="M12" s="6" t="e">
        <f ca="1">INTERCEPT(INDIRECT(M$4 &amp; "2"):INDIRECT(M$4 &amp; M$5),INDIRECT($L$4 &amp; "2"):INDIRECT($L$4 &amp; M$5))</f>
        <v>#DIV/0!</v>
      </c>
      <c r="N12" s="6" t="e">
        <f ca="1">INTERCEPT(INDIRECT(N$4 &amp; "2"):INDIRECT(N$4 &amp; N$5),INDIRECT($L$4 &amp; "2"):INDIRECT($L$4 &amp; N$5))</f>
        <v>#DIV/0!</v>
      </c>
      <c r="O12" s="6" t="e">
        <f ca="1">INTERCEPT(INDIRECT(O$4 &amp; "2"):INDIRECT(O$4 &amp; O$5),INDIRECT($L$4 &amp; "2"):INDIRECT($L$4 &amp; O$5))</f>
        <v>#DIV/0!</v>
      </c>
      <c r="P12" s="6" t="e">
        <f ca="1">INTERCEPT(INDIRECT(P$4 &amp; "2"):INDIRECT(P$4 &amp; P$5),INDIRECT($L$4 &amp; "2"):INDIRECT($L$4 &amp; P$5))</f>
        <v>#DIV/0!</v>
      </c>
      <c r="Q12" s="6" t="e">
        <f ca="1">INTERCEPT(INDIRECT(Q$4 &amp; "2"):INDIRECT(Q$4 &amp; Q$5),INDIRECT($L$4 &amp; "2"):INDIRECT($L$4 &amp; Q$5))</f>
        <v>#DIV/0!</v>
      </c>
      <c r="R12" s="6" t="e">
        <f ca="1">INTERCEPT(INDIRECT(R$4 &amp; "2"):INDIRECT(R$4 &amp; R$5),INDIRECT($L$4 &amp; "2"):INDIRECT($L$4 &amp; R$5))</f>
        <v>#DIV/0!</v>
      </c>
      <c r="S12" s="6" t="e">
        <f ca="1">INTERCEPT(INDIRECT(S$4 &amp; "2"):INDIRECT(S$4 &amp; S$5),INDIRECT($L$4 &amp; "2"):INDIRECT($L$4 &amp; S$5))</f>
        <v>#DIV/0!</v>
      </c>
      <c r="T12" s="6" t="e">
        <f ca="1">INTERCEPT(INDIRECT(T$4 &amp; "2"):INDIRECT(T$4 &amp; T$5),INDIRECT($L$4 &amp; "2"):INDIRECT($L$4 &amp; T$5))</f>
        <v>#DIV/0!</v>
      </c>
      <c r="U12" s="6" t="e">
        <f ca="1">INTERCEPT(INDIRECT(U$4 &amp; "2"):INDIRECT(U$4 &amp; U$5),INDIRECT($L$4 &amp; "2"):INDIRECT($L$4 &amp; U$5))</f>
        <v>#DIV/0!</v>
      </c>
      <c r="V12" s="6" t="e">
        <f ca="1">INTERCEPT(INDIRECT(V$4 &amp; "2"):INDIRECT(V$4 &amp; V$5),INDIRECT($L$4 &amp; "2"):INDIRECT($L$4 &amp; V$5))</f>
        <v>#DIV/0!</v>
      </c>
      <c r="W12" s="6" t="e">
        <f ca="1">INTERCEPT(INDIRECT(W$4 &amp; "2"):INDIRECT(W$4 &amp; W$5),INDIRECT($L$4 &amp; "2"):INDIRECT($L$4 &amp; W$5))</f>
        <v>#DIV/0!</v>
      </c>
    </row>
    <row r="13" spans="1:25" x14ac:dyDescent="0.25">
      <c r="A13" t="s">
        <v>36</v>
      </c>
      <c r="B13" s="2"/>
      <c r="C13" s="2"/>
      <c r="D13" s="6">
        <f ca="1">STEYX(INDIRECT(D$4 &amp; "2"):INDIRECT(D$4 &amp; D$5),INDIRECT($L$4 &amp; "2"):INDIRECT($L$4 &amp; D$5))</f>
        <v>1.3192852337271501</v>
      </c>
      <c r="E13" s="6">
        <f ca="1">STEYX(INDIRECT(E$4 &amp; "2"):INDIRECT(E$4 &amp; E$5),INDIRECT($L$4 &amp; "2"):INDIRECT($L$4 &amp; E$5))</f>
        <v>1.0866350609988269</v>
      </c>
      <c r="F13" s="6" t="e">
        <f ca="1">STEYX(INDIRECT(F$4 &amp; "2"):INDIRECT(F$4 &amp; F$5),INDIRECT($L$4 &amp; "2"):INDIRECT($L$4 &amp; F$5))</f>
        <v>#DIV/0!</v>
      </c>
      <c r="G13" s="6" t="e">
        <f ca="1">STEYX(INDIRECT(G$4 &amp; "2"):INDIRECT(G$4 &amp; G$5),INDIRECT($L$4 &amp; "2"):INDIRECT($L$4 &amp; G$5))</f>
        <v>#DIV/0!</v>
      </c>
      <c r="H13" s="6" t="e">
        <f ca="1">STEYX(INDIRECT(H$4 &amp; "2"):INDIRECT(H$4 &amp; H$5),INDIRECT($L$4 &amp; "2"):INDIRECT($L$4 &amp; H$5))</f>
        <v>#DIV/0!</v>
      </c>
      <c r="I13" s="6" t="e">
        <f ca="1">STEYX(INDIRECT(I$4 &amp; "2"):INDIRECT(I$4 &amp; I$5),INDIRECT($L$4 &amp; "2"):INDIRECT($L$4 &amp; I$5))</f>
        <v>#DIV/0!</v>
      </c>
      <c r="J13" s="6" t="e">
        <f ca="1">STEYX(INDIRECT(J$4 &amp; "2"):INDIRECT(J$4 &amp; J$5),INDIRECT($L$4 &amp; "2"):INDIRECT($L$4 &amp; J$5))</f>
        <v>#DIV/0!</v>
      </c>
      <c r="K13" s="6" t="e">
        <f ca="1">STEYX(INDIRECT(K$4 &amp; "2"):INDIRECT(K$4 &amp; K$5),INDIRECT($L$4 &amp; "2"):INDIRECT($L$4 &amp; K$5))</f>
        <v>#DIV/0!</v>
      </c>
      <c r="L13" s="6">
        <f ca="1">STEYX(INDIRECT(L$4 &amp; "2"):INDIRECT(L$4 &amp; L$5),INDIRECT($L$4 &amp; "2"):INDIRECT($L$4 &amp; L$5))</f>
        <v>0</v>
      </c>
      <c r="M13" s="6" t="e">
        <f ca="1">STEYX(INDIRECT(M$4 &amp; "2"):INDIRECT(M$4 &amp; M$5),INDIRECT($L$4 &amp; "2"):INDIRECT($L$4 &amp; M$5))</f>
        <v>#DIV/0!</v>
      </c>
      <c r="N13" s="6" t="e">
        <f ca="1">STEYX(INDIRECT(N$4 &amp; "2"):INDIRECT(N$4 &amp; N$5),INDIRECT($L$4 &amp; "2"):INDIRECT($L$4 &amp; N$5))</f>
        <v>#DIV/0!</v>
      </c>
      <c r="O13" s="6" t="e">
        <f ca="1">STEYX(INDIRECT(O$4 &amp; "2"):INDIRECT(O$4 &amp; O$5),INDIRECT($L$4 &amp; "2"):INDIRECT($L$4 &amp; O$5))</f>
        <v>#DIV/0!</v>
      </c>
      <c r="P13" s="6" t="e">
        <f ca="1">STEYX(INDIRECT(P$4 &amp; "2"):INDIRECT(P$4 &amp; P$5),INDIRECT($L$4 &amp; "2"):INDIRECT($L$4 &amp; P$5))</f>
        <v>#DIV/0!</v>
      </c>
      <c r="Q13" s="6" t="e">
        <f ca="1">STEYX(INDIRECT(Q$4 &amp; "2"):INDIRECT(Q$4 &amp; Q$5),INDIRECT($L$4 &amp; "2"):INDIRECT($L$4 &amp; Q$5))</f>
        <v>#DIV/0!</v>
      </c>
      <c r="R13" s="6" t="e">
        <f ca="1">STEYX(INDIRECT(R$4 &amp; "2"):INDIRECT(R$4 &amp; R$5),INDIRECT($L$4 &amp; "2"):INDIRECT($L$4 &amp; R$5))</f>
        <v>#DIV/0!</v>
      </c>
      <c r="S13" s="6" t="e">
        <f ca="1">STEYX(INDIRECT(S$4 &amp; "2"):INDIRECT(S$4 &amp; S$5),INDIRECT($L$4 &amp; "2"):INDIRECT($L$4 &amp; S$5))</f>
        <v>#DIV/0!</v>
      </c>
      <c r="T13" s="6" t="e">
        <f ca="1">STEYX(INDIRECT(T$4 &amp; "2"):INDIRECT(T$4 &amp; T$5),INDIRECT($L$4 &amp; "2"):INDIRECT($L$4 &amp; T$5))</f>
        <v>#DIV/0!</v>
      </c>
      <c r="U13" s="6" t="e">
        <f ca="1">STEYX(INDIRECT(U$4 &amp; "2"):INDIRECT(U$4 &amp; U$5),INDIRECT($L$4 &amp; "2"):INDIRECT($L$4 &amp; U$5))</f>
        <v>#DIV/0!</v>
      </c>
      <c r="V13" s="6" t="e">
        <f ca="1">STEYX(INDIRECT(V$4 &amp; "2"):INDIRECT(V$4 &amp; V$5),INDIRECT($L$4 &amp; "2"):INDIRECT($L$4 &amp; V$5))</f>
        <v>#DIV/0!</v>
      </c>
      <c r="W13" s="6" t="e">
        <f ca="1">STEYX(INDIRECT(W$4 &amp; "2"):INDIRECT(W$4 &amp; W$5),INDIRECT($L$4 &amp; "2"):INDIRECT($L$4 &amp; W$5))</f>
        <v>#DIV/0!</v>
      </c>
    </row>
    <row r="14" spans="1:25" x14ac:dyDescent="0.25">
      <c r="B14" s="2"/>
      <c r="C14" s="2"/>
      <c r="D14" s="2"/>
      <c r="E14" s="6"/>
      <c r="F14" s="6"/>
      <c r="G14" s="5"/>
      <c r="H14" s="5"/>
      <c r="I14" s="5"/>
      <c r="J14" s="5"/>
      <c r="K14" s="5"/>
      <c r="L14" s="5"/>
      <c r="M14" s="5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5" x14ac:dyDescent="0.25">
      <c r="B15" s="2"/>
      <c r="C15" s="2"/>
      <c r="D15" s="2"/>
      <c r="E15" s="5"/>
      <c r="F15" s="5"/>
      <c r="G15" s="5"/>
      <c r="H15" s="5"/>
      <c r="I15" s="5"/>
      <c r="J15" s="5"/>
      <c r="K15" s="5"/>
      <c r="L15" s="5"/>
      <c r="M15" s="5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5" x14ac:dyDescent="0.25">
      <c r="B16" s="2"/>
      <c r="C16" s="2"/>
      <c r="D16" s="2"/>
      <c r="E16" s="5"/>
      <c r="F16" s="5"/>
      <c r="G16" s="5"/>
      <c r="H16" s="5"/>
      <c r="I16" s="5"/>
      <c r="J16" s="5"/>
      <c r="K16" s="5"/>
      <c r="L16" s="5"/>
      <c r="M16" s="5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2:23" x14ac:dyDescent="0.25">
      <c r="B17" s="2"/>
      <c r="C17" s="2"/>
      <c r="D17" s="2"/>
      <c r="E17" s="7"/>
      <c r="F17" s="7"/>
      <c r="G17" s="7"/>
      <c r="H17" s="7"/>
      <c r="I17" s="7"/>
      <c r="J17" s="7"/>
      <c r="K17" s="5"/>
      <c r="L17" s="5"/>
      <c r="M17" s="5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2:23" x14ac:dyDescent="0.25">
      <c r="B18" s="2"/>
      <c r="C18" s="2"/>
      <c r="D18" s="2"/>
      <c r="E18" s="6"/>
      <c r="F18" s="6"/>
      <c r="G18" s="6"/>
      <c r="H18" s="6"/>
      <c r="I18" s="6"/>
      <c r="J18" s="6"/>
      <c r="K18" s="5"/>
      <c r="L18" s="5"/>
      <c r="M18" s="5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x14ac:dyDescent="0.25">
      <c r="B19" s="2"/>
      <c r="C19" s="2"/>
      <c r="D19" s="2"/>
      <c r="E19" s="6"/>
      <c r="F19" s="6"/>
      <c r="G19" s="6"/>
      <c r="H19" s="6"/>
      <c r="I19" s="6"/>
      <c r="J19" s="6"/>
      <c r="K19" s="5"/>
      <c r="L19" s="5"/>
      <c r="M19" s="5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2:23" x14ac:dyDescent="0.25">
      <c r="B20" s="2"/>
      <c r="C20" s="2"/>
      <c r="D20" s="2"/>
      <c r="E20" s="6"/>
      <c r="F20" s="6"/>
      <c r="G20" s="6"/>
      <c r="H20" s="6"/>
      <c r="I20" s="6"/>
      <c r="J20" s="6"/>
      <c r="K20" s="5"/>
      <c r="L20" s="5"/>
      <c r="M20" s="5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2:23" x14ac:dyDescent="0.25">
      <c r="B21" s="2"/>
      <c r="C21" s="2"/>
      <c r="D21" s="2"/>
      <c r="E21" s="5"/>
      <c r="F21" s="5"/>
      <c r="G21" s="5"/>
      <c r="H21" s="5"/>
      <c r="I21" s="5"/>
      <c r="J21" s="5"/>
      <c r="K21" s="5"/>
      <c r="L21" s="5"/>
      <c r="M21" s="5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2:23" x14ac:dyDescent="0.25">
      <c r="B22" s="2"/>
      <c r="C22" s="2"/>
      <c r="D22" s="2"/>
      <c r="E22" s="5"/>
      <c r="F22" s="5"/>
      <c r="G22" s="5"/>
      <c r="H22" s="5"/>
      <c r="I22" s="5"/>
      <c r="J22" s="5"/>
      <c r="K22" s="5"/>
      <c r="L22" s="5"/>
      <c r="M22" s="5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2:23" x14ac:dyDescent="0.25">
      <c r="B23" s="2"/>
      <c r="C23" s="2"/>
      <c r="D23" s="2"/>
      <c r="E23" s="5"/>
      <c r="F23" s="5"/>
      <c r="G23" s="5"/>
      <c r="H23" s="5"/>
      <c r="I23" s="5"/>
      <c r="J23" s="5"/>
      <c r="K23" s="5"/>
      <c r="L23" s="5"/>
      <c r="M23" s="5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2:23" x14ac:dyDescent="0.25">
      <c r="B24" s="2"/>
      <c r="C24" s="2"/>
      <c r="D24" s="2"/>
      <c r="E24" s="5"/>
      <c r="F24" s="5"/>
      <c r="G24" s="5"/>
      <c r="H24" s="5"/>
      <c r="I24" s="5"/>
      <c r="J24" s="5"/>
      <c r="K24" s="5"/>
      <c r="L24" s="5"/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2:23" x14ac:dyDescent="0.25">
      <c r="B25" s="2"/>
      <c r="C25" s="2"/>
      <c r="D25" s="2"/>
      <c r="E25" s="5"/>
      <c r="F25" s="5"/>
      <c r="G25" s="5"/>
      <c r="H25" s="5"/>
      <c r="I25" s="5"/>
      <c r="J25" s="5"/>
      <c r="K25" s="5"/>
      <c r="L25" s="5"/>
      <c r="M25" s="5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2:23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3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2:23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2:23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2:23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2:23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2:23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2:23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2:23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J6" sqref="J6"/>
    </sheetView>
  </sheetViews>
  <sheetFormatPr defaultRowHeight="15" x14ac:dyDescent="0.25"/>
  <cols>
    <col min="1" max="1" width="13" customWidth="1"/>
    <col min="2" max="2" width="12" bestFit="1" customWidth="1"/>
    <col min="5" max="5" width="16.28515625" bestFit="1" customWidth="1"/>
    <col min="6" max="6" width="10.7109375" customWidth="1"/>
    <col min="7" max="7" width="10" customWidth="1"/>
  </cols>
  <sheetData>
    <row r="1" spans="1:11" x14ac:dyDescent="0.25">
      <c r="A1" t="s">
        <v>58</v>
      </c>
      <c r="B1">
        <f>50*10^-9</f>
        <v>5.0000000000000004E-8</v>
      </c>
    </row>
    <row r="2" spans="1:11" x14ac:dyDescent="0.25">
      <c r="A2" t="s">
        <v>61</v>
      </c>
      <c r="B2">
        <f>6.09*10^18</f>
        <v>6.09E+18</v>
      </c>
    </row>
    <row r="3" spans="1:11" x14ac:dyDescent="0.25">
      <c r="A3" t="s">
        <v>60</v>
      </c>
      <c r="B3">
        <v>151931819000</v>
      </c>
    </row>
    <row r="4" spans="1:11" x14ac:dyDescent="0.25">
      <c r="A4" t="s">
        <v>66</v>
      </c>
      <c r="B4">
        <f>6.02214076*10^23/0.024465</f>
        <v>2.4615331126098507E+25</v>
      </c>
    </row>
    <row r="5" spans="1:11" x14ac:dyDescent="0.25">
      <c r="A5" t="s">
        <v>63</v>
      </c>
      <c r="B5">
        <v>3.0000000000000001E-3</v>
      </c>
    </row>
    <row r="6" spans="1:11" x14ac:dyDescent="0.25">
      <c r="A6" t="s">
        <v>62</v>
      </c>
      <c r="B6">
        <f>B2/B3^2/4</f>
        <v>6.5956837878787446E-5</v>
      </c>
      <c r="G6" t="s">
        <v>73</v>
      </c>
    </row>
    <row r="7" spans="1:11" x14ac:dyDescent="0.25">
      <c r="A7" t="s">
        <v>1</v>
      </c>
      <c r="B7">
        <v>5778</v>
      </c>
      <c r="F7">
        <f>F8*$B$6</f>
        <v>156.80823274781702</v>
      </c>
      <c r="G7">
        <f t="shared" ref="G7:H7" si="0">G8*$B$6</f>
        <v>497.15360971429897</v>
      </c>
      <c r="H7">
        <f t="shared" si="0"/>
        <v>69.305848114632994</v>
      </c>
      <c r="K7">
        <f t="shared" ref="K7" si="1">K8*$B$6</f>
        <v>67.890712303866749</v>
      </c>
    </row>
    <row r="8" spans="1:11" x14ac:dyDescent="0.25">
      <c r="A8">
        <f>10^-9</f>
        <v>1.0000000000000001E-9</v>
      </c>
      <c r="F8">
        <f>SUM(F10:F39)*$B1</f>
        <v>2377437.0905408207</v>
      </c>
      <c r="G8">
        <f>SUM(G10:G39)*$B1</f>
        <v>7537559.7997579239</v>
      </c>
      <c r="H8">
        <f>SUM(H10:H39)*$B1</f>
        <v>1050775.7852491385</v>
      </c>
      <c r="K8">
        <f>SUM(K10:K39)*$B1</f>
        <v>1029320.3022957724</v>
      </c>
    </row>
    <row r="9" spans="1:11" x14ac:dyDescent="0.25">
      <c r="A9" t="s">
        <v>65</v>
      </c>
      <c r="B9" t="s">
        <v>12</v>
      </c>
      <c r="C9" t="s">
        <v>13</v>
      </c>
      <c r="D9" t="s">
        <v>11</v>
      </c>
      <c r="E9" t="s">
        <v>59</v>
      </c>
      <c r="F9" t="s">
        <v>12</v>
      </c>
      <c r="G9" t="s">
        <v>13</v>
      </c>
      <c r="H9" t="s">
        <v>11</v>
      </c>
      <c r="I9" t="s">
        <v>58</v>
      </c>
      <c r="J9" t="s">
        <v>64</v>
      </c>
      <c r="K9" t="s">
        <v>67</v>
      </c>
    </row>
    <row r="10" spans="1:11" x14ac:dyDescent="0.25">
      <c r="A10">
        <v>1100</v>
      </c>
      <c r="B10">
        <v>0.02</v>
      </c>
      <c r="C10">
        <v>0.02</v>
      </c>
      <c r="D10">
        <v>0</v>
      </c>
      <c r="E10">
        <f>2*6.62607004*POWER(10,-18)*9/POWER(A10*A$8,5)/(EXP(1.98644568*POWER(10,-2)/A10/A$8/1.38064852/B$7) + 1)</f>
        <v>6974100083799.125</v>
      </c>
      <c r="F10">
        <f>B10*$E10*$I10</f>
        <v>139482001675.98251</v>
      </c>
      <c r="G10">
        <f t="shared" ref="G10:H10" si="2">C10*$E10*$I10</f>
        <v>139482001675.98251</v>
      </c>
      <c r="H10">
        <f t="shared" si="2"/>
        <v>0</v>
      </c>
      <c r="I10">
        <v>1</v>
      </c>
      <c r="J10">
        <v>0</v>
      </c>
      <c r="K10">
        <f>EXP(-J10*B$5*B$4)*H10</f>
        <v>0</v>
      </c>
    </row>
    <row r="11" spans="1:11" x14ac:dyDescent="0.25">
      <c r="A11">
        <v>1050</v>
      </c>
      <c r="B11">
        <v>0.05</v>
      </c>
      <c r="C11">
        <v>0.05</v>
      </c>
      <c r="D11">
        <v>0</v>
      </c>
      <c r="E11">
        <f t="shared" ref="E11:E27" si="3">2*6.62607004*POWER(10,-18)*9/POWER(A11*A$8,5)/(EXP(1.98644568*POWER(10,-2)/A11/A$8/1.38064852/B$7) + 1)</f>
        <v>7977914688317.999</v>
      </c>
      <c r="F11">
        <f t="shared" ref="F11:F36" si="4">B11*$E11*$I11</f>
        <v>398895734415.89996</v>
      </c>
      <c r="G11">
        <f t="shared" ref="G11:G36" si="5">C11*$E11*$I11</f>
        <v>398895734415.89996</v>
      </c>
      <c r="H11">
        <f t="shared" ref="H11:H36" si="6">D11*$E11*$I11</f>
        <v>0</v>
      </c>
      <c r="I11">
        <v>1</v>
      </c>
      <c r="J11">
        <v>0</v>
      </c>
      <c r="K11">
        <f t="shared" ref="K11:K39" si="7">EXP(-J11*B$5*B$4)*H11</f>
        <v>0</v>
      </c>
    </row>
    <row r="12" spans="1:11" x14ac:dyDescent="0.25">
      <c r="A12">
        <v>1000</v>
      </c>
      <c r="B12">
        <v>0.12</v>
      </c>
      <c r="C12">
        <v>0.15</v>
      </c>
      <c r="D12">
        <v>0</v>
      </c>
      <c r="E12">
        <f t="shared" si="3"/>
        <v>9130710402524.8711</v>
      </c>
      <c r="F12">
        <f t="shared" si="4"/>
        <v>1095685248302.9845</v>
      </c>
      <c r="G12">
        <f t="shared" si="5"/>
        <v>1369606560378.7307</v>
      </c>
      <c r="H12">
        <f t="shared" si="6"/>
        <v>0</v>
      </c>
      <c r="I12">
        <v>1</v>
      </c>
      <c r="J12">
        <v>0</v>
      </c>
      <c r="K12">
        <f t="shared" si="7"/>
        <v>0</v>
      </c>
    </row>
    <row r="13" spans="1:11" x14ac:dyDescent="0.25">
      <c r="A13">
        <v>950</v>
      </c>
      <c r="B13">
        <v>0.23</v>
      </c>
      <c r="C13">
        <v>0.31</v>
      </c>
      <c r="D13">
        <v>0</v>
      </c>
      <c r="E13">
        <f t="shared" si="3"/>
        <v>10448937729437.137</v>
      </c>
      <c r="F13">
        <f t="shared" si="4"/>
        <v>2403255677770.5415</v>
      </c>
      <c r="G13">
        <f t="shared" si="5"/>
        <v>3239170696125.5122</v>
      </c>
      <c r="H13">
        <f t="shared" si="6"/>
        <v>0</v>
      </c>
      <c r="I13">
        <v>1</v>
      </c>
      <c r="J13">
        <v>0</v>
      </c>
      <c r="K13">
        <f t="shared" si="7"/>
        <v>0</v>
      </c>
    </row>
    <row r="14" spans="1:11" x14ac:dyDescent="0.25">
      <c r="A14">
        <v>900</v>
      </c>
      <c r="B14">
        <v>0.33</v>
      </c>
      <c r="C14">
        <v>0.45</v>
      </c>
      <c r="D14">
        <v>0</v>
      </c>
      <c r="E14">
        <f t="shared" si="3"/>
        <v>11946587023053.057</v>
      </c>
      <c r="F14">
        <f t="shared" si="4"/>
        <v>3942373717607.5088</v>
      </c>
      <c r="G14">
        <f t="shared" si="5"/>
        <v>5375964160373.876</v>
      </c>
      <c r="H14">
        <f t="shared" si="6"/>
        <v>0</v>
      </c>
      <c r="I14">
        <v>1</v>
      </c>
      <c r="J14">
        <v>0</v>
      </c>
      <c r="K14">
        <f t="shared" si="7"/>
        <v>0</v>
      </c>
    </row>
    <row r="15" spans="1:11" x14ac:dyDescent="0.25">
      <c r="A15">
        <v>850</v>
      </c>
      <c r="B15">
        <v>0.47</v>
      </c>
      <c r="C15">
        <v>0.72</v>
      </c>
      <c r="D15">
        <v>0</v>
      </c>
      <c r="E15">
        <f t="shared" si="3"/>
        <v>13631859770733.16</v>
      </c>
      <c r="F15">
        <f t="shared" si="4"/>
        <v>6406974092244.585</v>
      </c>
      <c r="G15">
        <f t="shared" si="5"/>
        <v>9814939034927.875</v>
      </c>
      <c r="H15">
        <f t="shared" si="6"/>
        <v>0</v>
      </c>
      <c r="I15">
        <v>1</v>
      </c>
      <c r="J15">
        <v>0</v>
      </c>
      <c r="K15">
        <f t="shared" si="7"/>
        <v>0</v>
      </c>
    </row>
    <row r="16" spans="1:11" x14ac:dyDescent="0.25">
      <c r="A16">
        <v>800</v>
      </c>
      <c r="B16">
        <v>0.49</v>
      </c>
      <c r="C16">
        <v>0.85</v>
      </c>
      <c r="D16">
        <v>0</v>
      </c>
      <c r="E16">
        <f t="shared" si="3"/>
        <v>15501838296271.641</v>
      </c>
      <c r="F16">
        <f t="shared" si="4"/>
        <v>7595900765173.1035</v>
      </c>
      <c r="G16">
        <f t="shared" si="5"/>
        <v>13176562551830.895</v>
      </c>
      <c r="H16">
        <f t="shared" si="6"/>
        <v>0</v>
      </c>
      <c r="I16">
        <v>1</v>
      </c>
      <c r="J16">
        <v>0</v>
      </c>
      <c r="K16">
        <f t="shared" si="7"/>
        <v>0</v>
      </c>
    </row>
    <row r="17" spans="1:11" x14ac:dyDescent="0.25">
      <c r="A17">
        <v>750</v>
      </c>
      <c r="B17">
        <v>0.43</v>
      </c>
      <c r="C17">
        <v>0.89</v>
      </c>
      <c r="D17">
        <v>0</v>
      </c>
      <c r="E17">
        <f t="shared" si="3"/>
        <v>17534253223909.393</v>
      </c>
      <c r="F17">
        <f t="shared" si="4"/>
        <v>7539728886281.0391</v>
      </c>
      <c r="G17">
        <f t="shared" si="5"/>
        <v>15605485369279.359</v>
      </c>
      <c r="H17">
        <f t="shared" si="6"/>
        <v>0</v>
      </c>
      <c r="I17">
        <v>1</v>
      </c>
      <c r="J17">
        <v>0</v>
      </c>
      <c r="K17">
        <f t="shared" si="7"/>
        <v>0</v>
      </c>
    </row>
    <row r="18" spans="1:11" x14ac:dyDescent="0.25">
      <c r="A18">
        <v>700</v>
      </c>
      <c r="B18">
        <v>0.34</v>
      </c>
      <c r="C18">
        <v>0.95</v>
      </c>
      <c r="D18">
        <v>0</v>
      </c>
      <c r="E18">
        <f t="shared" si="3"/>
        <v>19675252286527.555</v>
      </c>
      <c r="F18">
        <f t="shared" si="4"/>
        <v>6689585777419.3691</v>
      </c>
      <c r="G18">
        <f t="shared" si="5"/>
        <v>18691489672201.176</v>
      </c>
      <c r="H18">
        <f t="shared" si="6"/>
        <v>0</v>
      </c>
      <c r="I18">
        <v>1</v>
      </c>
      <c r="J18">
        <v>0</v>
      </c>
      <c r="K18">
        <f t="shared" si="7"/>
        <v>0</v>
      </c>
    </row>
    <row r="19" spans="1:11" x14ac:dyDescent="0.25">
      <c r="A19">
        <v>650</v>
      </c>
      <c r="B19">
        <v>0.25</v>
      </c>
      <c r="C19">
        <v>0.99</v>
      </c>
      <c r="D19">
        <v>0</v>
      </c>
      <c r="E19">
        <f t="shared" si="3"/>
        <v>21822117456791.187</v>
      </c>
      <c r="F19">
        <f t="shared" si="4"/>
        <v>5455529364197.7969</v>
      </c>
      <c r="G19">
        <f t="shared" si="5"/>
        <v>21603896282223.277</v>
      </c>
      <c r="H19">
        <f t="shared" si="6"/>
        <v>0</v>
      </c>
      <c r="I19">
        <v>1</v>
      </c>
      <c r="J19">
        <v>0</v>
      </c>
      <c r="K19">
        <f t="shared" si="7"/>
        <v>0</v>
      </c>
    </row>
    <row r="20" spans="1:11" x14ac:dyDescent="0.25">
      <c r="A20">
        <v>600</v>
      </c>
      <c r="B20">
        <v>0.14000000000000001</v>
      </c>
      <c r="C20">
        <v>0.93</v>
      </c>
      <c r="D20">
        <v>0.02</v>
      </c>
      <c r="E20">
        <f t="shared" si="3"/>
        <v>23800662306385.512</v>
      </c>
      <c r="F20">
        <f t="shared" si="4"/>
        <v>3332092722893.9722</v>
      </c>
      <c r="G20">
        <f t="shared" si="5"/>
        <v>22134615944938.527</v>
      </c>
      <c r="H20">
        <f t="shared" si="6"/>
        <v>476013246127.71027</v>
      </c>
      <c r="I20">
        <v>1</v>
      </c>
      <c r="J20">
        <f>10^-47*7</f>
        <v>6.9999999999999996E-47</v>
      </c>
      <c r="K20">
        <f t="shared" si="7"/>
        <v>476013246127.71027</v>
      </c>
    </row>
    <row r="21" spans="1:11" x14ac:dyDescent="0.25">
      <c r="A21">
        <v>550</v>
      </c>
      <c r="B21">
        <v>7.0000000000000007E-2</v>
      </c>
      <c r="C21">
        <v>0.83</v>
      </c>
      <c r="D21">
        <v>0.02</v>
      </c>
      <c r="E21">
        <f t="shared" si="3"/>
        <v>25339686582843.062</v>
      </c>
      <c r="F21">
        <f t="shared" si="4"/>
        <v>1773778060799.0146</v>
      </c>
      <c r="G21">
        <f t="shared" si="5"/>
        <v>21031939863759.742</v>
      </c>
      <c r="H21">
        <f t="shared" si="6"/>
        <v>506793731656.86127</v>
      </c>
      <c r="I21">
        <v>1</v>
      </c>
      <c r="J21">
        <f>10^-43*7</f>
        <v>7.0000000000000007E-43</v>
      </c>
      <c r="K21">
        <f t="shared" si="7"/>
        <v>506793731656.86127</v>
      </c>
    </row>
    <row r="22" spans="1:11" x14ac:dyDescent="0.25">
      <c r="A22">
        <v>500</v>
      </c>
      <c r="B22">
        <v>0.02</v>
      </c>
      <c r="C22">
        <v>0.59</v>
      </c>
      <c r="D22">
        <v>0.03</v>
      </c>
      <c r="E22">
        <f t="shared" si="3"/>
        <v>26051596596343.211</v>
      </c>
      <c r="F22">
        <f t="shared" si="4"/>
        <v>521031931926.86426</v>
      </c>
      <c r="G22">
        <f t="shared" si="5"/>
        <v>15370441991842.494</v>
      </c>
      <c r="H22">
        <f t="shared" si="6"/>
        <v>781547897890.29626</v>
      </c>
      <c r="I22">
        <v>1</v>
      </c>
      <c r="J22">
        <f>10^-39*7</f>
        <v>7.0000000000000013E-39</v>
      </c>
      <c r="K22">
        <f t="shared" si="7"/>
        <v>781547897890.29578</v>
      </c>
    </row>
    <row r="23" spans="1:11" x14ac:dyDescent="0.25">
      <c r="A23">
        <v>450</v>
      </c>
      <c r="B23">
        <v>0.01</v>
      </c>
      <c r="C23">
        <v>0.11</v>
      </c>
      <c r="D23">
        <v>0.04</v>
      </c>
      <c r="E23">
        <f t="shared" si="3"/>
        <v>25442783010774</v>
      </c>
      <c r="F23">
        <f t="shared" si="4"/>
        <v>254427830107.73999</v>
      </c>
      <c r="G23">
        <f t="shared" si="5"/>
        <v>2798706131185.1401</v>
      </c>
      <c r="H23">
        <f t="shared" si="6"/>
        <v>1017711320430.96</v>
      </c>
      <c r="I23">
        <v>1</v>
      </c>
      <c r="J23">
        <f>10^-35*7</f>
        <v>6.9999999999999999E-35</v>
      </c>
      <c r="K23">
        <f t="shared" si="7"/>
        <v>1017711320425.6992</v>
      </c>
    </row>
    <row r="24" spans="1:11" x14ac:dyDescent="0.25">
      <c r="A24">
        <v>420</v>
      </c>
      <c r="B24">
        <v>0</v>
      </c>
      <c r="C24">
        <v>0</v>
      </c>
      <c r="D24">
        <v>7.0000000000000007E-2</v>
      </c>
      <c r="E24">
        <f t="shared" ref="E24:E25" si="8">2*6.62607004*POWER(10,-18)*9/POWER(A24*A$8,5)/(EXP(1.98644568*POWER(10,-2)/A24/A$8/1.38064852/B$7) + 1)</f>
        <v>24226067777027.852</v>
      </c>
      <c r="F24">
        <f t="shared" ref="F24:F25" si="9">B24*$E24*$I24</f>
        <v>0</v>
      </c>
      <c r="G24">
        <f t="shared" ref="G24:G25" si="10">C24*$E24*$I24</f>
        <v>0</v>
      </c>
      <c r="H24">
        <f t="shared" ref="H24:H25" si="11">D24*$E24*$I24</f>
        <v>339164948878.38995</v>
      </c>
      <c r="I24">
        <v>0.2</v>
      </c>
      <c r="J24">
        <f>10^-32*7</f>
        <v>6.9999999999999997E-32</v>
      </c>
      <c r="K24">
        <f t="shared" si="7"/>
        <v>339164947125.17187</v>
      </c>
    </row>
    <row r="25" spans="1:11" x14ac:dyDescent="0.25">
      <c r="A25">
        <v>410</v>
      </c>
      <c r="B25">
        <v>0</v>
      </c>
      <c r="C25">
        <v>0</v>
      </c>
      <c r="D25">
        <v>0.1</v>
      </c>
      <c r="E25">
        <f t="shared" si="8"/>
        <v>23657249619743.375</v>
      </c>
      <c r="F25">
        <f t="shared" si="9"/>
        <v>0</v>
      </c>
      <c r="G25">
        <f t="shared" si="10"/>
        <v>0</v>
      </c>
      <c r="H25">
        <f t="shared" si="11"/>
        <v>473144992394.86749</v>
      </c>
      <c r="I25">
        <v>0.2</v>
      </c>
      <c r="J25">
        <f>10^-31*5</f>
        <v>5.0000000000000004E-31</v>
      </c>
      <c r="K25">
        <f t="shared" si="7"/>
        <v>473144974924.93683</v>
      </c>
    </row>
    <row r="26" spans="1:11" x14ac:dyDescent="0.25">
      <c r="A26">
        <v>400</v>
      </c>
      <c r="B26">
        <v>0</v>
      </c>
      <c r="C26">
        <v>0</v>
      </c>
      <c r="D26">
        <v>0.16</v>
      </c>
      <c r="E26">
        <f t="shared" si="3"/>
        <v>23002924165366.172</v>
      </c>
      <c r="F26">
        <f t="shared" si="4"/>
        <v>0</v>
      </c>
      <c r="G26">
        <f t="shared" si="5"/>
        <v>0</v>
      </c>
      <c r="H26">
        <f t="shared" si="6"/>
        <v>736093573291.71753</v>
      </c>
      <c r="I26">
        <v>0.2</v>
      </c>
      <c r="J26">
        <f>10^-30*3</f>
        <v>2.9999999999999995E-30</v>
      </c>
      <c r="K26">
        <f t="shared" si="7"/>
        <v>736093410219.05212</v>
      </c>
    </row>
    <row r="27" spans="1:11" x14ac:dyDescent="0.25">
      <c r="A27">
        <v>390</v>
      </c>
      <c r="B27">
        <v>0</v>
      </c>
      <c r="C27">
        <v>0</v>
      </c>
      <c r="D27">
        <v>0.3</v>
      </c>
      <c r="E27">
        <f t="shared" si="3"/>
        <v>22261979855122.031</v>
      </c>
      <c r="F27">
        <f t="shared" si="4"/>
        <v>0</v>
      </c>
      <c r="G27">
        <f t="shared" si="5"/>
        <v>0</v>
      </c>
      <c r="H27">
        <f t="shared" si="6"/>
        <v>1335718791307.322</v>
      </c>
      <c r="I27">
        <v>0.2</v>
      </c>
      <c r="J27">
        <f>10^-29*2</f>
        <v>2.0000000000000002E-29</v>
      </c>
      <c r="K27">
        <f t="shared" si="7"/>
        <v>1335716818559.1584</v>
      </c>
    </row>
    <row r="28" spans="1:11" x14ac:dyDescent="0.25">
      <c r="A28">
        <v>380</v>
      </c>
      <c r="B28">
        <v>0</v>
      </c>
      <c r="C28">
        <v>0</v>
      </c>
      <c r="D28">
        <v>0.5</v>
      </c>
      <c r="E28">
        <f t="shared" ref="E28:E33" si="12">2*6.62607004*POWER(10,-18)*9/POWER(A28*A$8,5)/(EXP(1.98644568*POWER(10,-2)/A28/A$8/1.38064852/B$7) + 1)</f>
        <v>21434367027821.906</v>
      </c>
      <c r="F28">
        <f t="shared" si="4"/>
        <v>0</v>
      </c>
      <c r="G28">
        <f t="shared" si="5"/>
        <v>0</v>
      </c>
      <c r="H28">
        <f t="shared" si="6"/>
        <v>2143436702782.1907</v>
      </c>
      <c r="I28">
        <v>0.2</v>
      </c>
      <c r="J28">
        <f>10^-28*1</f>
        <v>1.0000000000000001E-28</v>
      </c>
      <c r="K28">
        <f t="shared" si="7"/>
        <v>2143420874419.3777</v>
      </c>
    </row>
    <row r="29" spans="1:11" x14ac:dyDescent="0.25">
      <c r="A29">
        <v>370</v>
      </c>
      <c r="B29">
        <v>0</v>
      </c>
      <c r="C29">
        <v>0</v>
      </c>
      <c r="D29">
        <v>0.73</v>
      </c>
      <c r="E29">
        <f t="shared" si="12"/>
        <v>20521292420464.895</v>
      </c>
      <c r="F29">
        <f t="shared" si="4"/>
        <v>0</v>
      </c>
      <c r="G29">
        <f t="shared" si="5"/>
        <v>0</v>
      </c>
      <c r="H29">
        <f t="shared" si="6"/>
        <v>2996108693387.875</v>
      </c>
      <c r="I29">
        <v>0.2</v>
      </c>
      <c r="J29">
        <f>10^-28*8</f>
        <v>8.0000000000000007E-28</v>
      </c>
      <c r="K29">
        <f t="shared" si="7"/>
        <v>2995931698117.897</v>
      </c>
    </row>
    <row r="30" spans="1:11" x14ac:dyDescent="0.25">
      <c r="A30">
        <v>360</v>
      </c>
      <c r="B30">
        <v>0</v>
      </c>
      <c r="C30">
        <v>0</v>
      </c>
      <c r="D30">
        <v>0.95</v>
      </c>
      <c r="E30">
        <f t="shared" si="12"/>
        <v>19525420204904.039</v>
      </c>
      <c r="F30">
        <f t="shared" si="4"/>
        <v>0</v>
      </c>
      <c r="G30">
        <f t="shared" si="5"/>
        <v>0</v>
      </c>
      <c r="H30">
        <f t="shared" si="6"/>
        <v>3709829838931.7676</v>
      </c>
      <c r="I30">
        <v>0.2</v>
      </c>
      <c r="J30">
        <f>10^-27*5</f>
        <v>5.0000000000000002E-27</v>
      </c>
      <c r="K30">
        <f t="shared" si="7"/>
        <v>3708460311434.0215</v>
      </c>
    </row>
    <row r="31" spans="1:11" x14ac:dyDescent="0.25">
      <c r="A31">
        <v>350</v>
      </c>
      <c r="B31">
        <v>0</v>
      </c>
      <c r="C31">
        <v>0</v>
      </c>
      <c r="D31">
        <v>0.9</v>
      </c>
      <c r="E31">
        <f t="shared" si="12"/>
        <v>18451072349288.785</v>
      </c>
      <c r="F31">
        <f t="shared" si="4"/>
        <v>0</v>
      </c>
      <c r="G31">
        <f t="shared" si="5"/>
        <v>0</v>
      </c>
      <c r="H31">
        <f t="shared" si="6"/>
        <v>3321193022871.9814</v>
      </c>
      <c r="I31">
        <v>0.2</v>
      </c>
      <c r="J31">
        <f>10^-26*3</f>
        <v>2.9999999999999995E-26</v>
      </c>
      <c r="K31">
        <f t="shared" si="7"/>
        <v>3313843462971.9189</v>
      </c>
    </row>
    <row r="32" spans="1:11" x14ac:dyDescent="0.25">
      <c r="A32">
        <v>340</v>
      </c>
      <c r="B32">
        <v>0</v>
      </c>
      <c r="C32">
        <v>0</v>
      </c>
      <c r="D32">
        <v>0.5</v>
      </c>
      <c r="E32">
        <f t="shared" si="12"/>
        <v>17304418350261.717</v>
      </c>
      <c r="F32">
        <f t="shared" si="4"/>
        <v>0</v>
      </c>
      <c r="G32">
        <f t="shared" si="5"/>
        <v>0</v>
      </c>
      <c r="H32">
        <f t="shared" si="6"/>
        <v>1730441835026.1719</v>
      </c>
      <c r="I32">
        <v>0.2</v>
      </c>
      <c r="J32">
        <f>10^-25*2</f>
        <v>1.9999999999999998E-25</v>
      </c>
      <c r="K32">
        <f t="shared" si="7"/>
        <v>1705072400030.4678</v>
      </c>
    </row>
    <row r="33" spans="1:11" x14ac:dyDescent="0.25">
      <c r="A33">
        <v>330</v>
      </c>
      <c r="B33">
        <v>0</v>
      </c>
      <c r="C33">
        <v>0</v>
      </c>
      <c r="D33">
        <v>0.25</v>
      </c>
      <c r="E33">
        <f t="shared" si="12"/>
        <v>16093641185612.777</v>
      </c>
      <c r="F33">
        <f t="shared" si="4"/>
        <v>0</v>
      </c>
      <c r="G33">
        <f t="shared" si="5"/>
        <v>0</v>
      </c>
      <c r="H33">
        <f t="shared" si="6"/>
        <v>804682059280.63892</v>
      </c>
      <c r="I33">
        <v>0.2</v>
      </c>
      <c r="J33">
        <f>10^-25*8</f>
        <v>7.9999999999999994E-25</v>
      </c>
      <c r="K33">
        <f t="shared" si="7"/>
        <v>758520971673.95166</v>
      </c>
    </row>
    <row r="34" spans="1:11" x14ac:dyDescent="0.25">
      <c r="A34">
        <v>320</v>
      </c>
      <c r="B34">
        <v>0</v>
      </c>
      <c r="C34">
        <v>0</v>
      </c>
      <c r="D34">
        <v>0.09</v>
      </c>
      <c r="E34">
        <f t="shared" ref="E34:E36" si="13">2*6.62607004*POWER(10,-18)*9/POWER(A34*A$8,5)/(EXP(1.98644568*POWER(10,-2)/A34/A$8/1.38064852/B$7) + 1)</f>
        <v>14829062779523.918</v>
      </c>
      <c r="F34">
        <f t="shared" si="4"/>
        <v>0</v>
      </c>
      <c r="G34">
        <f t="shared" si="5"/>
        <v>0</v>
      </c>
      <c r="H34">
        <f t="shared" si="6"/>
        <v>266923130031.43054</v>
      </c>
      <c r="I34">
        <v>0.2</v>
      </c>
      <c r="J34">
        <f>2 * 10^-24</f>
        <v>2.0000000000000002E-24</v>
      </c>
      <c r="K34">
        <f t="shared" si="7"/>
        <v>230273729072.82941</v>
      </c>
    </row>
    <row r="35" spans="1:11" x14ac:dyDescent="0.25">
      <c r="A35">
        <v>310</v>
      </c>
      <c r="B35">
        <v>0</v>
      </c>
      <c r="C35">
        <v>0</v>
      </c>
      <c r="D35">
        <v>0.05</v>
      </c>
      <c r="E35">
        <f t="shared" si="13"/>
        <v>13523208554728.574</v>
      </c>
      <c r="F35">
        <f t="shared" si="4"/>
        <v>0</v>
      </c>
      <c r="G35">
        <f t="shared" si="5"/>
        <v>0</v>
      </c>
      <c r="H35">
        <f t="shared" si="6"/>
        <v>135232085547.28575</v>
      </c>
      <c r="I35">
        <v>0.2</v>
      </c>
      <c r="J35">
        <f>10^-23</f>
        <v>1.0000000000000001E-23</v>
      </c>
      <c r="K35">
        <f t="shared" si="7"/>
        <v>64620553176.097664</v>
      </c>
    </row>
    <row r="36" spans="1:11" x14ac:dyDescent="0.25">
      <c r="A36">
        <v>300</v>
      </c>
      <c r="B36">
        <v>0</v>
      </c>
      <c r="C36">
        <v>0</v>
      </c>
      <c r="D36">
        <v>0.05</v>
      </c>
      <c r="E36">
        <f t="shared" si="13"/>
        <v>12190787124637.725</v>
      </c>
      <c r="F36">
        <f t="shared" si="4"/>
        <v>0</v>
      </c>
      <c r="G36">
        <f t="shared" si="5"/>
        <v>0</v>
      </c>
      <c r="H36">
        <f t="shared" si="6"/>
        <v>121907871246.37726</v>
      </c>
      <c r="I36">
        <v>0.2</v>
      </c>
      <c r="J36">
        <f>10^-22</f>
        <v>1E-22</v>
      </c>
      <c r="K36">
        <f t="shared" si="7"/>
        <v>75673009.167352587</v>
      </c>
    </row>
    <row r="37" spans="1:11" x14ac:dyDescent="0.25">
      <c r="A37">
        <v>290</v>
      </c>
      <c r="B37">
        <v>0</v>
      </c>
      <c r="C37">
        <v>0</v>
      </c>
      <c r="D37">
        <v>0.03</v>
      </c>
      <c r="E37">
        <f t="shared" ref="E37:E39" si="14">2*6.62607004*POWER(10,-18)*9/POWER(A37*A$8,5)/(EXP(1.98644568*POWER(10,-2)/A37/A$8/1.38064852/B$7) + 1)</f>
        <v>10848558420379.904</v>
      </c>
      <c r="F37">
        <f t="shared" ref="F37:F39" si="15">B37*$E37*$I37</f>
        <v>0</v>
      </c>
      <c r="G37">
        <f t="shared" ref="G37:G39" si="16">C37*$E37*$I37</f>
        <v>0</v>
      </c>
      <c r="H37">
        <f t="shared" ref="H37:H39" si="17">D37*$E37*$I37</f>
        <v>65091350522.279419</v>
      </c>
      <c r="I37">
        <v>0.2</v>
      </c>
      <c r="J37">
        <f>10^-22*2</f>
        <v>2.0000000000000001E-22</v>
      </c>
      <c r="K37">
        <f t="shared" si="7"/>
        <v>25080.823702086618</v>
      </c>
    </row>
    <row r="38" spans="1:11" x14ac:dyDescent="0.25">
      <c r="A38">
        <v>280</v>
      </c>
      <c r="B38">
        <v>0</v>
      </c>
      <c r="C38">
        <v>0</v>
      </c>
      <c r="D38">
        <v>0.02</v>
      </c>
      <c r="E38">
        <f t="shared" si="14"/>
        <v>9515062383638.6484</v>
      </c>
      <c r="F38">
        <f t="shared" si="15"/>
        <v>0</v>
      </c>
      <c r="G38">
        <f t="shared" si="16"/>
        <v>0</v>
      </c>
      <c r="H38">
        <f t="shared" si="17"/>
        <v>38060249534.554596</v>
      </c>
      <c r="I38">
        <v>0.2</v>
      </c>
      <c r="J38">
        <f>10^-22*4</f>
        <v>4.0000000000000002E-22</v>
      </c>
      <c r="K38">
        <f t="shared" si="7"/>
        <v>5.6507833569953876E-3</v>
      </c>
    </row>
    <row r="39" spans="1:11" x14ac:dyDescent="0.25">
      <c r="A39">
        <v>270</v>
      </c>
      <c r="B39">
        <v>0</v>
      </c>
      <c r="C39">
        <v>0</v>
      </c>
      <c r="D39">
        <v>0.01</v>
      </c>
      <c r="E39">
        <f t="shared" si="14"/>
        <v>8210181921043.7969</v>
      </c>
      <c r="F39">
        <f t="shared" si="15"/>
        <v>0</v>
      </c>
      <c r="G39">
        <f t="shared" si="16"/>
        <v>0</v>
      </c>
      <c r="H39">
        <f t="shared" si="17"/>
        <v>16420363842.087595</v>
      </c>
      <c r="I39">
        <v>0.2</v>
      </c>
      <c r="J39">
        <f>10^-22*7</f>
        <v>7.0000000000000001E-22</v>
      </c>
      <c r="K39">
        <f t="shared" si="7"/>
        <v>5.8310608238953206E-13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71</v>
      </c>
    </row>
    <row r="2" spans="1:1" x14ac:dyDescent="0.25">
      <c r="A2" t="s">
        <v>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Měření</vt:lpstr>
      <vt:lpstr>Další výsledky</vt:lpstr>
      <vt:lpstr>Výsledky</vt:lpstr>
      <vt:lpstr>Fitování teploty Slunce</vt:lpstr>
      <vt:lpstr>Další nápady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Suchanek</dc:creator>
  <cp:lastModifiedBy>Suchanek</cp:lastModifiedBy>
  <dcterms:created xsi:type="dcterms:W3CDTF">2018-06-12T07:15:17Z</dcterms:created>
  <dcterms:modified xsi:type="dcterms:W3CDTF">2018-06-13T22:36:18Z</dcterms:modified>
</cp:coreProperties>
</file>