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ěření" sheetId="1" r:id="rId3"/>
    <sheet state="visible" name="Další výsledky" sheetId="2" r:id="rId4"/>
    <sheet state="visible" name="Student" sheetId="3" r:id="rId5"/>
    <sheet state="visible" name="Výsledky" sheetId="4" r:id="rId6"/>
    <sheet state="visible" name="Spectroscopy" sheetId="5" r:id="rId7"/>
    <sheet state="visible" name="Sheet4" sheetId="6" r:id="rId8"/>
    <sheet state="visible" name="Sheet3" sheetId="7" r:id="rId9"/>
    <sheet state="visible" name="Sheet1" sheetId="8" r:id="rId10"/>
    <sheet state="visible" name="Sheet2" sheetId="9" r:id="rId11"/>
    <sheet state="visible" name="Temperature regulation" sheetId="10" r:id="rId12"/>
    <sheet state="visible" name="Size of atmosphere" sheetId="11" r:id="rId13"/>
    <sheet state="visible" name="Atmosphere" sheetId="12" r:id="rId14"/>
  </sheets>
  <definedNames/>
  <calcPr/>
</workbook>
</file>

<file path=xl/sharedStrings.xml><?xml version="1.0" encoding="utf-8"?>
<sst xmlns="http://schemas.openxmlformats.org/spreadsheetml/2006/main" count="256" uniqueCount="179">
  <si>
    <t>Time</t>
  </si>
  <si>
    <t>Latitude</t>
  </si>
  <si>
    <t>Longitude</t>
  </si>
  <si>
    <t>period</t>
  </si>
  <si>
    <t>GPS alt</t>
  </si>
  <si>
    <t>humidity</t>
  </si>
  <si>
    <t>ext temp</t>
  </si>
  <si>
    <t>pressure</t>
  </si>
  <si>
    <t>ground_temp</t>
  </si>
  <si>
    <t>LDR Lux</t>
  </si>
  <si>
    <t>acc</t>
  </si>
  <si>
    <t>acc X</t>
  </si>
  <si>
    <t>acc Y</t>
  </si>
  <si>
    <t>acc Z</t>
  </si>
  <si>
    <t>IR1</t>
  </si>
  <si>
    <t>IR2</t>
  </si>
  <si>
    <t>IR3</t>
  </si>
  <si>
    <t>IR4</t>
  </si>
  <si>
    <t>IR5</t>
  </si>
  <si>
    <t>IR6</t>
  </si>
  <si>
    <t>Vis1</t>
  </si>
  <si>
    <t>Vis2</t>
  </si>
  <si>
    <t>Vis3</t>
  </si>
  <si>
    <t>Vis4</t>
  </si>
  <si>
    <t>Vis5</t>
  </si>
  <si>
    <t>Vis6</t>
  </si>
  <si>
    <t>UV</t>
  </si>
  <si>
    <t>název proměnné</t>
  </si>
  <si>
    <t>gx</t>
  </si>
  <si>
    <t>gy</t>
  </si>
  <si>
    <t>gz</t>
  </si>
  <si>
    <t>g</t>
  </si>
  <si>
    <t>density</t>
  </si>
  <si>
    <t>magnetic vector</t>
  </si>
  <si>
    <t>typ</t>
  </si>
  <si>
    <t>CONSTANT</t>
  </si>
  <si>
    <t>LINEAR</t>
  </si>
  <si>
    <t>jednotka</t>
  </si>
  <si>
    <t>uT</t>
  </si>
  <si>
    <t>n</t>
  </si>
  <si>
    <t>odkaz na sloupec</t>
  </si>
  <si>
    <t>'Další výsledky'!A</t>
  </si>
  <si>
    <t>Měření!B</t>
  </si>
  <si>
    <t>Měření!C</t>
  </si>
  <si>
    <t>Měření!D</t>
  </si>
  <si>
    <t>Měření!E</t>
  </si>
  <si>
    <t>Měření!F</t>
  </si>
  <si>
    <t>Měření!G</t>
  </si>
  <si>
    <t>Měření!H</t>
  </si>
  <si>
    <t>Měření!I</t>
  </si>
  <si>
    <t>Měření!J</t>
  </si>
  <si>
    <t>Měření!K</t>
  </si>
  <si>
    <t>Měření!L</t>
  </si>
  <si>
    <t>Měření!M</t>
  </si>
  <si>
    <t>Měření!N</t>
  </si>
  <si>
    <t>Měření!O</t>
  </si>
  <si>
    <t>Měření!P</t>
  </si>
  <si>
    <t>Měření!Q</t>
  </si>
  <si>
    <t>Měření!R</t>
  </si>
  <si>
    <t>Měření!S</t>
  </si>
  <si>
    <t>Měření!T</t>
  </si>
  <si>
    <t>Měření!U</t>
  </si>
  <si>
    <t>Měření!V</t>
  </si>
  <si>
    <t>Měření!W</t>
  </si>
  <si>
    <t>Měření!X</t>
  </si>
  <si>
    <t>Další výsledky'!C</t>
  </si>
  <si>
    <t>n-1</t>
  </si>
  <si>
    <t>průměr</t>
  </si>
  <si>
    <t>odchylka měření</t>
  </si>
  <si>
    <t>odchylka průměru</t>
  </si>
  <si>
    <t>min</t>
  </si>
  <si>
    <t>max</t>
  </si>
  <si>
    <t>k (y = kx + q)</t>
  </si>
  <si>
    <t>q (y = kx + q)</t>
  </si>
  <si>
    <t>odchylka lin regrese</t>
  </si>
  <si>
    <t>regulated by angle</t>
  </si>
  <si>
    <t>vawelength</t>
  </si>
  <si>
    <t>IR</t>
  </si>
  <si>
    <t>VIS</t>
  </si>
  <si>
    <t>oznone absorbtion</t>
  </si>
  <si>
    <t>no2 absorbtion</t>
  </si>
  <si>
    <t>water vapor absorbtion</t>
  </si>
  <si>
    <t>oxygen absorbtion</t>
  </si>
  <si>
    <t>nytrogen scattering</t>
  </si>
  <si>
    <t>argon scattering</t>
  </si>
  <si>
    <t>oxygen scattering</t>
  </si>
  <si>
    <t>overall</t>
  </si>
  <si>
    <t>one</t>
  </si>
  <si>
    <t>meassured</t>
  </si>
  <si>
    <t>with clouds</t>
  </si>
  <si>
    <t>errors</t>
  </si>
  <si>
    <t>without atmosphere</t>
  </si>
  <si>
    <t>radiation with absorbtions</t>
  </si>
  <si>
    <t>Ground temperature approximation</t>
  </si>
  <si>
    <t>All values must be written in decimals!!!</t>
  </si>
  <si>
    <t>Declination</t>
  </si>
  <si>
    <t>Height at the moment</t>
  </si>
  <si>
    <t>Real soil temperature</t>
  </si>
  <si>
    <t>K</t>
  </si>
  <si>
    <t>visible</t>
  </si>
  <si>
    <t>Month</t>
  </si>
  <si>
    <t>Day</t>
  </si>
  <si>
    <t>Temperature measured</t>
  </si>
  <si>
    <t>Soil heat capacity (depends on dignity)</t>
  </si>
  <si>
    <t>Sun height angle</t>
  </si>
  <si>
    <t>Bolz. Const</t>
  </si>
  <si>
    <t>ir</t>
  </si>
  <si>
    <t>radius</t>
  </si>
  <si>
    <t>mass of planet</t>
  </si>
  <si>
    <t>Grav. Const</t>
  </si>
  <si>
    <t>Average molecule mass</t>
  </si>
  <si>
    <t>Altitude (km):</t>
  </si>
  <si>
    <t>Temperature K</t>
  </si>
  <si>
    <t>Stable atmosphere?</t>
  </si>
  <si>
    <t>Escape speed</t>
  </si>
  <si>
    <t>Temperature speed</t>
  </si>
  <si>
    <t>Rotation speed</t>
  </si>
  <si>
    <r>
      <t>Energy of m</t>
    </r>
    <r>
      <rPr>
        <rFont val="Calibri"/>
        <color rgb="FF000000"/>
        <sz val="11.0"/>
        <vertAlign val="subscript"/>
      </rPr>
      <t>2</t>
    </r>
    <r>
      <rPr>
        <rFont val="Calibri"/>
        <color rgb="FF000000"/>
        <sz val="11.0"/>
      </rPr>
      <t xml:space="preserve"> for all the time before mesuring</t>
    </r>
  </si>
  <si>
    <t>uv</t>
  </si>
  <si>
    <t>Longtitude</t>
  </si>
  <si>
    <t>Soil density</t>
  </si>
  <si>
    <t>J</t>
  </si>
  <si>
    <t>Rise-Set time</t>
  </si>
  <si>
    <t>h</t>
  </si>
  <si>
    <t>Overcast</t>
  </si>
  <si>
    <t>YES</t>
  </si>
  <si>
    <t>Sun rise:</t>
  </si>
  <si>
    <t>Function const</t>
  </si>
  <si>
    <t>Summer time</t>
  </si>
  <si>
    <t>Interval min</t>
  </si>
  <si>
    <t>Time zone</t>
  </si>
  <si>
    <t>Sun set:</t>
  </si>
  <si>
    <t>Interval max</t>
  </si>
  <si>
    <t>Local midday</t>
  </si>
  <si>
    <t>The depth of the ground in this interval is stable on longer time scales. (It is represented by hypecbolic function, this information may help to the math nerds…)</t>
  </si>
  <si>
    <t> ČSN 730581</t>
  </si>
  <si>
    <t>step</t>
  </si>
  <si>
    <t>He</t>
  </si>
  <si>
    <t>sun radius</t>
  </si>
  <si>
    <t>sun distance</t>
  </si>
  <si>
    <t>konstanta</t>
  </si>
  <si>
    <t>kolikrát více atmosféry</t>
  </si>
  <si>
    <t>clouds constant</t>
  </si>
  <si>
    <t>gas atoms per cubic meter</t>
  </si>
  <si>
    <t>ozone thickness</t>
  </si>
  <si>
    <t>top</t>
  </si>
  <si>
    <r>
      <t>Greenhouse gases in CO</t>
    </r>
    <r>
      <rPr>
        <rFont val="Calibri"/>
        <color rgb="FF000000"/>
        <sz val="11.0"/>
        <vertAlign val="subscript"/>
      </rPr>
      <t>2</t>
    </r>
  </si>
  <si>
    <t>strenght</t>
  </si>
  <si>
    <t>concentration (ppm)</t>
  </si>
  <si>
    <t>influence on greenhouse effect</t>
  </si>
  <si>
    <t>SUM</t>
  </si>
  <si>
    <t>Tempreture without atmospheric effects (calculated)</t>
  </si>
  <si>
    <r>
      <t>CO</t>
    </r>
    <r>
      <rPr>
        <rFont val="Calibri"/>
        <color rgb="FF000000"/>
        <sz val="11.0"/>
        <vertAlign val="subscript"/>
      </rPr>
      <t>2</t>
    </r>
  </si>
  <si>
    <t>Solar constant (calculated)</t>
  </si>
  <si>
    <r>
      <t>O</t>
    </r>
    <r>
      <rPr>
        <rFont val="Calibri"/>
        <color rgb="FF000000"/>
        <sz val="11.0"/>
        <vertAlign val="subscript"/>
      </rPr>
      <t>3</t>
    </r>
  </si>
  <si>
    <t>sun steradian size</t>
  </si>
  <si>
    <t>have</t>
  </si>
  <si>
    <r>
      <t>H</t>
    </r>
    <r>
      <rPr>
        <rFont val="Calibri"/>
        <color rgb="FF000000"/>
        <sz val="11.0"/>
        <vertAlign val="subscript"/>
      </rPr>
      <t>2</t>
    </r>
    <r>
      <rPr>
        <rFont val="Calibri"/>
        <color rgb="FF000000"/>
        <sz val="11.0"/>
      </rPr>
      <t>0</t>
    </r>
  </si>
  <si>
    <t>percentage</t>
  </si>
  <si>
    <t>Average tempreture measured (without radiation effect)</t>
  </si>
  <si>
    <r>
      <t>CH</t>
    </r>
    <r>
      <rPr>
        <rFont val="Calibri"/>
        <color rgb="FF000000"/>
        <sz val="11.0"/>
        <vertAlign val="subscript"/>
      </rPr>
      <t>4</t>
    </r>
  </si>
  <si>
    <t>Greenhouse reflection</t>
  </si>
  <si>
    <t>temp</t>
  </si>
  <si>
    <r>
      <t>NO</t>
    </r>
    <r>
      <rPr>
        <rFont val="Calibri"/>
        <color rgb="FF000000"/>
        <sz val="11.0"/>
        <vertAlign val="subscript"/>
      </rPr>
      <t>2</t>
    </r>
  </si>
  <si>
    <t>should have</t>
  </si>
  <si>
    <t>Works only for troposphere!!!</t>
  </si>
  <si>
    <t>Albedo</t>
  </si>
  <si>
    <t>Sun temperature</t>
  </si>
  <si>
    <t>Astronomical unit</t>
  </si>
  <si>
    <t>Sun radius</t>
  </si>
  <si>
    <t>plack</t>
  </si>
  <si>
    <t>ozone cross section absorbsion</t>
  </si>
  <si>
    <t>no2 csa</t>
  </si>
  <si>
    <t>water csa</t>
  </si>
  <si>
    <t>oxygen csa</t>
  </si>
  <si>
    <t>should be meassured</t>
  </si>
  <si>
    <t>clouds</t>
  </si>
  <si>
    <t>deviance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</si>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</sst>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sz val="11.0"/>
      <color rgb="FFF7981D"/>
    </font>
    <font/>
    <font>
      <sz val="11.0"/>
      <color rgb="FF7E3794"/>
    </font>
    <font>
      <sz val="11.0"/>
    </font>
    <font>
      <i/>
      <sz val="11.0"/>
      <color rgb="FF000000"/>
      <name val="Calibri"/>
    </font>
    <font>
      <color rgb="FF000000"/>
    </font>
    <font>
      <sz val="11.0"/>
      <color rgb="FF000000"/>
    </font>
    <font>
      <sz val="11.0"/>
      <color rgb="FF795548"/>
    </font>
    <font>
      <sz val="11.0"/>
      <color rgb="FFFF0000"/>
      <name val="Calibri"/>
    </font>
    <font>
      <sz val="11.0"/>
      <name val="Calibri"/>
    </font>
    <font>
      <sz val="8.0"/>
      <color rgb="FF000000"/>
      <name val="Arial"/>
    </font>
    <font>
      <sz val="11.0"/>
      <color rgb="FF4285F4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0" numFmtId="21" xfId="0" applyFont="1" applyNumberFormat="1"/>
    <xf borderId="0" fillId="0" fontId="0" numFmtId="0" xfId="0" applyFont="1"/>
    <xf borderId="0" fillId="0" fontId="0" numFmtId="2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quotePrefix="1" borderId="0" fillId="0" fontId="0" numFmtId="0" xfId="0" applyFont="1"/>
    <xf quotePrefix="1" borderId="0" fillId="0" fontId="0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0" fontId="9" numFmtId="0" xfId="0" applyFont="1"/>
    <xf borderId="1" fillId="2" fontId="0" numFmtId="0" xfId="0" applyBorder="1" applyFill="1" applyFont="1"/>
    <xf borderId="1" fillId="2" fontId="0" numFmtId="2" xfId="0" applyAlignment="1" applyBorder="1" applyFont="1" applyNumberFormat="1">
      <alignment readingOrder="0"/>
    </xf>
    <xf borderId="1" fillId="3" fontId="0" numFmtId="0" xfId="0" applyBorder="1" applyFill="1" applyFont="1"/>
    <xf borderId="1" fillId="2" fontId="10" numFmtId="0" xfId="0" applyBorder="1" applyFont="1"/>
    <xf borderId="0" fillId="2" fontId="2" numFmtId="0" xfId="0" applyAlignment="1" applyFont="1">
      <alignment readingOrder="0"/>
    </xf>
    <xf borderId="1" fillId="2" fontId="0" numFmtId="0" xfId="0" applyAlignment="1" applyBorder="1" applyFont="1">
      <alignment readingOrder="0"/>
    </xf>
    <xf borderId="0" fillId="0" fontId="11" numFmtId="0" xfId="0" applyFont="1"/>
    <xf borderId="0" fillId="0" fontId="12" numFmtId="0" xfId="0" applyFont="1"/>
    <xf borderId="0" fillId="3" fontId="13" numFmtId="0" xfId="0" applyFont="1"/>
    <xf borderId="0" fillId="0" fontId="6" numFmtId="0" xfId="0" applyAlignment="1" applyFont="1">
      <alignment readingOrder="0"/>
    </xf>
    <xf borderId="0" fillId="0" fontId="0" numFmtId="10" xfId="0" applyFont="1" applyNumberFormat="1"/>
    <xf borderId="1" fillId="4" fontId="10" numFmtId="0" xfId="0" applyAlignment="1" applyBorder="1" applyFill="1" applyFont="1">
      <alignment readingOrder="0"/>
    </xf>
    <xf borderId="0" fillId="0" fontId="0" numFmtId="11" xfId="0" applyAlignment="1" applyFont="1" applyNumberFormat="1">
      <alignment horizontal="right" readingOrder="0" vertical="bottom"/>
    </xf>
    <xf borderId="0" fillId="0" fontId="6" numFmtId="49" xfId="0" applyAlignment="1" applyFont="1" applyNumberFormat="1">
      <alignment readingOrder="0"/>
    </xf>
    <xf borderId="0" fillId="0" fontId="6" numFmtId="11" xfId="0" applyFont="1" applyNumberFormat="1"/>
    <xf borderId="0" fillId="0" fontId="6" numFmtId="11" xfId="0" applyAlignment="1" applyFont="1" applyNumberFormat="1">
      <alignment readingOrder="0"/>
    </xf>
    <xf borderId="0" fillId="0" fontId="12" numFmtId="11" xfId="0" applyFont="1" applyNumberFormat="1"/>
    <xf borderId="0" fillId="0" fontId="12" numFmtId="0" xfId="0" applyFont="1"/>
    <xf borderId="0" fillId="0" fontId="6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Spectroscopy!$A$9:$A$72</c:f>
            </c:numRef>
          </c:xVal>
          <c:yVal>
            <c:numRef>
              <c:f>Spectroscopy!$P$9:$P$72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Spectroscopy!$A$9:$A$72</c:f>
            </c:numRef>
          </c:xVal>
          <c:yVal>
            <c:numRef>
              <c:f>Spectroscopy!$AV$9:$AV$72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675632"/>
        <c:axId val="566144344"/>
      </c:scatterChart>
      <c:valAx>
        <c:axId val="157367563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wavelength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600">
                <a:solidFill>
                  <a:srgbClr val="595959"/>
                </a:solidFill>
                <a:latin typeface="Roboto"/>
              </a:defRPr>
            </a:pPr>
          </a:p>
        </c:txPr>
        <c:crossAx val="566144344"/>
      </c:valAx>
      <c:valAx>
        <c:axId val="5661443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Heat flux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600">
                <a:solidFill>
                  <a:srgbClr val="595959"/>
                </a:solidFill>
                <a:latin typeface="Roboto"/>
              </a:defRPr>
            </a:pPr>
          </a:p>
        </c:txPr>
        <c:crossAx val="157367563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6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Spectroscopy!$A$10:$A$72</c:f>
            </c:numRef>
          </c:xVal>
          <c:yVal>
            <c:numRef>
              <c:f>Spectroscopy!$AW$9:$AW$72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Spectroscopy!$A$10:$A$72</c:f>
            </c:numRef>
          </c:xVal>
          <c:yVal>
            <c:numRef>
              <c:f>Spectroscopy!$AY$9:$AY$72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94474"/>
        <c:axId val="2126959665"/>
      </c:scatterChart>
      <c:valAx>
        <c:axId val="16999944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26959665"/>
      </c:valAx>
      <c:valAx>
        <c:axId val="2126959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999447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influence on greenhouse effect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Atmosphere!$D$1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Atmosphere!$A$2:$A$3</c:f>
            </c:strRef>
          </c:cat>
          <c:val>
            <c:numRef>
              <c:f>Atmosphere!$D$2:$D$3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866775</xdr:colOff>
      <xdr:row>9</xdr:row>
      <xdr:rowOff>133350</xdr:rowOff>
    </xdr:from>
    <xdr:ext cx="2200275" cy="2990850"/>
    <xdr:pic>
      <xdr:nvPicPr>
        <xdr:cNvPr descr="https://upload.wikimedia.org/wikipedia/commons/c/cc/Soil_profile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1247775</xdr:colOff>
      <xdr:row>12</xdr:row>
      <xdr:rowOff>85725</xdr:rowOff>
    </xdr:from>
    <xdr:ext cx="5562600" cy="3438525"/>
    <xdr:graphicFrame>
      <xdr:nvGraphicFramePr>
        <xdr:cNvPr id="3" name="Chart 3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581025</xdr:colOff>
      <xdr:row>1</xdr:row>
      <xdr:rowOff>190500</xdr:rowOff>
    </xdr:from>
    <xdr:ext cx="2400300" cy="457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5</xdr:row>
      <xdr:rowOff>9525</xdr:rowOff>
    </xdr:from>
    <xdr:ext cx="3752850" cy="3419475"/>
    <xdr:pic>
      <xdr:nvPicPr>
        <xdr:cNvPr descr="https://upload.wikimedia.org/wikipedia/commons/thumb/0/08/Globalni_toky_energie_cs.svg/744px-Globalni_toky_energie_cs.svg.png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33</xdr:col>
      <xdr:colOff>352425</xdr:colOff>
      <xdr:row>72</xdr:row>
      <xdr:rowOff>190500</xdr:rowOff>
    </xdr:from>
    <xdr:ext cx="6534150" cy="4267200"/>
    <xdr:graphicFrame>
      <xdr:nvGraphicFramePr>
        <xdr:cNvPr id="1" name="Chart 1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45</xdr:col>
      <xdr:colOff>257175</xdr:colOff>
      <xdr:row>72</xdr:row>
      <xdr:rowOff>95250</xdr:rowOff>
    </xdr:from>
    <xdr:ext cx="5715000" cy="3533775"/>
    <xdr:graphicFrame>
      <xdr:nvGraphicFramePr>
        <xdr:cNvPr id="2" name="Chart 2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</row>
    <row r="2">
      <c r="A2" s="1">
        <v>0.46751157407407407</v>
      </c>
      <c r="B2">
        <v>36.964157</v>
      </c>
      <c r="C2">
        <v>-25.155271</v>
      </c>
      <c r="D2">
        <v>136.9</v>
      </c>
      <c r="E2">
        <v>31.66</v>
      </c>
      <c r="F2">
        <v>30.54</v>
      </c>
      <c r="G2">
        <v>932.9</v>
      </c>
      <c r="H2">
        <v>3150.0</v>
      </c>
      <c r="I2">
        <v>-9.9</v>
      </c>
      <c r="J2">
        <v>3.84</v>
      </c>
      <c r="K2">
        <v>-0.81</v>
      </c>
      <c r="L2" s="2">
        <v>598.08</v>
      </c>
      <c r="M2" s="2">
        <v>772.78</v>
      </c>
      <c r="N2" s="2">
        <v>493.32</v>
      </c>
      <c r="O2" s="2">
        <v>598.15</v>
      </c>
      <c r="P2" s="2">
        <v>481.58</v>
      </c>
      <c r="Q2" s="2">
        <v>700.13</v>
      </c>
      <c r="R2" s="2">
        <v>1694.12</v>
      </c>
      <c r="S2" s="2">
        <v>1258.68</v>
      </c>
      <c r="T2" s="2">
        <v>1206.76</v>
      </c>
      <c r="U2" s="2">
        <v>1047.62</v>
      </c>
      <c r="V2" s="2">
        <v>1088.37</v>
      </c>
      <c r="W2" s="2">
        <v>1075.76</v>
      </c>
      <c r="X2">
        <v>3.0</v>
      </c>
      <c r="Y2" s="4"/>
    </row>
    <row r="3">
      <c r="A3" s="1">
        <v>0.46752314814814816</v>
      </c>
      <c r="B3">
        <v>36.964157</v>
      </c>
      <c r="C3">
        <v>-25.155271</v>
      </c>
      <c r="D3">
        <v>136.9</v>
      </c>
      <c r="E3">
        <v>31.69</v>
      </c>
      <c r="F3">
        <v>30.01</v>
      </c>
      <c r="G3">
        <v>934.46</v>
      </c>
      <c r="H3">
        <v>17016.0</v>
      </c>
      <c r="I3">
        <v>-9.41</v>
      </c>
      <c r="J3">
        <v>0.56</v>
      </c>
      <c r="K3">
        <v>-0.23</v>
      </c>
      <c r="L3" s="2">
        <v>583.43</v>
      </c>
      <c r="M3" s="2">
        <v>824.3</v>
      </c>
      <c r="N3" s="2">
        <v>486.46</v>
      </c>
      <c r="O3" s="2">
        <v>570.21</v>
      </c>
      <c r="P3" s="2">
        <v>525.74</v>
      </c>
      <c r="Q3" s="2">
        <v>623.53</v>
      </c>
      <c r="R3" s="2">
        <v>1578.4</v>
      </c>
      <c r="S3" s="2">
        <v>1473.19</v>
      </c>
      <c r="T3" s="2">
        <v>1087.4</v>
      </c>
      <c r="U3" s="2">
        <v>888.86</v>
      </c>
      <c r="V3" s="2">
        <v>1194.25</v>
      </c>
      <c r="W3" s="2">
        <v>925.88</v>
      </c>
      <c r="X3">
        <v>3.0</v>
      </c>
      <c r="Y3" s="4"/>
    </row>
    <row r="4">
      <c r="A4" s="1">
        <v>0.4675347222222222</v>
      </c>
      <c r="B4">
        <v>36.964157</v>
      </c>
      <c r="C4">
        <v>-25.155271</v>
      </c>
      <c r="D4">
        <v>136.9</v>
      </c>
      <c r="E4">
        <v>32.78</v>
      </c>
      <c r="F4">
        <v>29.68</v>
      </c>
      <c r="G4">
        <v>935.93</v>
      </c>
      <c r="H4">
        <v>3150.0</v>
      </c>
      <c r="I4">
        <v>-12.09</v>
      </c>
      <c r="J4">
        <v>3.31</v>
      </c>
      <c r="K4">
        <v>0.09</v>
      </c>
      <c r="L4" s="2">
        <v>551.46</v>
      </c>
      <c r="M4" s="2">
        <v>813.1</v>
      </c>
      <c r="N4" s="2">
        <v>470.48</v>
      </c>
      <c r="O4" s="2">
        <v>551.58</v>
      </c>
      <c r="P4" s="2">
        <v>501.09</v>
      </c>
      <c r="Q4" s="2">
        <v>550.53</v>
      </c>
      <c r="R4" s="2">
        <v>1719.69</v>
      </c>
      <c r="S4" s="2">
        <v>1598.04</v>
      </c>
      <c r="T4" s="2">
        <v>1262.86</v>
      </c>
      <c r="U4" s="2">
        <v>1070.31</v>
      </c>
      <c r="V4" s="2">
        <v>1299.12</v>
      </c>
      <c r="W4" s="2">
        <v>1039.5</v>
      </c>
      <c r="X4">
        <v>3.0</v>
      </c>
      <c r="Y4" s="4"/>
    </row>
    <row r="5">
      <c r="A5" s="1">
        <v>0.46754629629629635</v>
      </c>
      <c r="B5">
        <v>36.964157</v>
      </c>
      <c r="C5">
        <v>-25.155271</v>
      </c>
      <c r="D5">
        <v>136.9</v>
      </c>
      <c r="E5">
        <v>33.49</v>
      </c>
      <c r="F5">
        <v>29.08</v>
      </c>
      <c r="G5">
        <v>936.63</v>
      </c>
      <c r="H5">
        <v>2961.0</v>
      </c>
      <c r="I5">
        <v>-10.13</v>
      </c>
      <c r="J5">
        <v>0.08</v>
      </c>
      <c r="K5">
        <v>-0.83</v>
      </c>
      <c r="L5" s="2">
        <v>516.82</v>
      </c>
      <c r="M5" s="2">
        <v>736.94</v>
      </c>
      <c r="N5" s="2">
        <v>465.91</v>
      </c>
      <c r="O5" s="2">
        <v>536.06</v>
      </c>
      <c r="P5" s="2">
        <v>456.94</v>
      </c>
      <c r="Q5" s="2">
        <v>495.47</v>
      </c>
      <c r="R5" s="2">
        <v>1593.2</v>
      </c>
      <c r="S5" s="2">
        <v>1281.38</v>
      </c>
      <c r="T5" s="2">
        <v>1154.24</v>
      </c>
      <c r="U5" s="2">
        <v>911.54</v>
      </c>
      <c r="V5" s="2">
        <v>1029.32</v>
      </c>
      <c r="W5" s="2">
        <v>872.69</v>
      </c>
      <c r="X5">
        <v>4.0</v>
      </c>
      <c r="Y5" s="4"/>
    </row>
    <row r="6">
      <c r="A6" s="1">
        <v>0.4675578703703704</v>
      </c>
      <c r="B6">
        <v>36.964157</v>
      </c>
      <c r="C6">
        <v>-25.155271</v>
      </c>
      <c r="D6">
        <v>136.9</v>
      </c>
      <c r="E6">
        <v>34.69</v>
      </c>
      <c r="F6">
        <v>28.61</v>
      </c>
      <c r="G6">
        <v>937.52</v>
      </c>
      <c r="H6">
        <v>8483.0</v>
      </c>
      <c r="I6">
        <v>-9.89</v>
      </c>
      <c r="J6">
        <v>-0.07</v>
      </c>
      <c r="K6">
        <v>-0.5</v>
      </c>
      <c r="L6" s="2">
        <v>468.87</v>
      </c>
      <c r="M6" s="2">
        <v>711.18</v>
      </c>
      <c r="N6" s="2">
        <v>444.21</v>
      </c>
      <c r="O6" s="2">
        <v>510.19</v>
      </c>
      <c r="P6" s="2">
        <v>422.03</v>
      </c>
      <c r="Q6" s="2">
        <v>445.21</v>
      </c>
      <c r="R6" s="2">
        <v>1606.66</v>
      </c>
      <c r="S6" s="2">
        <v>1428.93</v>
      </c>
      <c r="T6" s="2">
        <v>1099.34</v>
      </c>
      <c r="U6" s="2">
        <v>924.5</v>
      </c>
      <c r="V6" s="2">
        <v>1107.71</v>
      </c>
      <c r="W6" s="2">
        <v>973.02</v>
      </c>
      <c r="X6">
        <v>4.0</v>
      </c>
      <c r="Y6" s="4"/>
    </row>
    <row r="7">
      <c r="A7" s="1">
        <v>0.4675694444444445</v>
      </c>
      <c r="B7">
        <v>36.96363</v>
      </c>
      <c r="C7">
        <v>-25.156106</v>
      </c>
      <c r="D7">
        <v>644.7</v>
      </c>
      <c r="E7">
        <v>35.0</v>
      </c>
      <c r="F7">
        <v>28.54</v>
      </c>
      <c r="G7">
        <v>938.54</v>
      </c>
      <c r="H7">
        <v>3363.0</v>
      </c>
      <c r="I7">
        <v>-10.41</v>
      </c>
      <c r="J7">
        <v>-0.34</v>
      </c>
      <c r="K7">
        <v>-0.98</v>
      </c>
      <c r="L7" s="2">
        <v>466.21</v>
      </c>
      <c r="M7" s="2">
        <v>609.27</v>
      </c>
      <c r="N7" s="2">
        <v>430.51</v>
      </c>
      <c r="O7" s="2">
        <v>465.69</v>
      </c>
      <c r="P7" s="2">
        <v>379.93</v>
      </c>
      <c r="Q7" s="2">
        <v>391.35</v>
      </c>
      <c r="R7" s="2">
        <v>1683.36</v>
      </c>
      <c r="S7" s="2">
        <v>1453.9</v>
      </c>
      <c r="T7" s="2">
        <v>1233.02</v>
      </c>
      <c r="U7" s="2">
        <v>1019.54</v>
      </c>
      <c r="V7" s="2">
        <v>1147.42</v>
      </c>
      <c r="W7" s="2">
        <v>1006.86</v>
      </c>
      <c r="X7">
        <v>4.0</v>
      </c>
      <c r="Y7" s="4">
        <f t="shared" ref="Y7:Y106" si="1">(10^(8.07131-1730.63/(233.426+F7))*E7/100)/(G7-(10^(8.07131-1730.63/(233.426+F7))*E7/100))*100</f>
        <v>1.099919097</v>
      </c>
    </row>
    <row r="8">
      <c r="A8" s="1">
        <v>0.4675810185185185</v>
      </c>
      <c r="B8">
        <v>36.96363</v>
      </c>
      <c r="C8">
        <v>-25.156106</v>
      </c>
      <c r="D8">
        <v>644.7</v>
      </c>
      <c r="E8">
        <v>36.65</v>
      </c>
      <c r="F8">
        <v>28.68</v>
      </c>
      <c r="G8">
        <v>939.4</v>
      </c>
      <c r="H8">
        <v>2794.0</v>
      </c>
      <c r="I8">
        <v>-10.45</v>
      </c>
      <c r="J8">
        <v>-0.55</v>
      </c>
      <c r="K8">
        <v>-0.85</v>
      </c>
      <c r="L8" s="2">
        <v>496.84</v>
      </c>
      <c r="M8" s="2">
        <v>564.47</v>
      </c>
      <c r="N8" s="2">
        <v>417.95</v>
      </c>
      <c r="O8" s="2">
        <v>441.89</v>
      </c>
      <c r="P8" s="2">
        <v>388.14</v>
      </c>
      <c r="Q8" s="2">
        <v>385.37</v>
      </c>
      <c r="R8" s="2">
        <v>1760.06</v>
      </c>
      <c r="S8" s="2">
        <v>1445.95</v>
      </c>
      <c r="T8" s="2">
        <v>1357.16</v>
      </c>
      <c r="U8" s="2">
        <v>1175.07</v>
      </c>
      <c r="V8" s="2">
        <v>1185.09</v>
      </c>
      <c r="W8" s="2">
        <v>1095.1</v>
      </c>
      <c r="X8">
        <v>3.0</v>
      </c>
      <c r="Y8" s="4">
        <f t="shared" si="1"/>
        <v>1.16080438</v>
      </c>
    </row>
    <row r="9">
      <c r="A9" s="1">
        <v>0.46759259259259256</v>
      </c>
      <c r="B9">
        <v>36.963165</v>
      </c>
      <c r="C9">
        <v>-25.156028</v>
      </c>
      <c r="D9">
        <v>708.3</v>
      </c>
      <c r="E9">
        <v>37.61</v>
      </c>
      <c r="F9">
        <v>28.34</v>
      </c>
      <c r="G9">
        <v>940.48</v>
      </c>
      <c r="H9">
        <v>3150.0</v>
      </c>
      <c r="I9">
        <v>-10.3</v>
      </c>
      <c r="J9">
        <v>0.04</v>
      </c>
      <c r="K9">
        <v>-1.16</v>
      </c>
      <c r="L9" s="2">
        <v>503.5</v>
      </c>
      <c r="M9" s="2">
        <v>559.99</v>
      </c>
      <c r="N9" s="2">
        <v>427.08</v>
      </c>
      <c r="O9" s="2">
        <v>446.03</v>
      </c>
      <c r="P9" s="2">
        <v>390.2</v>
      </c>
      <c r="Q9" s="2">
        <v>386.56</v>
      </c>
      <c r="R9" s="2">
        <v>1777.55</v>
      </c>
      <c r="S9" s="2">
        <v>1667.27</v>
      </c>
      <c r="T9" s="2">
        <v>1390.58</v>
      </c>
      <c r="U9" s="2">
        <v>1250.67</v>
      </c>
      <c r="V9" s="2">
        <v>1275.7</v>
      </c>
      <c r="W9" s="2">
        <v>1163.99</v>
      </c>
      <c r="X9">
        <v>3.0</v>
      </c>
      <c r="Y9" s="4">
        <f t="shared" si="1"/>
        <v>1.166643838</v>
      </c>
    </row>
    <row r="10">
      <c r="A10" s="1">
        <v>0.4676157407407407</v>
      </c>
      <c r="B10">
        <v>36.962955</v>
      </c>
      <c r="C10">
        <v>-25.156093</v>
      </c>
      <c r="D10">
        <v>710.8</v>
      </c>
      <c r="E10">
        <v>39.26</v>
      </c>
      <c r="F10">
        <v>28.27</v>
      </c>
      <c r="G10">
        <v>941.26</v>
      </c>
      <c r="H10">
        <v>3150.0</v>
      </c>
      <c r="I10">
        <v>-10.27</v>
      </c>
      <c r="J10">
        <v>-0.55</v>
      </c>
      <c r="K10">
        <v>-0.72</v>
      </c>
      <c r="L10" s="2">
        <v>506.17</v>
      </c>
      <c r="M10" s="2">
        <v>549.91</v>
      </c>
      <c r="N10" s="2">
        <v>411.1</v>
      </c>
      <c r="O10" s="2">
        <v>437.75</v>
      </c>
      <c r="P10" s="2">
        <v>404.57</v>
      </c>
      <c r="Q10" s="2">
        <v>392.55</v>
      </c>
      <c r="R10" s="2">
        <v>1762.75</v>
      </c>
      <c r="S10" s="2">
        <v>1598.04</v>
      </c>
      <c r="T10" s="2">
        <v>1333.29</v>
      </c>
      <c r="U10" s="2">
        <v>1198.83</v>
      </c>
      <c r="V10" s="2">
        <v>1238.03</v>
      </c>
      <c r="W10" s="2">
        <v>1191.79</v>
      </c>
      <c r="X10">
        <v>4.0</v>
      </c>
      <c r="Y10" s="4">
        <f t="shared" si="1"/>
        <v>1.212420402</v>
      </c>
    </row>
    <row r="11">
      <c r="A11" s="1">
        <v>0.46762731481481484</v>
      </c>
      <c r="B11">
        <v>36.962863</v>
      </c>
      <c r="C11">
        <v>-25.156143</v>
      </c>
      <c r="D11">
        <v>710.6</v>
      </c>
      <c r="E11">
        <v>38.87</v>
      </c>
      <c r="F11">
        <v>28.32</v>
      </c>
      <c r="G11">
        <v>942.71</v>
      </c>
      <c r="H11">
        <v>3150.0</v>
      </c>
      <c r="I11">
        <v>-9.59</v>
      </c>
      <c r="J11">
        <v>0.35</v>
      </c>
      <c r="K11">
        <v>-0.37</v>
      </c>
      <c r="L11" s="2">
        <v>540.8</v>
      </c>
      <c r="M11" s="2">
        <v>929.58</v>
      </c>
      <c r="N11" s="2">
        <v>501.31</v>
      </c>
      <c r="O11" s="2">
        <v>644.72</v>
      </c>
      <c r="P11" s="2">
        <v>450.78</v>
      </c>
      <c r="Q11" s="2">
        <v>555.31</v>
      </c>
      <c r="R11" s="2">
        <v>1961.9</v>
      </c>
      <c r="S11" s="2">
        <v>2298.32</v>
      </c>
      <c r="T11" s="2">
        <v>1556.5</v>
      </c>
      <c r="U11" s="2">
        <v>1729.12</v>
      </c>
      <c r="V11" s="2">
        <v>1617.79</v>
      </c>
      <c r="W11" s="2">
        <v>1753.85</v>
      </c>
      <c r="X11">
        <v>4.0</v>
      </c>
      <c r="Y11" s="4">
        <f t="shared" si="1"/>
        <v>1.201896537</v>
      </c>
    </row>
    <row r="12">
      <c r="A12" s="1">
        <v>0.4676388888888889</v>
      </c>
      <c r="B12">
        <v>36.962768</v>
      </c>
      <c r="C12">
        <v>-25.1562</v>
      </c>
      <c r="D12">
        <v>708.1</v>
      </c>
      <c r="E12">
        <v>39.17</v>
      </c>
      <c r="F12">
        <v>27.4</v>
      </c>
      <c r="G12">
        <v>943.69</v>
      </c>
      <c r="H12">
        <v>3363.0</v>
      </c>
      <c r="I12">
        <v>-9.59</v>
      </c>
      <c r="J12">
        <v>-0.14</v>
      </c>
      <c r="K12">
        <v>-1.05</v>
      </c>
      <c r="L12" s="2">
        <v>563.45</v>
      </c>
      <c r="M12" s="2">
        <v>1039.34</v>
      </c>
      <c r="N12" s="2">
        <v>519.58</v>
      </c>
      <c r="O12" s="2">
        <v>667.49</v>
      </c>
      <c r="P12" s="2">
        <v>502.12</v>
      </c>
      <c r="Q12" s="2">
        <v>570.87</v>
      </c>
      <c r="R12" s="2">
        <v>1758.71</v>
      </c>
      <c r="S12" s="2">
        <v>2500.34</v>
      </c>
      <c r="T12" s="2">
        <v>1546.95</v>
      </c>
      <c r="U12" s="2">
        <v>1789.6</v>
      </c>
      <c r="V12" s="2">
        <v>1733.85</v>
      </c>
      <c r="W12" s="2">
        <v>1747.8</v>
      </c>
      <c r="X12">
        <v>4.0</v>
      </c>
      <c r="Y12" s="4">
        <f t="shared" si="1"/>
        <v>1.146022874</v>
      </c>
    </row>
    <row r="13">
      <c r="A13" s="1">
        <v>0.467650462962963</v>
      </c>
      <c r="B13">
        <v>36.962657</v>
      </c>
      <c r="C13">
        <v>-25.156255</v>
      </c>
      <c r="D13">
        <v>701.5</v>
      </c>
      <c r="E13">
        <v>39.17</v>
      </c>
      <c r="F13">
        <v>27.43</v>
      </c>
      <c r="G13">
        <v>944.63</v>
      </c>
      <c r="H13">
        <v>0.0</v>
      </c>
      <c r="I13">
        <v>-10.02</v>
      </c>
      <c r="J13">
        <v>0.89</v>
      </c>
      <c r="K13">
        <v>-0.76</v>
      </c>
      <c r="L13" s="2">
        <v>591.42</v>
      </c>
      <c r="M13" s="2">
        <v>582.39</v>
      </c>
      <c r="N13" s="2">
        <v>513.87</v>
      </c>
      <c r="O13" s="2">
        <v>528.82</v>
      </c>
      <c r="P13" s="2">
        <v>400.46</v>
      </c>
      <c r="Q13" s="2">
        <v>445.21</v>
      </c>
      <c r="R13" s="2">
        <v>1512.47</v>
      </c>
      <c r="S13" s="2">
        <v>2008.9</v>
      </c>
      <c r="T13" s="2">
        <v>1283.16</v>
      </c>
      <c r="U13" s="2">
        <v>1371.63</v>
      </c>
      <c r="V13" s="2">
        <v>1297.08</v>
      </c>
      <c r="W13" s="2">
        <v>1219.59</v>
      </c>
      <c r="X13">
        <v>4.0</v>
      </c>
      <c r="Y13" s="4">
        <f t="shared" si="1"/>
        <v>1.146905889</v>
      </c>
    </row>
    <row r="14">
      <c r="A14" s="1">
        <v>0.467662037037037</v>
      </c>
      <c r="B14">
        <v>36.962554</v>
      </c>
      <c r="C14">
        <v>-25.156291</v>
      </c>
      <c r="D14">
        <v>694.9</v>
      </c>
      <c r="E14">
        <v>39.99</v>
      </c>
      <c r="F14">
        <v>26.67</v>
      </c>
      <c r="G14">
        <v>945.8</v>
      </c>
      <c r="H14">
        <v>0.0</v>
      </c>
      <c r="I14">
        <v>-10.85</v>
      </c>
      <c r="J14">
        <v>-0.48</v>
      </c>
      <c r="K14">
        <v>-0.99</v>
      </c>
      <c r="L14" s="2">
        <v>287.72</v>
      </c>
      <c r="M14" s="2">
        <v>671.98</v>
      </c>
      <c r="N14" s="2">
        <v>346.01</v>
      </c>
      <c r="O14" s="2">
        <v>498.8</v>
      </c>
      <c r="P14" s="2">
        <v>315.24</v>
      </c>
      <c r="Q14" s="2">
        <v>385.37</v>
      </c>
      <c r="R14" s="2">
        <v>1406.16</v>
      </c>
      <c r="S14" s="2">
        <v>1312.03</v>
      </c>
      <c r="T14" s="2">
        <v>848.67</v>
      </c>
      <c r="U14" s="2">
        <v>827.3</v>
      </c>
      <c r="V14" s="2">
        <v>1091.42</v>
      </c>
      <c r="W14" s="2">
        <v>855.77</v>
      </c>
      <c r="X14">
        <v>3.0</v>
      </c>
      <c r="Y14" s="4">
        <f t="shared" si="1"/>
        <v>1.118094557</v>
      </c>
    </row>
    <row r="15">
      <c r="A15" s="1">
        <v>0.4676736111111111</v>
      </c>
      <c r="B15">
        <v>36.962455</v>
      </c>
      <c r="C15">
        <v>-25.156322</v>
      </c>
      <c r="D15">
        <v>688.2</v>
      </c>
      <c r="E15">
        <v>40.34</v>
      </c>
      <c r="F15">
        <v>26.81</v>
      </c>
      <c r="G15">
        <v>946.5</v>
      </c>
      <c r="H15">
        <v>3150.0</v>
      </c>
      <c r="I15">
        <v>-9.41</v>
      </c>
      <c r="J15">
        <v>-0.44</v>
      </c>
      <c r="K15">
        <v>-0.6</v>
      </c>
      <c r="L15" s="2">
        <v>631.38</v>
      </c>
      <c r="M15" s="2">
        <v>897.1</v>
      </c>
      <c r="N15" s="2">
        <v>411.1</v>
      </c>
      <c r="O15" s="2">
        <v>546.41</v>
      </c>
      <c r="P15" s="2">
        <v>557.57</v>
      </c>
      <c r="Q15" s="2">
        <v>508.64</v>
      </c>
      <c r="R15" s="2">
        <v>2124.72</v>
      </c>
      <c r="S15" s="2">
        <v>2230.22</v>
      </c>
      <c r="T15" s="2">
        <v>1660.34</v>
      </c>
      <c r="U15" s="2">
        <v>1897.6</v>
      </c>
      <c r="V15" s="2">
        <v>1710.43</v>
      </c>
      <c r="W15" s="2">
        <v>1750.22</v>
      </c>
      <c r="X15">
        <v>4.0</v>
      </c>
      <c r="Y15" s="4">
        <f t="shared" si="1"/>
        <v>1.136581757</v>
      </c>
    </row>
    <row r="16">
      <c r="A16" s="1">
        <v>0.46768518518518515</v>
      </c>
      <c r="B16">
        <v>36.962341</v>
      </c>
      <c r="C16">
        <v>-25.156347</v>
      </c>
      <c r="D16">
        <v>685.9</v>
      </c>
      <c r="E16">
        <v>40.54</v>
      </c>
      <c r="F16">
        <v>26.66</v>
      </c>
      <c r="G16">
        <v>947.37</v>
      </c>
      <c r="H16">
        <v>3363.0</v>
      </c>
      <c r="I16">
        <v>-11.02</v>
      </c>
      <c r="J16">
        <v>-0.63</v>
      </c>
      <c r="K16">
        <v>-0.84</v>
      </c>
      <c r="L16" s="2">
        <v>602.07</v>
      </c>
      <c r="M16" s="2">
        <v>798.54</v>
      </c>
      <c r="N16" s="2">
        <v>566.4</v>
      </c>
      <c r="O16" s="2">
        <v>698.53</v>
      </c>
      <c r="P16" s="2">
        <v>477.48</v>
      </c>
      <c r="Q16" s="2">
        <v>592.41</v>
      </c>
      <c r="R16" s="2">
        <v>1659.14</v>
      </c>
      <c r="S16" s="2">
        <v>2104.24</v>
      </c>
      <c r="T16" s="2">
        <v>1379.84</v>
      </c>
      <c r="U16" s="2">
        <v>1470.99</v>
      </c>
      <c r="V16" s="2">
        <v>1426.38</v>
      </c>
      <c r="W16" s="2">
        <v>1151.91</v>
      </c>
      <c r="X16">
        <v>3.0</v>
      </c>
      <c r="Y16" s="4">
        <f t="shared" si="1"/>
        <v>1.131072543</v>
      </c>
    </row>
    <row r="17">
      <c r="A17" s="1">
        <v>0.4676967592592593</v>
      </c>
      <c r="B17">
        <v>36.962234</v>
      </c>
      <c r="C17">
        <v>-25.156377</v>
      </c>
      <c r="D17">
        <v>680.8</v>
      </c>
      <c r="E17">
        <v>40.96</v>
      </c>
      <c r="F17">
        <v>26.68</v>
      </c>
      <c r="G17">
        <v>948.32</v>
      </c>
      <c r="H17">
        <v>2961.0</v>
      </c>
      <c r="I17">
        <v>-10.79</v>
      </c>
      <c r="J17">
        <v>-0.29</v>
      </c>
      <c r="K17">
        <v>-0.63</v>
      </c>
      <c r="L17" s="2">
        <v>572.77</v>
      </c>
      <c r="M17" s="2">
        <v>1211.81</v>
      </c>
      <c r="N17" s="2">
        <v>510.45</v>
      </c>
      <c r="O17" s="2">
        <v>670.59</v>
      </c>
      <c r="P17" s="2">
        <v>585.29</v>
      </c>
      <c r="Q17" s="2">
        <v>598.4</v>
      </c>
      <c r="R17" s="2">
        <v>1227.2</v>
      </c>
      <c r="S17" s="2">
        <v>1258.68</v>
      </c>
      <c r="T17" s="2">
        <v>809.28</v>
      </c>
      <c r="U17" s="2">
        <v>864.02</v>
      </c>
      <c r="V17" s="2">
        <v>878.63</v>
      </c>
      <c r="W17" s="2">
        <v>910.16</v>
      </c>
      <c r="X17">
        <v>3.0</v>
      </c>
      <c r="Y17" s="4">
        <f t="shared" si="1"/>
        <v>1.143127812</v>
      </c>
    </row>
    <row r="18">
      <c r="A18" s="1">
        <v>0.46770833333333334</v>
      </c>
      <c r="B18">
        <v>36.9621</v>
      </c>
      <c r="C18">
        <v>-25.156414</v>
      </c>
      <c r="D18">
        <v>677.0</v>
      </c>
      <c r="E18">
        <v>42.95</v>
      </c>
      <c r="F18">
        <v>26.7</v>
      </c>
      <c r="G18">
        <v>949.13</v>
      </c>
      <c r="H18">
        <v>10190.0</v>
      </c>
      <c r="I18">
        <v>-10.51</v>
      </c>
      <c r="J18">
        <v>-0.45</v>
      </c>
      <c r="K18">
        <v>-0.71</v>
      </c>
      <c r="L18" s="2">
        <v>562.11</v>
      </c>
      <c r="M18" s="2">
        <v>622.71</v>
      </c>
      <c r="N18" s="2">
        <v>430.51</v>
      </c>
      <c r="O18" s="2">
        <v>453.27</v>
      </c>
      <c r="P18" s="2">
        <v>404.57</v>
      </c>
      <c r="Q18" s="2">
        <v>408.11</v>
      </c>
      <c r="R18" s="2">
        <v>2073.58</v>
      </c>
      <c r="S18" s="2">
        <v>2207.52</v>
      </c>
      <c r="T18" s="2">
        <v>1585.15</v>
      </c>
      <c r="U18" s="2">
        <v>1826.32</v>
      </c>
      <c r="V18" s="2">
        <v>1696.18</v>
      </c>
      <c r="W18" s="2">
        <v>1730.88</v>
      </c>
      <c r="X18">
        <v>3.0</v>
      </c>
      <c r="Y18" s="4">
        <f t="shared" si="1"/>
        <v>1.199725079</v>
      </c>
    </row>
    <row r="19">
      <c r="A19" s="1">
        <v>0.46771990740740743</v>
      </c>
      <c r="B19">
        <v>36.961967</v>
      </c>
      <c r="C19">
        <v>-25.156457</v>
      </c>
      <c r="D19">
        <v>673.0</v>
      </c>
      <c r="E19">
        <v>41.04</v>
      </c>
      <c r="F19">
        <v>26.33</v>
      </c>
      <c r="G19">
        <v>950.24</v>
      </c>
      <c r="H19">
        <v>0.0</v>
      </c>
      <c r="I19">
        <v>-9.81</v>
      </c>
      <c r="J19">
        <v>-0.04</v>
      </c>
      <c r="K19">
        <v>-1.28</v>
      </c>
      <c r="L19" s="2">
        <v>506.17</v>
      </c>
      <c r="M19" s="2">
        <v>581.27</v>
      </c>
      <c r="N19" s="2">
        <v>457.92</v>
      </c>
      <c r="O19" s="2">
        <v>491.56</v>
      </c>
      <c r="P19" s="2">
        <v>409.71</v>
      </c>
      <c r="Q19" s="2">
        <v>402.12</v>
      </c>
      <c r="R19" s="2">
        <v>1749.29</v>
      </c>
      <c r="S19" s="2">
        <v>2507.15</v>
      </c>
      <c r="T19" s="2">
        <v>1397.75</v>
      </c>
      <c r="U19" s="2">
        <v>1593.04</v>
      </c>
      <c r="V19" s="2">
        <v>1772.54</v>
      </c>
      <c r="W19" s="2">
        <v>1642.65</v>
      </c>
      <c r="X19">
        <v>4.0</v>
      </c>
      <c r="Y19" s="4">
        <f t="shared" si="1"/>
        <v>1.119429907</v>
      </c>
    </row>
    <row r="20">
      <c r="A20" s="1">
        <v>0.46773148148148147</v>
      </c>
      <c r="B20">
        <v>36.961837</v>
      </c>
      <c r="C20">
        <v>-25.156492</v>
      </c>
      <c r="D20">
        <v>666.6</v>
      </c>
      <c r="E20">
        <v>41.29</v>
      </c>
      <c r="F20">
        <v>26.22</v>
      </c>
      <c r="G20">
        <v>950.95</v>
      </c>
      <c r="H20">
        <v>8483.0</v>
      </c>
      <c r="I20">
        <v>-11.36</v>
      </c>
      <c r="J20">
        <v>-0.41</v>
      </c>
      <c r="K20">
        <v>-0.59</v>
      </c>
      <c r="L20" s="2">
        <v>764.58</v>
      </c>
      <c r="M20" s="2">
        <v>1274.53</v>
      </c>
      <c r="N20" s="2">
        <v>778.8</v>
      </c>
      <c r="O20" s="2">
        <v>929.31</v>
      </c>
      <c r="P20" s="2">
        <v>597.62</v>
      </c>
      <c r="Q20" s="2">
        <v>703.72</v>
      </c>
      <c r="R20" s="2">
        <v>1429.04</v>
      </c>
      <c r="S20" s="2">
        <v>1333.59</v>
      </c>
      <c r="T20" s="2">
        <v>868.97</v>
      </c>
      <c r="U20" s="2">
        <v>803.54</v>
      </c>
      <c r="V20" s="2">
        <v>1113.82</v>
      </c>
      <c r="W20" s="2">
        <v>825.55</v>
      </c>
      <c r="X20">
        <v>4.0</v>
      </c>
      <c r="Y20" s="4">
        <f t="shared" si="1"/>
        <v>1.118102863</v>
      </c>
    </row>
    <row r="21" ht="15.75" customHeight="1">
      <c r="A21" s="1">
        <v>0.46774305555555556</v>
      </c>
      <c r="B21">
        <v>36.961696</v>
      </c>
      <c r="C21">
        <v>-25.156513</v>
      </c>
      <c r="D21">
        <v>662.8</v>
      </c>
      <c r="E21">
        <v>41.44</v>
      </c>
      <c r="F21">
        <v>25.98</v>
      </c>
      <c r="G21">
        <v>951.84</v>
      </c>
      <c r="H21">
        <v>2961.0</v>
      </c>
      <c r="I21">
        <v>-10.3</v>
      </c>
      <c r="J21">
        <v>0.1</v>
      </c>
      <c r="K21">
        <v>-1.08</v>
      </c>
      <c r="L21" s="2">
        <v>530.15</v>
      </c>
      <c r="M21" s="2">
        <v>1165.89</v>
      </c>
      <c r="N21" s="2">
        <v>503.59</v>
      </c>
      <c r="O21" s="2">
        <v>640.58</v>
      </c>
      <c r="P21" s="2">
        <v>664.36</v>
      </c>
      <c r="Q21" s="2">
        <v>533.77</v>
      </c>
      <c r="R21" s="2">
        <v>2003.61</v>
      </c>
      <c r="S21" s="2">
        <v>2385.71</v>
      </c>
      <c r="T21" s="2">
        <v>1458.62</v>
      </c>
      <c r="U21" s="2">
        <v>1760.44</v>
      </c>
      <c r="V21" s="2">
        <v>1669.71</v>
      </c>
      <c r="W21" s="2">
        <v>1753.85</v>
      </c>
      <c r="X21">
        <v>4.0</v>
      </c>
      <c r="Y21" s="4">
        <f t="shared" si="1"/>
        <v>1.105167437</v>
      </c>
    </row>
    <row r="22" ht="15.75" customHeight="1">
      <c r="A22" s="1">
        <v>0.4677546296296296</v>
      </c>
      <c r="B22">
        <v>36.96157</v>
      </c>
      <c r="C22">
        <v>-25.15653</v>
      </c>
      <c r="D22">
        <v>657.7</v>
      </c>
      <c r="E22">
        <v>43.74</v>
      </c>
      <c r="F22">
        <v>25.83</v>
      </c>
      <c r="G22">
        <v>952.78</v>
      </c>
      <c r="H22">
        <v>3888.0</v>
      </c>
      <c r="I22">
        <v>-11.23</v>
      </c>
      <c r="J22">
        <v>-0.36</v>
      </c>
      <c r="K22">
        <v>-0.71</v>
      </c>
      <c r="L22" s="2">
        <v>667.34</v>
      </c>
      <c r="M22" s="2">
        <v>580.15</v>
      </c>
      <c r="N22" s="2">
        <v>560.69</v>
      </c>
      <c r="O22" s="2">
        <v>538.13</v>
      </c>
      <c r="P22" s="2">
        <v>450.78</v>
      </c>
      <c r="Q22" s="2">
        <v>418.88</v>
      </c>
      <c r="R22" s="2">
        <v>1772.17</v>
      </c>
      <c r="S22" s="2">
        <v>2291.51</v>
      </c>
      <c r="T22" s="2">
        <v>1351.19</v>
      </c>
      <c r="U22" s="2">
        <v>1357.59</v>
      </c>
      <c r="V22" s="2">
        <v>1544.48</v>
      </c>
      <c r="W22" s="2">
        <v>1353.76</v>
      </c>
      <c r="X22">
        <v>4.0</v>
      </c>
      <c r="Y22" s="4">
        <f t="shared" si="1"/>
        <v>1.155620139</v>
      </c>
    </row>
    <row r="23" ht="15.75" customHeight="1">
      <c r="A23" s="1">
        <v>0.46776620370370375</v>
      </c>
      <c r="B23">
        <v>36.961452</v>
      </c>
      <c r="C23">
        <v>-25.156568</v>
      </c>
      <c r="D23">
        <v>654.4</v>
      </c>
      <c r="E23">
        <v>43.4</v>
      </c>
      <c r="F23">
        <v>25.77</v>
      </c>
      <c r="G23">
        <v>953.69</v>
      </c>
      <c r="H23">
        <v>0.0</v>
      </c>
      <c r="I23">
        <v>-10.64</v>
      </c>
      <c r="J23">
        <v>0.75</v>
      </c>
      <c r="K23">
        <v>-1.31</v>
      </c>
      <c r="L23" s="2">
        <v>642.04</v>
      </c>
      <c r="M23" s="2">
        <v>880.3</v>
      </c>
      <c r="N23" s="2">
        <v>638.34</v>
      </c>
      <c r="O23" s="2">
        <v>808.23</v>
      </c>
      <c r="P23" s="2">
        <v>469.26</v>
      </c>
      <c r="Q23" s="2">
        <v>627.12</v>
      </c>
      <c r="R23" s="2">
        <v>1535.34</v>
      </c>
      <c r="S23" s="2">
        <v>1520.86</v>
      </c>
      <c r="T23" s="2">
        <v>965.65</v>
      </c>
      <c r="U23" s="2">
        <v>1020.62</v>
      </c>
      <c r="V23" s="2">
        <v>1046.62</v>
      </c>
      <c r="W23" s="2">
        <v>1280.03</v>
      </c>
      <c r="Y23" s="4">
        <f t="shared" si="1"/>
        <v>1.141313036</v>
      </c>
    </row>
    <row r="24" ht="15.75" customHeight="1">
      <c r="A24" s="1">
        <v>0.4677777777777778</v>
      </c>
      <c r="B24">
        <v>36.96136</v>
      </c>
      <c r="C24">
        <v>-25.156612</v>
      </c>
      <c r="D24">
        <v>648.1</v>
      </c>
      <c r="E24">
        <v>44.21</v>
      </c>
      <c r="F24">
        <v>25.34</v>
      </c>
      <c r="G24">
        <v>954.75</v>
      </c>
      <c r="H24">
        <v>0.0</v>
      </c>
      <c r="I24">
        <v>-10.66</v>
      </c>
      <c r="J24">
        <v>-0.4</v>
      </c>
      <c r="K24">
        <v>-1.34</v>
      </c>
      <c r="L24" s="2">
        <v>514.16</v>
      </c>
      <c r="M24" s="2">
        <v>710.06</v>
      </c>
      <c r="N24" s="2">
        <v>401.96</v>
      </c>
      <c r="O24" s="2">
        <v>444.99</v>
      </c>
      <c r="P24" s="2">
        <v>402.52</v>
      </c>
      <c r="Q24" s="2">
        <v>447.6</v>
      </c>
      <c r="R24" s="2">
        <v>2027.83</v>
      </c>
      <c r="S24" s="2">
        <v>2321.02</v>
      </c>
      <c r="T24" s="2">
        <v>1471.75</v>
      </c>
      <c r="U24" s="2">
        <v>1775.56</v>
      </c>
      <c r="V24" s="2">
        <v>1674.8</v>
      </c>
      <c r="W24" s="2">
        <v>1751.43</v>
      </c>
      <c r="Y24" s="4">
        <f t="shared" si="1"/>
        <v>1.131924755</v>
      </c>
    </row>
    <row r="25" ht="15.75" customHeight="1">
      <c r="A25" s="1">
        <v>0.4677893518518519</v>
      </c>
      <c r="B25">
        <v>36.961231</v>
      </c>
      <c r="C25">
        <v>-25.156637</v>
      </c>
      <c r="D25">
        <v>643.6</v>
      </c>
      <c r="E25">
        <v>44.65</v>
      </c>
      <c r="F25">
        <v>25.36</v>
      </c>
      <c r="G25">
        <v>955.38</v>
      </c>
      <c r="H25">
        <v>2794.0</v>
      </c>
      <c r="I25">
        <v>-9.75</v>
      </c>
      <c r="J25">
        <v>-0.38</v>
      </c>
      <c r="K25">
        <v>-0.54</v>
      </c>
      <c r="L25" s="2">
        <v>733.94</v>
      </c>
      <c r="M25" s="2">
        <v>739.18</v>
      </c>
      <c r="N25" s="2">
        <v>618.93</v>
      </c>
      <c r="O25" s="2">
        <v>659.21</v>
      </c>
      <c r="P25" s="2">
        <v>566.81</v>
      </c>
      <c r="Q25" s="2">
        <v>509.83</v>
      </c>
      <c r="R25" s="2">
        <v>1738.53</v>
      </c>
      <c r="S25" s="2">
        <v>2069.05</v>
      </c>
      <c r="T25" s="2">
        <v>1361.94</v>
      </c>
      <c r="U25" s="2">
        <v>1312.23</v>
      </c>
      <c r="V25" s="2">
        <v>1453.87</v>
      </c>
      <c r="W25" s="2">
        <v>1218.39</v>
      </c>
      <c r="Y25" s="4">
        <f t="shared" si="1"/>
        <v>1.143932679</v>
      </c>
    </row>
    <row r="26" ht="15.75" customHeight="1">
      <c r="A26" s="1">
        <v>0.4678009259259259</v>
      </c>
      <c r="B26">
        <v>36.961093</v>
      </c>
      <c r="C26">
        <v>-25.156654</v>
      </c>
      <c r="D26">
        <v>640.3</v>
      </c>
      <c r="E26">
        <v>44.84</v>
      </c>
      <c r="F26">
        <v>25.18</v>
      </c>
      <c r="G26">
        <v>956.1</v>
      </c>
      <c r="H26">
        <v>3607.0</v>
      </c>
      <c r="I26">
        <v>-10.65</v>
      </c>
      <c r="J26">
        <v>0.57</v>
      </c>
      <c r="K26">
        <v>-1.02</v>
      </c>
      <c r="L26" s="2">
        <v>227.78</v>
      </c>
      <c r="M26" s="2">
        <v>648.47</v>
      </c>
      <c r="N26" s="2">
        <v>173.57</v>
      </c>
      <c r="O26" s="2">
        <v>298.04</v>
      </c>
      <c r="P26" s="2">
        <v>430.24</v>
      </c>
      <c r="Q26" s="2">
        <v>414.09</v>
      </c>
      <c r="R26" s="2">
        <v>1881.16</v>
      </c>
      <c r="S26" s="2">
        <v>2202.98</v>
      </c>
      <c r="T26" s="2">
        <v>1318.97</v>
      </c>
      <c r="U26" s="2">
        <v>1581.16</v>
      </c>
      <c r="V26" s="2">
        <v>1483.39</v>
      </c>
      <c r="W26" s="2">
        <v>1625.72</v>
      </c>
      <c r="Y26" s="4">
        <f t="shared" si="1"/>
        <v>1.135603993</v>
      </c>
    </row>
    <row r="27" ht="15.75" customHeight="1">
      <c r="A27" s="1">
        <v>0.46781249999999996</v>
      </c>
      <c r="B27">
        <v>36.96099</v>
      </c>
      <c r="C27">
        <v>-25.156679</v>
      </c>
      <c r="D27">
        <v>633.3</v>
      </c>
      <c r="E27">
        <v>45.46</v>
      </c>
      <c r="F27">
        <v>24.89</v>
      </c>
      <c r="G27">
        <v>956.92</v>
      </c>
      <c r="H27">
        <v>12750.0</v>
      </c>
      <c r="I27">
        <v>-11.29</v>
      </c>
      <c r="J27">
        <v>-0.29</v>
      </c>
      <c r="K27">
        <v>-0.46</v>
      </c>
      <c r="L27" s="2">
        <v>729.95</v>
      </c>
      <c r="M27" s="2">
        <v>804.14</v>
      </c>
      <c r="N27" s="2">
        <v>520.72</v>
      </c>
      <c r="O27" s="2">
        <v>705.78</v>
      </c>
      <c r="P27" s="2">
        <v>458.99</v>
      </c>
      <c r="Q27" s="2">
        <v>798.26</v>
      </c>
      <c r="R27" s="2">
        <v>2233.71</v>
      </c>
      <c r="S27" s="2">
        <v>2527.58</v>
      </c>
      <c r="T27" s="2">
        <v>1779.71</v>
      </c>
      <c r="U27" s="2">
        <v>1996.97</v>
      </c>
      <c r="V27" s="2">
        <v>1865.19</v>
      </c>
      <c r="W27" s="2">
        <v>1770.77</v>
      </c>
      <c r="Y27" s="4">
        <f t="shared" si="1"/>
        <v>1.130534114</v>
      </c>
    </row>
    <row r="28" ht="15.75" customHeight="1">
      <c r="A28" s="1">
        <v>0.46782407407407406</v>
      </c>
      <c r="B28">
        <v>36.960903</v>
      </c>
      <c r="C28">
        <v>-25.156702</v>
      </c>
      <c r="D28">
        <v>630.2</v>
      </c>
      <c r="E28">
        <v>45.82</v>
      </c>
      <c r="F28">
        <v>24.74</v>
      </c>
      <c r="G28">
        <v>957.77</v>
      </c>
      <c r="H28">
        <v>2961.0</v>
      </c>
      <c r="I28">
        <v>-9.8</v>
      </c>
      <c r="J28">
        <v>-0.3</v>
      </c>
      <c r="K28">
        <v>-0.94</v>
      </c>
      <c r="L28" s="2">
        <v>480.86</v>
      </c>
      <c r="M28" s="2">
        <v>657.42</v>
      </c>
      <c r="N28" s="2">
        <v>396.25</v>
      </c>
      <c r="O28" s="2">
        <v>437.75</v>
      </c>
      <c r="P28" s="2">
        <v>393.28</v>
      </c>
      <c r="Q28" s="2">
        <v>398.53</v>
      </c>
      <c r="R28" s="2">
        <v>1760.06</v>
      </c>
      <c r="S28" s="2">
        <v>2290.37</v>
      </c>
      <c r="T28" s="2">
        <v>1352.39</v>
      </c>
      <c r="U28" s="2">
        <v>1386.75</v>
      </c>
      <c r="V28" s="2">
        <v>1569.93</v>
      </c>
      <c r="W28" s="2">
        <v>1333.21</v>
      </c>
      <c r="Y28" s="4">
        <f t="shared" si="1"/>
        <v>1.128291847</v>
      </c>
    </row>
    <row r="29" ht="15.75" customHeight="1">
      <c r="A29" s="1">
        <v>0.4678356481481481</v>
      </c>
      <c r="B29">
        <v>36.960803</v>
      </c>
      <c r="C29">
        <v>-25.156742</v>
      </c>
      <c r="D29">
        <v>623.5</v>
      </c>
      <c r="E29">
        <v>46.46</v>
      </c>
      <c r="F29">
        <v>24.11</v>
      </c>
      <c r="G29">
        <v>958.82</v>
      </c>
      <c r="H29">
        <v>0.0</v>
      </c>
      <c r="I29">
        <v>-10.82</v>
      </c>
      <c r="J29">
        <v>0.4</v>
      </c>
      <c r="K29">
        <v>-1.29</v>
      </c>
      <c r="L29" s="2">
        <v>594.08</v>
      </c>
      <c r="M29" s="2">
        <v>832.14</v>
      </c>
      <c r="N29" s="2">
        <v>649.76</v>
      </c>
      <c r="O29" s="2">
        <v>754.42</v>
      </c>
      <c r="P29" s="2">
        <v>433.32</v>
      </c>
      <c r="Q29" s="2">
        <v>512.23</v>
      </c>
      <c r="R29" s="2">
        <v>1552.83</v>
      </c>
      <c r="S29" s="2">
        <v>1653.65</v>
      </c>
      <c r="T29" s="2">
        <v>990.72</v>
      </c>
      <c r="U29" s="2">
        <v>1059.51</v>
      </c>
      <c r="V29" s="2">
        <v>1158.62</v>
      </c>
      <c r="W29" s="2">
        <v>1344.09</v>
      </c>
      <c r="Y29" s="4">
        <f t="shared" si="1"/>
        <v>1.100145653</v>
      </c>
    </row>
    <row r="30" ht="15.75" customHeight="1">
      <c r="A30" s="1">
        <v>0.46784722222222225</v>
      </c>
      <c r="B30">
        <v>36.960712</v>
      </c>
      <c r="C30">
        <v>-25.156784</v>
      </c>
      <c r="D30">
        <v>616.0</v>
      </c>
      <c r="E30">
        <v>46.99</v>
      </c>
      <c r="F30">
        <v>23.94</v>
      </c>
      <c r="G30">
        <v>959.4</v>
      </c>
      <c r="H30">
        <v>0.0</v>
      </c>
      <c r="I30">
        <v>-10.0</v>
      </c>
      <c r="J30">
        <v>0.03</v>
      </c>
      <c r="K30">
        <v>-1.1</v>
      </c>
      <c r="L30" s="2">
        <v>596.75</v>
      </c>
      <c r="M30" s="2">
        <v>610.39</v>
      </c>
      <c r="N30" s="2">
        <v>473.9</v>
      </c>
      <c r="O30" s="2">
        <v>503.98</v>
      </c>
      <c r="P30" s="2">
        <v>428.19</v>
      </c>
      <c r="Q30" s="2">
        <v>461.96</v>
      </c>
      <c r="R30" s="2">
        <v>2101.84</v>
      </c>
      <c r="S30" s="2">
        <v>2459.48</v>
      </c>
      <c r="T30" s="2">
        <v>1748.67</v>
      </c>
      <c r="U30" s="2">
        <v>1961.33</v>
      </c>
      <c r="V30" s="2">
        <v>1782.72</v>
      </c>
      <c r="W30" s="2">
        <v>1740.55</v>
      </c>
      <c r="Y30" s="4">
        <f t="shared" si="1"/>
        <v>1.100721595</v>
      </c>
    </row>
    <row r="31" ht="15.75" customHeight="1">
      <c r="A31" s="1">
        <v>0.4678587962962963</v>
      </c>
      <c r="B31">
        <v>36.960605</v>
      </c>
      <c r="C31">
        <v>-25.156806</v>
      </c>
      <c r="D31">
        <v>608.8</v>
      </c>
      <c r="E31">
        <v>47.44</v>
      </c>
      <c r="F31">
        <v>23.54</v>
      </c>
      <c r="G31">
        <v>960.21</v>
      </c>
      <c r="H31">
        <v>12750.0</v>
      </c>
      <c r="I31">
        <v>-10.67</v>
      </c>
      <c r="J31">
        <v>0.34</v>
      </c>
      <c r="K31">
        <v>-1.25</v>
      </c>
      <c r="L31" s="2">
        <v>516.82</v>
      </c>
      <c r="M31" s="2">
        <v>603.67</v>
      </c>
      <c r="N31" s="2">
        <v>520.72</v>
      </c>
      <c r="O31" s="2">
        <v>642.65</v>
      </c>
      <c r="P31" s="2">
        <v>396.36</v>
      </c>
      <c r="Q31" s="2">
        <v>482.31</v>
      </c>
      <c r="R31" s="2">
        <v>834.28</v>
      </c>
      <c r="S31" s="2">
        <v>2244.97</v>
      </c>
      <c r="T31" s="2">
        <v>846.29</v>
      </c>
      <c r="U31" s="2">
        <v>1171.83</v>
      </c>
      <c r="V31" s="2">
        <v>1252.28</v>
      </c>
      <c r="W31" s="2">
        <v>1180.92</v>
      </c>
      <c r="Y31" s="4">
        <f t="shared" si="1"/>
        <v>1.083701634</v>
      </c>
    </row>
    <row r="32" ht="15.75" customHeight="1">
      <c r="A32" s="1">
        <v>0.4678703703703704</v>
      </c>
      <c r="B32">
        <v>36.960475</v>
      </c>
      <c r="C32">
        <v>-25.156839</v>
      </c>
      <c r="D32">
        <v>603.1</v>
      </c>
      <c r="E32">
        <v>48.49</v>
      </c>
      <c r="F32">
        <v>22.99</v>
      </c>
      <c r="G32">
        <v>961.08</v>
      </c>
      <c r="H32">
        <v>2961.0</v>
      </c>
      <c r="I32">
        <v>-10.31</v>
      </c>
      <c r="J32">
        <v>0.47</v>
      </c>
      <c r="K32">
        <v>-1.19</v>
      </c>
      <c r="L32" s="2">
        <v>522.15</v>
      </c>
      <c r="M32" s="2">
        <v>696.62</v>
      </c>
      <c r="N32" s="2">
        <v>411.1</v>
      </c>
      <c r="O32" s="2">
        <v>456.38</v>
      </c>
      <c r="P32" s="2">
        <v>401.49</v>
      </c>
      <c r="Q32" s="2">
        <v>499.06</v>
      </c>
      <c r="R32" s="2">
        <v>273.16</v>
      </c>
      <c r="S32" s="2">
        <v>1683.16</v>
      </c>
      <c r="T32" s="2">
        <v>483.42</v>
      </c>
      <c r="U32" s="2">
        <v>1068.15</v>
      </c>
      <c r="V32" s="2">
        <v>706.57</v>
      </c>
      <c r="W32" s="2">
        <v>960.93</v>
      </c>
      <c r="Y32" s="4">
        <f t="shared" si="1"/>
        <v>1.07033701</v>
      </c>
    </row>
    <row r="33" ht="15.75" customHeight="1">
      <c r="A33" s="1">
        <v>0.4678819444444444</v>
      </c>
      <c r="B33">
        <v>36.96035</v>
      </c>
      <c r="C33">
        <v>-25.156894</v>
      </c>
      <c r="D33">
        <v>598.1</v>
      </c>
      <c r="E33">
        <v>49.87</v>
      </c>
      <c r="F33">
        <v>22.81</v>
      </c>
      <c r="G33">
        <v>961.91</v>
      </c>
      <c r="H33">
        <v>0.0</v>
      </c>
      <c r="I33">
        <v>-10.14</v>
      </c>
      <c r="J33">
        <v>-0.06</v>
      </c>
      <c r="K33">
        <v>-0.9</v>
      </c>
      <c r="L33" s="2">
        <v>572.77</v>
      </c>
      <c r="M33" s="2">
        <v>621.59</v>
      </c>
      <c r="N33" s="2">
        <v>462.48</v>
      </c>
      <c r="O33" s="2">
        <v>470.86</v>
      </c>
      <c r="P33" s="2">
        <v>489.8</v>
      </c>
      <c r="Q33" s="2">
        <v>408.11</v>
      </c>
      <c r="R33" s="2">
        <v>616.29</v>
      </c>
      <c r="S33" s="2">
        <v>1415.31</v>
      </c>
      <c r="T33" s="2">
        <v>691.11</v>
      </c>
      <c r="U33" s="2">
        <v>1013.06</v>
      </c>
      <c r="V33" s="2">
        <v>920.38</v>
      </c>
      <c r="W33" s="2">
        <v>979.06</v>
      </c>
      <c r="Y33" s="4">
        <f t="shared" si="1"/>
        <v>1.088097725</v>
      </c>
    </row>
    <row r="34" ht="15.75" customHeight="1">
      <c r="A34" s="1">
        <v>0.4678935185185185</v>
      </c>
      <c r="B34">
        <v>36.960243</v>
      </c>
      <c r="C34">
        <v>-25.15693</v>
      </c>
      <c r="D34">
        <v>593.6</v>
      </c>
      <c r="E34">
        <v>51.07</v>
      </c>
      <c r="F34">
        <v>22.56</v>
      </c>
      <c r="G34">
        <v>962.9</v>
      </c>
      <c r="H34">
        <v>5070.0</v>
      </c>
      <c r="I34">
        <v>-10.68</v>
      </c>
      <c r="J34">
        <v>0.36</v>
      </c>
      <c r="K34">
        <v>-1.03</v>
      </c>
      <c r="L34" s="2">
        <v>466.21</v>
      </c>
      <c r="M34" s="2">
        <v>906.06</v>
      </c>
      <c r="N34" s="2">
        <v>406.53</v>
      </c>
      <c r="O34" s="2">
        <v>510.19</v>
      </c>
      <c r="P34" s="2">
        <v>438.46</v>
      </c>
      <c r="Q34" s="2">
        <v>531.38</v>
      </c>
      <c r="R34" s="2">
        <v>789.87</v>
      </c>
      <c r="S34" s="2">
        <v>1852.27</v>
      </c>
      <c r="T34" s="2">
        <v>828.38</v>
      </c>
      <c r="U34" s="2">
        <v>1163.19</v>
      </c>
      <c r="V34" s="2">
        <v>930.56</v>
      </c>
      <c r="W34" s="2">
        <v>1072.13</v>
      </c>
      <c r="Y34" s="4">
        <f t="shared" si="1"/>
        <v>1.096446388</v>
      </c>
    </row>
    <row r="35" ht="15.75" customHeight="1">
      <c r="A35" s="1">
        <v>0.46790509259259255</v>
      </c>
      <c r="B35">
        <v>36.960147</v>
      </c>
      <c r="C35">
        <v>-25.156942</v>
      </c>
      <c r="D35">
        <v>589.1</v>
      </c>
      <c r="E35">
        <v>51.88</v>
      </c>
      <c r="F35">
        <v>22.27</v>
      </c>
      <c r="G35">
        <v>963.56</v>
      </c>
      <c r="H35">
        <v>0.0</v>
      </c>
      <c r="I35">
        <v>-10.77</v>
      </c>
      <c r="J35">
        <v>0.15</v>
      </c>
      <c r="K35">
        <v>-1.19</v>
      </c>
      <c r="L35" s="2">
        <v>488.85</v>
      </c>
      <c r="M35" s="2">
        <v>673.1</v>
      </c>
      <c r="N35" s="2">
        <v>399.68</v>
      </c>
      <c r="O35" s="2">
        <v>446.03</v>
      </c>
      <c r="P35" s="2">
        <v>457.97</v>
      </c>
      <c r="Q35" s="2">
        <v>465.55</v>
      </c>
      <c r="R35" s="2">
        <v>801.98</v>
      </c>
      <c r="S35" s="2">
        <v>1432.33</v>
      </c>
      <c r="T35" s="2">
        <v>984.75</v>
      </c>
      <c r="U35" s="2">
        <v>1483.96</v>
      </c>
      <c r="V35" s="2">
        <v>1176.94</v>
      </c>
      <c r="W35" s="2">
        <v>1458.92</v>
      </c>
      <c r="Y35" s="4">
        <f t="shared" si="1"/>
        <v>1.093563238</v>
      </c>
    </row>
    <row r="36" ht="15.75" customHeight="1">
      <c r="A36" s="1">
        <v>0.4679166666666667</v>
      </c>
      <c r="B36">
        <v>36.960037</v>
      </c>
      <c r="C36">
        <v>-25.156953</v>
      </c>
      <c r="D36">
        <v>583.6</v>
      </c>
      <c r="E36">
        <v>53.14</v>
      </c>
      <c r="F36">
        <v>22.44</v>
      </c>
      <c r="G36">
        <v>964.38</v>
      </c>
      <c r="H36">
        <v>3607.0</v>
      </c>
      <c r="I36">
        <v>-9.88</v>
      </c>
      <c r="J36">
        <v>-0.01</v>
      </c>
      <c r="K36">
        <v>-1.03</v>
      </c>
      <c r="L36" s="2">
        <v>508.83</v>
      </c>
      <c r="M36" s="2">
        <v>589.11</v>
      </c>
      <c r="N36" s="2">
        <v>421.37</v>
      </c>
      <c r="O36" s="2">
        <v>452.24</v>
      </c>
      <c r="P36" s="2">
        <v>404.57</v>
      </c>
      <c r="Q36" s="2">
        <v>439.22</v>
      </c>
      <c r="R36" s="2">
        <v>1363.1</v>
      </c>
      <c r="S36" s="2">
        <v>1405.09</v>
      </c>
      <c r="T36" s="2">
        <v>1302.25</v>
      </c>
      <c r="U36" s="2">
        <v>1483.96</v>
      </c>
      <c r="V36" s="2">
        <v>1356.13</v>
      </c>
      <c r="W36" s="2">
        <v>1125.31</v>
      </c>
      <c r="Y36" s="4">
        <f t="shared" si="1"/>
        <v>1.131240165</v>
      </c>
    </row>
    <row r="37" ht="15.75" customHeight="1">
      <c r="A37" s="1">
        <v>0.46792824074074074</v>
      </c>
      <c r="B37">
        <v>36.959926</v>
      </c>
      <c r="C37">
        <v>-25.156955</v>
      </c>
      <c r="D37">
        <v>578.5</v>
      </c>
      <c r="E37">
        <v>53.62</v>
      </c>
      <c r="F37">
        <v>22.37</v>
      </c>
      <c r="G37">
        <v>965.23</v>
      </c>
      <c r="H37">
        <v>5070.0</v>
      </c>
      <c r="I37">
        <v>-9.47</v>
      </c>
      <c r="J37">
        <v>0.33</v>
      </c>
      <c r="K37">
        <v>-0.95</v>
      </c>
      <c r="L37" s="2">
        <v>655.36</v>
      </c>
      <c r="M37" s="2">
        <v>654.07</v>
      </c>
      <c r="N37" s="2">
        <v>551.55</v>
      </c>
      <c r="O37" s="2">
        <v>601.26</v>
      </c>
      <c r="P37" s="2">
        <v>508.28</v>
      </c>
      <c r="Q37" s="2">
        <v>551.72</v>
      </c>
      <c r="R37" s="2">
        <v>1003.82</v>
      </c>
      <c r="S37" s="2">
        <v>1545.83</v>
      </c>
      <c r="T37" s="2">
        <v>1087.4</v>
      </c>
      <c r="U37" s="2">
        <v>1576.84</v>
      </c>
      <c r="V37" s="2">
        <v>1267.55</v>
      </c>
      <c r="W37" s="2">
        <v>1200.26</v>
      </c>
      <c r="Y37" s="4">
        <f t="shared" si="1"/>
        <v>1.135652476</v>
      </c>
    </row>
    <row r="38" ht="15.75" customHeight="1">
      <c r="A38" s="1">
        <v>0.46793981481481484</v>
      </c>
      <c r="B38">
        <v>36.959812</v>
      </c>
      <c r="C38">
        <v>-25.156949</v>
      </c>
      <c r="D38">
        <v>573.8</v>
      </c>
      <c r="E38">
        <v>54.24</v>
      </c>
      <c r="F38">
        <v>21.97</v>
      </c>
      <c r="G38">
        <v>966.08</v>
      </c>
      <c r="H38">
        <v>17016.0</v>
      </c>
      <c r="I38">
        <v>-9.32</v>
      </c>
      <c r="J38">
        <v>0.37</v>
      </c>
      <c r="K38">
        <v>-0.9</v>
      </c>
      <c r="L38" s="2">
        <v>526.15</v>
      </c>
      <c r="M38" s="2">
        <v>824.3</v>
      </c>
      <c r="N38" s="2">
        <v>423.66</v>
      </c>
      <c r="O38" s="2">
        <v>595.05</v>
      </c>
      <c r="P38" s="2">
        <v>565.78</v>
      </c>
      <c r="Q38" s="2">
        <v>584.04</v>
      </c>
      <c r="R38" s="2">
        <v>822.17</v>
      </c>
      <c r="S38" s="2">
        <v>1814.82</v>
      </c>
      <c r="T38" s="2">
        <v>889.26</v>
      </c>
      <c r="U38" s="2">
        <v>1587.64</v>
      </c>
      <c r="V38" s="2">
        <v>1282.83</v>
      </c>
      <c r="W38" s="2">
        <v>1348.93</v>
      </c>
      <c r="Y38" s="4">
        <f t="shared" si="1"/>
        <v>1.119933371</v>
      </c>
    </row>
    <row r="39" ht="15.75" customHeight="1">
      <c r="A39" s="1">
        <v>0.4679513888888889</v>
      </c>
      <c r="B39">
        <v>36.959682</v>
      </c>
      <c r="C39">
        <v>-25.156963</v>
      </c>
      <c r="D39">
        <v>567.2</v>
      </c>
      <c r="E39">
        <v>55.17</v>
      </c>
      <c r="F39">
        <v>21.6</v>
      </c>
      <c r="G39">
        <v>967.1</v>
      </c>
      <c r="H39">
        <v>2961.0</v>
      </c>
      <c r="I39">
        <v>-10.66</v>
      </c>
      <c r="J39">
        <v>0.56</v>
      </c>
      <c r="K39">
        <v>-0.71</v>
      </c>
      <c r="L39" s="2">
        <v>432.91</v>
      </c>
      <c r="M39" s="2">
        <v>844.46</v>
      </c>
      <c r="N39" s="2">
        <v>333.45</v>
      </c>
      <c r="O39" s="2">
        <v>498.8</v>
      </c>
      <c r="P39" s="2">
        <v>453.86</v>
      </c>
      <c r="Q39" s="2">
        <v>524.2</v>
      </c>
      <c r="R39" s="2">
        <v>952.69</v>
      </c>
      <c r="S39" s="2">
        <v>1618.47</v>
      </c>
      <c r="T39" s="2">
        <v>904.77</v>
      </c>
      <c r="U39" s="2">
        <v>1475.31</v>
      </c>
      <c r="V39" s="2">
        <v>1386.67</v>
      </c>
      <c r="W39" s="2">
        <v>1322.34</v>
      </c>
      <c r="Y39" s="4">
        <f t="shared" si="1"/>
        <v>1.112380941</v>
      </c>
    </row>
    <row r="40" ht="15.75" customHeight="1">
      <c r="A40" s="1">
        <v>0.46796296296296297</v>
      </c>
      <c r="B40">
        <v>36.959552</v>
      </c>
      <c r="C40">
        <v>-25.15699</v>
      </c>
      <c r="D40">
        <v>563.8</v>
      </c>
      <c r="E40">
        <v>55.79</v>
      </c>
      <c r="F40">
        <v>21.52</v>
      </c>
      <c r="G40">
        <v>967.86</v>
      </c>
      <c r="H40">
        <v>3150.0</v>
      </c>
      <c r="I40">
        <v>-10.44</v>
      </c>
      <c r="J40">
        <v>-0.36</v>
      </c>
      <c r="K40">
        <v>-0.98</v>
      </c>
      <c r="L40" s="2">
        <v>117.22</v>
      </c>
      <c r="M40" s="2">
        <v>295.67</v>
      </c>
      <c r="N40" s="2">
        <v>156.45</v>
      </c>
      <c r="O40" s="2">
        <v>262.86</v>
      </c>
      <c r="P40" s="2">
        <v>244.39</v>
      </c>
      <c r="Q40" s="2">
        <v>453.59</v>
      </c>
      <c r="R40" s="2">
        <v>692.99</v>
      </c>
      <c r="S40" s="2">
        <v>1637.76</v>
      </c>
      <c r="T40" s="2">
        <v>746.02</v>
      </c>
      <c r="U40" s="2">
        <v>1472.07</v>
      </c>
      <c r="V40" s="2">
        <v>1384.64</v>
      </c>
      <c r="W40" s="2">
        <v>1431.12</v>
      </c>
      <c r="Y40" s="4">
        <f t="shared" si="1"/>
        <v>1.118569355</v>
      </c>
    </row>
    <row r="41" ht="15.75" customHeight="1">
      <c r="A41" s="1">
        <v>0.467974537037037</v>
      </c>
      <c r="B41">
        <v>36.959445</v>
      </c>
      <c r="C41">
        <v>-25.157032</v>
      </c>
      <c r="D41">
        <v>558.4</v>
      </c>
      <c r="E41">
        <v>56.25</v>
      </c>
      <c r="F41">
        <v>21.74</v>
      </c>
      <c r="G41">
        <v>968.82</v>
      </c>
      <c r="H41">
        <v>3150.0</v>
      </c>
      <c r="I41">
        <v>-10.82</v>
      </c>
      <c r="J41">
        <v>0.11</v>
      </c>
      <c r="K41">
        <v>-1.25</v>
      </c>
      <c r="L41" s="2">
        <v>210.46</v>
      </c>
      <c r="M41" s="2">
        <v>544.31</v>
      </c>
      <c r="N41" s="2">
        <v>199.84</v>
      </c>
      <c r="O41" s="2">
        <v>362.2</v>
      </c>
      <c r="P41" s="2">
        <v>396.36</v>
      </c>
      <c r="Q41" s="2">
        <v>485.9</v>
      </c>
      <c r="R41" s="2">
        <v>348.51</v>
      </c>
      <c r="S41" s="2">
        <v>1839.79</v>
      </c>
      <c r="T41" s="2">
        <v>444.03</v>
      </c>
      <c r="U41" s="2">
        <v>1092.99</v>
      </c>
      <c r="V41" s="2">
        <v>831.8</v>
      </c>
      <c r="W41" s="2">
        <v>1336.84</v>
      </c>
      <c r="Y41" s="4">
        <f t="shared" si="1"/>
        <v>1.142228056</v>
      </c>
    </row>
    <row r="42" ht="15.75" customHeight="1">
      <c r="A42" s="1">
        <v>0.46798611111111116</v>
      </c>
      <c r="B42">
        <v>36.95935</v>
      </c>
      <c r="C42">
        <v>-25.157077</v>
      </c>
      <c r="D42">
        <v>551.8</v>
      </c>
      <c r="E42">
        <v>56.47</v>
      </c>
      <c r="F42">
        <v>21.49</v>
      </c>
      <c r="G42">
        <v>969.67</v>
      </c>
      <c r="H42">
        <v>0.0</v>
      </c>
      <c r="I42">
        <v>-10.34</v>
      </c>
      <c r="J42">
        <v>0.29</v>
      </c>
      <c r="K42">
        <v>-0.97</v>
      </c>
      <c r="L42" s="2">
        <v>167.83</v>
      </c>
      <c r="M42" s="2">
        <v>512.95</v>
      </c>
      <c r="N42" s="2">
        <v>171.29</v>
      </c>
      <c r="O42" s="2">
        <v>309.42</v>
      </c>
      <c r="P42" s="2">
        <v>380.95</v>
      </c>
      <c r="Q42" s="2">
        <v>455.98</v>
      </c>
      <c r="R42" s="2">
        <v>398.3</v>
      </c>
      <c r="S42" s="2">
        <v>1827.3</v>
      </c>
      <c r="T42" s="2">
        <v>537.14</v>
      </c>
      <c r="U42" s="2">
        <v>1235.55</v>
      </c>
      <c r="V42" s="2">
        <v>1091.42</v>
      </c>
      <c r="W42" s="2">
        <v>1437.16</v>
      </c>
      <c r="Y42" s="4">
        <f t="shared" si="1"/>
        <v>1.128119386</v>
      </c>
    </row>
    <row r="43" ht="15.75" customHeight="1">
      <c r="A43" s="1">
        <v>0.4679976851851852</v>
      </c>
      <c r="B43">
        <v>36.959262</v>
      </c>
      <c r="C43">
        <v>-25.157108</v>
      </c>
      <c r="D43">
        <v>546.1</v>
      </c>
      <c r="E43">
        <v>56.84</v>
      </c>
      <c r="F43">
        <v>21.19</v>
      </c>
      <c r="G43">
        <v>970.48</v>
      </c>
      <c r="H43">
        <v>0.0</v>
      </c>
      <c r="I43">
        <v>-10.39</v>
      </c>
      <c r="J43">
        <v>0.62</v>
      </c>
      <c r="K43">
        <v>-0.73</v>
      </c>
      <c r="L43" s="2">
        <v>181.16</v>
      </c>
      <c r="M43" s="2">
        <v>455.83</v>
      </c>
      <c r="N43" s="2">
        <v>178.14</v>
      </c>
      <c r="O43" s="2">
        <v>327.02</v>
      </c>
      <c r="P43" s="2">
        <v>357.34</v>
      </c>
      <c r="Q43" s="2">
        <v>478.72</v>
      </c>
      <c r="R43" s="2">
        <v>414.45</v>
      </c>
      <c r="S43" s="2">
        <v>1882.92</v>
      </c>
      <c r="T43" s="2">
        <v>583.69</v>
      </c>
      <c r="U43" s="2">
        <v>1334.91</v>
      </c>
      <c r="V43" s="2">
        <v>849.11</v>
      </c>
      <c r="W43" s="2">
        <v>1419.03</v>
      </c>
      <c r="Y43" s="4">
        <f t="shared" si="1"/>
        <v>1.113698539</v>
      </c>
    </row>
    <row r="44" ht="15.75" customHeight="1">
      <c r="A44" s="1">
        <v>0.4680092592592593</v>
      </c>
      <c r="B44">
        <v>36.959182</v>
      </c>
      <c r="C44">
        <v>-25.157125</v>
      </c>
      <c r="D44">
        <v>539.8</v>
      </c>
      <c r="E44">
        <v>57.56</v>
      </c>
      <c r="F44">
        <v>20.95</v>
      </c>
      <c r="G44">
        <v>971.61</v>
      </c>
      <c r="H44">
        <v>0.0</v>
      </c>
      <c r="I44">
        <v>-10.1</v>
      </c>
      <c r="J44">
        <v>0.04</v>
      </c>
      <c r="K44">
        <v>-1.2</v>
      </c>
      <c r="L44" s="2">
        <v>181.16</v>
      </c>
      <c r="M44" s="2">
        <v>460.31</v>
      </c>
      <c r="N44" s="2">
        <v>178.14</v>
      </c>
      <c r="O44" s="2">
        <v>325.98</v>
      </c>
      <c r="P44" s="2">
        <v>362.47</v>
      </c>
      <c r="Q44" s="2">
        <v>479.91</v>
      </c>
      <c r="R44" s="2">
        <v>531.52</v>
      </c>
      <c r="S44" s="2">
        <v>1896.54</v>
      </c>
      <c r="T44" s="2">
        <v>586.07</v>
      </c>
      <c r="U44" s="2">
        <v>1414.83</v>
      </c>
      <c r="V44" s="2">
        <v>939.72</v>
      </c>
      <c r="W44" s="2">
        <v>1332.01</v>
      </c>
      <c r="Y44" s="4">
        <f t="shared" si="1"/>
        <v>1.109941151</v>
      </c>
    </row>
    <row r="45" ht="15.75" customHeight="1">
      <c r="A45" s="1">
        <v>0.46802083333333333</v>
      </c>
      <c r="B45">
        <v>36.959064</v>
      </c>
      <c r="C45">
        <v>-25.157159</v>
      </c>
      <c r="D45">
        <v>531.7</v>
      </c>
      <c r="E45">
        <v>57.96</v>
      </c>
      <c r="F45">
        <v>20.88</v>
      </c>
      <c r="G45">
        <v>972.18</v>
      </c>
      <c r="H45">
        <v>3150.0</v>
      </c>
      <c r="I45">
        <v>-10.06</v>
      </c>
      <c r="J45">
        <v>0.43</v>
      </c>
      <c r="K45">
        <v>-1.06</v>
      </c>
      <c r="L45" s="2">
        <v>166.5</v>
      </c>
      <c r="M45" s="2">
        <v>456.95</v>
      </c>
      <c r="N45" s="2">
        <v>173.57</v>
      </c>
      <c r="O45" s="2">
        <v>310.46</v>
      </c>
      <c r="P45" s="2">
        <v>352.2</v>
      </c>
      <c r="Q45" s="2">
        <v>441.62</v>
      </c>
      <c r="R45" s="2">
        <v>558.43</v>
      </c>
      <c r="S45" s="2">
        <v>1884.05</v>
      </c>
      <c r="T45" s="2">
        <v>645.76</v>
      </c>
      <c r="U45" s="2">
        <v>1465.59</v>
      </c>
      <c r="V45" s="2">
        <v>1062.91</v>
      </c>
      <c r="W45" s="2">
        <v>1317.5</v>
      </c>
      <c r="Y45" s="4">
        <f t="shared" si="1"/>
        <v>1.112217981</v>
      </c>
    </row>
    <row r="46" ht="15.75" customHeight="1">
      <c r="A46" s="1">
        <v>0.4680324074074074</v>
      </c>
      <c r="B46">
        <v>36.95893</v>
      </c>
      <c r="C46">
        <v>-25.157203</v>
      </c>
      <c r="D46">
        <v>528.4</v>
      </c>
      <c r="E46">
        <v>58.52</v>
      </c>
      <c r="F46">
        <v>20.74</v>
      </c>
      <c r="G46">
        <v>973.17</v>
      </c>
      <c r="H46">
        <v>3150.0</v>
      </c>
      <c r="I46">
        <v>-10.49</v>
      </c>
      <c r="J46">
        <v>-0.1</v>
      </c>
      <c r="K46">
        <v>-1.22</v>
      </c>
      <c r="L46" s="2">
        <v>170.5</v>
      </c>
      <c r="M46" s="2">
        <v>468.15</v>
      </c>
      <c r="N46" s="2">
        <v>174.72</v>
      </c>
      <c r="O46" s="2">
        <v>308.39</v>
      </c>
      <c r="P46" s="2">
        <v>334.75</v>
      </c>
      <c r="Q46" s="2">
        <v>422.47</v>
      </c>
      <c r="R46" s="2">
        <v>287.96</v>
      </c>
      <c r="S46" s="2">
        <v>1873.84</v>
      </c>
      <c r="T46" s="2">
        <v>442.84</v>
      </c>
      <c r="U46" s="2">
        <v>1027.1</v>
      </c>
      <c r="V46" s="2">
        <v>823.66</v>
      </c>
      <c r="W46" s="2">
        <v>1190.59</v>
      </c>
      <c r="Y46" s="4">
        <f t="shared" si="1"/>
        <v>1.112180188</v>
      </c>
    </row>
    <row r="47" ht="15.75" customHeight="1">
      <c r="A47" s="1">
        <v>0.46804398148148146</v>
      </c>
      <c r="B47">
        <v>36.958816</v>
      </c>
      <c r="C47">
        <v>-25.15726</v>
      </c>
      <c r="D47">
        <v>524.6</v>
      </c>
      <c r="E47">
        <v>58.95</v>
      </c>
      <c r="F47">
        <v>20.92</v>
      </c>
      <c r="G47">
        <v>974.05</v>
      </c>
      <c r="H47">
        <v>4604.0</v>
      </c>
      <c r="I47">
        <v>-9.72</v>
      </c>
      <c r="J47">
        <v>0.04</v>
      </c>
      <c r="K47">
        <v>-1.03</v>
      </c>
      <c r="L47" s="2">
        <v>210.46</v>
      </c>
      <c r="M47" s="2">
        <v>558.87</v>
      </c>
      <c r="N47" s="2">
        <v>189.56</v>
      </c>
      <c r="O47" s="2">
        <v>337.37</v>
      </c>
      <c r="P47" s="2">
        <v>357.34</v>
      </c>
      <c r="Q47" s="2">
        <v>420.08</v>
      </c>
      <c r="R47" s="2">
        <v>302.76</v>
      </c>
      <c r="S47" s="2">
        <v>1588.96</v>
      </c>
      <c r="T47" s="2">
        <v>429.71</v>
      </c>
      <c r="U47" s="2">
        <v>1027.1</v>
      </c>
      <c r="V47" s="2">
        <v>593.56</v>
      </c>
      <c r="W47" s="2">
        <v>1172.45</v>
      </c>
      <c r="Y47" s="4">
        <f t="shared" si="1"/>
        <v>1.132051541</v>
      </c>
    </row>
    <row r="48" ht="15.75" customHeight="1">
      <c r="A48" s="1">
        <v>0.4680555555555555</v>
      </c>
      <c r="B48">
        <v>36.958705</v>
      </c>
      <c r="C48">
        <v>-25.157325</v>
      </c>
      <c r="D48">
        <v>520.2</v>
      </c>
      <c r="E48">
        <v>59.01</v>
      </c>
      <c r="F48">
        <v>20.9</v>
      </c>
      <c r="G48">
        <v>974.94</v>
      </c>
      <c r="H48">
        <v>2961.0</v>
      </c>
      <c r="I48">
        <v>-10.15</v>
      </c>
      <c r="J48">
        <v>0.37</v>
      </c>
      <c r="K48">
        <v>-0.92</v>
      </c>
      <c r="L48" s="2">
        <v>197.14</v>
      </c>
      <c r="M48" s="2">
        <v>535.35</v>
      </c>
      <c r="N48" s="2">
        <v>182.71</v>
      </c>
      <c r="O48" s="2">
        <v>322.88</v>
      </c>
      <c r="P48" s="2">
        <v>355.28</v>
      </c>
      <c r="Q48" s="2">
        <v>417.68</v>
      </c>
      <c r="R48" s="2">
        <v>1060.34</v>
      </c>
      <c r="S48" s="2">
        <v>1566.26</v>
      </c>
      <c r="T48" s="2">
        <v>1138.73</v>
      </c>
      <c r="U48" s="2">
        <v>1554.16</v>
      </c>
      <c r="V48" s="2">
        <v>1213.59</v>
      </c>
      <c r="W48" s="2">
        <v>1096.31</v>
      </c>
      <c r="Y48" s="4">
        <f t="shared" si="1"/>
        <v>1.1307608</v>
      </c>
    </row>
    <row r="49" ht="15.75" customHeight="1">
      <c r="A49" s="1">
        <v>0.46806712962962965</v>
      </c>
      <c r="B49">
        <v>36.958595</v>
      </c>
      <c r="C49">
        <v>-25.157386</v>
      </c>
      <c r="D49">
        <v>515.0</v>
      </c>
      <c r="E49">
        <v>59.36</v>
      </c>
      <c r="F49">
        <v>20.85</v>
      </c>
      <c r="G49">
        <v>975.94</v>
      </c>
      <c r="H49">
        <v>0.0</v>
      </c>
      <c r="I49">
        <v>-9.52</v>
      </c>
      <c r="J49">
        <v>0.32</v>
      </c>
      <c r="K49">
        <v>-0.95</v>
      </c>
      <c r="L49" s="2">
        <v>190.48</v>
      </c>
      <c r="M49" s="2">
        <v>503.99</v>
      </c>
      <c r="N49" s="2">
        <v>181.57</v>
      </c>
      <c r="O49" s="2">
        <v>319.77</v>
      </c>
      <c r="P49" s="2">
        <v>338.85</v>
      </c>
      <c r="Q49" s="2">
        <v>410.5</v>
      </c>
      <c r="R49" s="2">
        <v>251.63</v>
      </c>
      <c r="S49" s="2">
        <v>1473.19</v>
      </c>
      <c r="T49" s="2">
        <v>341.38</v>
      </c>
      <c r="U49" s="2">
        <v>591.85</v>
      </c>
      <c r="V49" s="2">
        <v>578.29</v>
      </c>
      <c r="W49" s="2">
        <v>800.17</v>
      </c>
      <c r="Y49" s="4">
        <f t="shared" si="1"/>
        <v>1.132829655</v>
      </c>
    </row>
    <row r="50" ht="15.75" customHeight="1">
      <c r="A50" s="1">
        <v>0.4680787037037037</v>
      </c>
      <c r="B50">
        <v>36.958499</v>
      </c>
      <c r="C50">
        <v>-25.157409</v>
      </c>
      <c r="D50">
        <v>513.3</v>
      </c>
      <c r="E50">
        <v>59.49</v>
      </c>
      <c r="F50">
        <v>20.75</v>
      </c>
      <c r="G50">
        <v>976.72</v>
      </c>
      <c r="H50">
        <v>0.0</v>
      </c>
      <c r="I50">
        <v>-10.32</v>
      </c>
      <c r="J50">
        <v>0.45</v>
      </c>
      <c r="K50">
        <v>-1.12</v>
      </c>
      <c r="L50" s="2">
        <v>201.14</v>
      </c>
      <c r="M50" s="2">
        <v>496.15</v>
      </c>
      <c r="N50" s="2">
        <v>184.99</v>
      </c>
      <c r="O50" s="2">
        <v>325.98</v>
      </c>
      <c r="P50" s="2">
        <v>352.2</v>
      </c>
      <c r="Q50" s="2">
        <v>414.09</v>
      </c>
      <c r="R50" s="2">
        <v>332.37</v>
      </c>
      <c r="S50" s="2">
        <v>1812.55</v>
      </c>
      <c r="T50" s="2">
        <v>413.0</v>
      </c>
      <c r="U50" s="2">
        <v>989.3</v>
      </c>
      <c r="V50" s="2">
        <v>815.51</v>
      </c>
      <c r="W50" s="2">
        <v>1276.4</v>
      </c>
      <c r="Y50" s="4">
        <f t="shared" si="1"/>
        <v>1.127370234</v>
      </c>
    </row>
    <row r="51" ht="15.75" customHeight="1">
      <c r="A51" s="1">
        <v>0.4680902777777778</v>
      </c>
      <c r="B51">
        <v>36.958415</v>
      </c>
      <c r="C51">
        <v>-25.157411</v>
      </c>
      <c r="D51">
        <v>506.5</v>
      </c>
      <c r="E51">
        <v>59.68</v>
      </c>
      <c r="F51">
        <v>20.74</v>
      </c>
      <c r="G51">
        <v>977.34</v>
      </c>
      <c r="H51">
        <v>0.0</v>
      </c>
      <c r="I51">
        <v>-10.5</v>
      </c>
      <c r="J51">
        <v>-0.54</v>
      </c>
      <c r="K51">
        <v>-0.99</v>
      </c>
      <c r="L51" s="2">
        <v>211.79</v>
      </c>
      <c r="M51" s="2">
        <v>565.59</v>
      </c>
      <c r="N51" s="2">
        <v>191.85</v>
      </c>
      <c r="O51" s="2">
        <v>343.57</v>
      </c>
      <c r="P51" s="2">
        <v>345.02</v>
      </c>
      <c r="Q51" s="2">
        <v>423.67</v>
      </c>
      <c r="R51" s="2">
        <v>573.23</v>
      </c>
      <c r="S51" s="2">
        <v>1851.14</v>
      </c>
      <c r="T51" s="2">
        <v>568.17</v>
      </c>
      <c r="U51" s="2">
        <v>1273.35</v>
      </c>
      <c r="V51" s="2">
        <v>1190.18</v>
      </c>
      <c r="W51" s="2">
        <v>1456.5</v>
      </c>
      <c r="Y51" s="4">
        <f t="shared" si="1"/>
        <v>1.129581117</v>
      </c>
    </row>
    <row r="52" ht="15.75" customHeight="1">
      <c r="A52" s="1">
        <v>0.4681018518518518</v>
      </c>
      <c r="B52">
        <v>36.958305</v>
      </c>
      <c r="C52">
        <v>-25.157411</v>
      </c>
      <c r="D52">
        <v>501.1</v>
      </c>
      <c r="E52">
        <v>59.88</v>
      </c>
      <c r="F52">
        <v>20.86</v>
      </c>
      <c r="G52">
        <v>978.49</v>
      </c>
      <c r="H52">
        <v>3150.0</v>
      </c>
      <c r="I52">
        <v>-10.18</v>
      </c>
      <c r="J52">
        <v>-0.53</v>
      </c>
      <c r="K52">
        <v>-0.49</v>
      </c>
      <c r="L52" s="2">
        <v>221.12</v>
      </c>
      <c r="M52" s="2">
        <v>608.15</v>
      </c>
      <c r="N52" s="2">
        <v>195.27</v>
      </c>
      <c r="O52" s="2">
        <v>348.75</v>
      </c>
      <c r="P52" s="2">
        <v>354.26</v>
      </c>
      <c r="Q52" s="2">
        <v>426.06</v>
      </c>
      <c r="R52" s="2">
        <v>1301.2</v>
      </c>
      <c r="S52" s="2">
        <v>1456.17</v>
      </c>
      <c r="T52" s="2">
        <v>972.81</v>
      </c>
      <c r="U52" s="2">
        <v>1206.39</v>
      </c>
      <c r="V52" s="2">
        <v>1162.69</v>
      </c>
      <c r="W52" s="2">
        <v>1002.03</v>
      </c>
      <c r="Y52" s="4">
        <f t="shared" si="1"/>
        <v>1.140565179</v>
      </c>
    </row>
    <row r="53" ht="15.75" customHeight="1">
      <c r="A53" s="1">
        <v>0.4681134259259259</v>
      </c>
      <c r="B53">
        <v>36.95819</v>
      </c>
      <c r="C53">
        <v>-25.157444</v>
      </c>
      <c r="D53">
        <v>496.4</v>
      </c>
      <c r="E53">
        <v>59.98</v>
      </c>
      <c r="F53">
        <v>20.92</v>
      </c>
      <c r="G53">
        <v>979.38</v>
      </c>
      <c r="H53">
        <v>2794.0</v>
      </c>
      <c r="I53">
        <v>-11.15</v>
      </c>
      <c r="J53">
        <v>-0.2</v>
      </c>
      <c r="K53">
        <v>-1.26</v>
      </c>
      <c r="L53" s="2">
        <v>251.75</v>
      </c>
      <c r="M53" s="2">
        <v>590.23</v>
      </c>
      <c r="N53" s="2">
        <v>207.83</v>
      </c>
      <c r="O53" s="2">
        <v>359.1</v>
      </c>
      <c r="P53" s="2">
        <v>353.23</v>
      </c>
      <c r="Q53" s="2">
        <v>426.06</v>
      </c>
      <c r="R53" s="2">
        <v>1259.49</v>
      </c>
      <c r="S53" s="2">
        <v>1554.91</v>
      </c>
      <c r="T53" s="2">
        <v>935.81</v>
      </c>
      <c r="U53" s="2">
        <v>1345.71</v>
      </c>
      <c r="V53" s="2">
        <v>1417.22</v>
      </c>
      <c r="W53" s="2">
        <v>1096.31</v>
      </c>
      <c r="Y53" s="4">
        <f t="shared" si="1"/>
        <v>1.14571752</v>
      </c>
    </row>
    <row r="54" ht="15.75" customHeight="1">
      <c r="A54" s="1">
        <v>0.46812499999999996</v>
      </c>
      <c r="B54">
        <v>36.95808</v>
      </c>
      <c r="C54">
        <v>-25.15748</v>
      </c>
      <c r="D54">
        <v>490.3</v>
      </c>
      <c r="E54">
        <v>60.01</v>
      </c>
      <c r="F54">
        <v>20.72</v>
      </c>
      <c r="G54">
        <v>980.52</v>
      </c>
      <c r="H54">
        <v>3888.0</v>
      </c>
      <c r="I54">
        <v>-10.75</v>
      </c>
      <c r="J54">
        <v>0.32</v>
      </c>
      <c r="K54">
        <v>-1.02</v>
      </c>
      <c r="L54" s="2">
        <v>329.01</v>
      </c>
      <c r="M54" s="2">
        <v>638.39</v>
      </c>
      <c r="N54" s="2">
        <v>255.79</v>
      </c>
      <c r="O54" s="2">
        <v>422.22</v>
      </c>
      <c r="P54" s="2">
        <v>427.16</v>
      </c>
      <c r="Q54" s="2">
        <v>442.81</v>
      </c>
      <c r="R54" s="2">
        <v>1013.24</v>
      </c>
      <c r="S54" s="2">
        <v>1484.54</v>
      </c>
      <c r="T54" s="2">
        <v>769.89</v>
      </c>
      <c r="U54" s="2">
        <v>1308.99</v>
      </c>
      <c r="V54" s="2">
        <v>1378.53</v>
      </c>
      <c r="W54" s="2">
        <v>1226.85</v>
      </c>
      <c r="Y54" s="4">
        <f t="shared" si="1"/>
        <v>1.130760634</v>
      </c>
    </row>
    <row r="55" ht="15.75" customHeight="1">
      <c r="A55" s="1">
        <v>0.4681365740740741</v>
      </c>
      <c r="B55">
        <v>36.957992</v>
      </c>
      <c r="C55">
        <v>-25.157489</v>
      </c>
      <c r="D55">
        <v>483.9</v>
      </c>
      <c r="E55">
        <v>60.31</v>
      </c>
      <c r="F55">
        <v>20.57</v>
      </c>
      <c r="G55">
        <v>981.19</v>
      </c>
      <c r="H55">
        <v>0.0</v>
      </c>
      <c r="I55">
        <v>-10.49</v>
      </c>
      <c r="J55">
        <v>0.6</v>
      </c>
      <c r="K55">
        <v>-0.73</v>
      </c>
      <c r="L55" s="2">
        <v>170.5</v>
      </c>
      <c r="M55" s="2">
        <v>521.91</v>
      </c>
      <c r="N55" s="2">
        <v>173.57</v>
      </c>
      <c r="O55" s="2">
        <v>303.22</v>
      </c>
      <c r="P55" s="2">
        <v>338.85</v>
      </c>
      <c r="Q55" s="2">
        <v>398.53</v>
      </c>
      <c r="R55" s="2">
        <v>1014.59</v>
      </c>
      <c r="S55" s="2">
        <v>1481.14</v>
      </c>
      <c r="T55" s="2">
        <v>761.54</v>
      </c>
      <c r="U55" s="2">
        <v>1258.23</v>
      </c>
      <c r="V55" s="2">
        <v>1321.51</v>
      </c>
      <c r="W55" s="2">
        <v>1183.33</v>
      </c>
      <c r="Y55" s="4">
        <f t="shared" si="1"/>
        <v>1.125107379</v>
      </c>
    </row>
    <row r="56" ht="15.75" customHeight="1">
      <c r="A56" s="1">
        <v>0.46814814814814815</v>
      </c>
      <c r="B56">
        <v>36.957893</v>
      </c>
      <c r="C56">
        <v>-25.157495</v>
      </c>
      <c r="D56">
        <v>476.0</v>
      </c>
      <c r="E56">
        <v>60.68</v>
      </c>
      <c r="F56">
        <v>20.43</v>
      </c>
      <c r="G56">
        <v>982.11</v>
      </c>
      <c r="H56">
        <v>0.0</v>
      </c>
      <c r="I56">
        <v>-9.84</v>
      </c>
      <c r="J56">
        <v>0.57</v>
      </c>
      <c r="K56">
        <v>-0.84</v>
      </c>
      <c r="L56" s="2">
        <v>254.42</v>
      </c>
      <c r="M56" s="2">
        <v>584.63</v>
      </c>
      <c r="N56" s="2">
        <v>213.54</v>
      </c>
      <c r="O56" s="2">
        <v>370.48</v>
      </c>
      <c r="P56" s="2">
        <v>367.61</v>
      </c>
      <c r="Q56" s="2">
        <v>428.45</v>
      </c>
      <c r="R56" s="2">
        <v>1072.45</v>
      </c>
      <c r="S56" s="2">
        <v>1546.97</v>
      </c>
      <c r="T56" s="2">
        <v>878.51</v>
      </c>
      <c r="U56" s="2">
        <v>1509.88</v>
      </c>
      <c r="V56" s="2">
        <v>1432.49</v>
      </c>
      <c r="W56" s="2">
        <v>1292.12</v>
      </c>
      <c r="Y56" s="4">
        <f t="shared" si="1"/>
        <v>1.121162571</v>
      </c>
    </row>
    <row r="57" ht="15.75" customHeight="1">
      <c r="A57" s="1">
        <v>0.46815972222222224</v>
      </c>
      <c r="B57">
        <v>36.957767</v>
      </c>
      <c r="C57">
        <v>-25.157524</v>
      </c>
      <c r="D57">
        <v>471.2</v>
      </c>
      <c r="E57">
        <v>61.16</v>
      </c>
      <c r="F57">
        <v>20.4</v>
      </c>
      <c r="G57">
        <v>983.02</v>
      </c>
      <c r="H57">
        <v>2961.0</v>
      </c>
      <c r="I57">
        <v>-10.28</v>
      </c>
      <c r="J57">
        <v>-0.03</v>
      </c>
      <c r="K57">
        <v>-1.18</v>
      </c>
      <c r="L57" s="2">
        <v>209.13</v>
      </c>
      <c r="M57" s="2">
        <v>548.79</v>
      </c>
      <c r="N57" s="2">
        <v>187.28</v>
      </c>
      <c r="O57" s="2">
        <v>343.57</v>
      </c>
      <c r="P57" s="2">
        <v>386.09</v>
      </c>
      <c r="Q57" s="2">
        <v>442.81</v>
      </c>
      <c r="R57" s="2">
        <v>1465.37</v>
      </c>
      <c r="S57" s="2">
        <v>1440.28</v>
      </c>
      <c r="T57" s="2">
        <v>1163.79</v>
      </c>
      <c r="U57" s="2">
        <v>1339.23</v>
      </c>
      <c r="V57" s="2">
        <v>1302.17</v>
      </c>
      <c r="W57" s="2">
        <v>969.39</v>
      </c>
      <c r="Y57" s="4">
        <f t="shared" si="1"/>
        <v>1.126957161</v>
      </c>
    </row>
    <row r="58" ht="15.75" customHeight="1">
      <c r="A58" s="1">
        <v>0.4681712962962963</v>
      </c>
      <c r="B58">
        <v>36.957637</v>
      </c>
      <c r="C58">
        <v>-25.157571</v>
      </c>
      <c r="D58">
        <v>466.5</v>
      </c>
      <c r="E58">
        <v>61.34</v>
      </c>
      <c r="F58">
        <v>20.39</v>
      </c>
      <c r="G58">
        <v>983.86</v>
      </c>
      <c r="H58">
        <v>3150.0</v>
      </c>
      <c r="I58">
        <v>-10.84</v>
      </c>
      <c r="J58">
        <v>0.12</v>
      </c>
      <c r="K58">
        <v>-1.29</v>
      </c>
      <c r="L58" s="2">
        <v>287.72</v>
      </c>
      <c r="M58" s="2">
        <v>559.99</v>
      </c>
      <c r="N58" s="2">
        <v>235.24</v>
      </c>
      <c r="O58" s="2">
        <v>421.19</v>
      </c>
      <c r="P58" s="2">
        <v>425.11</v>
      </c>
      <c r="Q58" s="2">
        <v>463.16</v>
      </c>
      <c r="R58" s="2">
        <v>1395.4</v>
      </c>
      <c r="S58" s="2">
        <v>1731.97</v>
      </c>
      <c r="T58" s="2">
        <v>1125.6</v>
      </c>
      <c r="U58" s="2">
        <v>1496.92</v>
      </c>
      <c r="V58" s="2">
        <v>1137.24</v>
      </c>
      <c r="W58" s="2">
        <v>1600.34</v>
      </c>
      <c r="Y58" s="4">
        <f t="shared" si="1"/>
        <v>1.128629263</v>
      </c>
    </row>
    <row r="59" ht="15.75" customHeight="1">
      <c r="A59" s="1">
        <v>0.4681828703703704</v>
      </c>
      <c r="B59">
        <v>36.957542</v>
      </c>
      <c r="C59">
        <v>-25.157629</v>
      </c>
      <c r="D59">
        <v>462.1</v>
      </c>
      <c r="E59">
        <v>61.62</v>
      </c>
      <c r="F59">
        <v>20.51</v>
      </c>
      <c r="G59">
        <v>984.89</v>
      </c>
      <c r="H59">
        <v>2961.0</v>
      </c>
      <c r="I59">
        <v>-10.15</v>
      </c>
      <c r="J59">
        <v>-0.24</v>
      </c>
      <c r="K59">
        <v>-1.05</v>
      </c>
      <c r="L59" s="2">
        <v>265.07</v>
      </c>
      <c r="M59" s="2">
        <v>514.07</v>
      </c>
      <c r="N59" s="2">
        <v>212.4</v>
      </c>
      <c r="O59" s="2">
        <v>375.66</v>
      </c>
      <c r="P59" s="2">
        <v>396.36</v>
      </c>
      <c r="Q59" s="2">
        <v>439.22</v>
      </c>
      <c r="R59" s="2">
        <v>806.02</v>
      </c>
      <c r="S59" s="2">
        <v>1184.91</v>
      </c>
      <c r="T59" s="2">
        <v>553.85</v>
      </c>
      <c r="U59" s="2">
        <v>509.77</v>
      </c>
      <c r="V59" s="2">
        <v>1004.88</v>
      </c>
      <c r="W59" s="2">
        <v>472.61</v>
      </c>
      <c r="Y59" s="4">
        <f t="shared" si="1"/>
        <v>1.141171157</v>
      </c>
    </row>
    <row r="60" ht="15.75" customHeight="1">
      <c r="A60" s="1">
        <v>0.4681944444444444</v>
      </c>
      <c r="B60">
        <v>36.957435</v>
      </c>
      <c r="C60">
        <v>-25.15769</v>
      </c>
      <c r="D60">
        <v>454.9</v>
      </c>
      <c r="E60">
        <v>61.66</v>
      </c>
      <c r="F60">
        <v>20.59</v>
      </c>
      <c r="G60">
        <v>985.46</v>
      </c>
      <c r="H60">
        <v>3150.0</v>
      </c>
      <c r="I60">
        <v>-10.46</v>
      </c>
      <c r="J60">
        <v>0.22</v>
      </c>
      <c r="K60">
        <v>-0.08</v>
      </c>
      <c r="L60" s="2">
        <v>294.38</v>
      </c>
      <c r="M60" s="2">
        <v>542.07</v>
      </c>
      <c r="N60" s="2">
        <v>228.39</v>
      </c>
      <c r="O60" s="2">
        <v>391.18</v>
      </c>
      <c r="P60" s="2">
        <v>405.6</v>
      </c>
      <c r="Q60" s="2">
        <v>430.85</v>
      </c>
      <c r="R60" s="2">
        <v>1096.67</v>
      </c>
      <c r="S60" s="2">
        <v>1239.39</v>
      </c>
      <c r="T60" s="2">
        <v>1045.62</v>
      </c>
      <c r="U60" s="2">
        <v>947.18</v>
      </c>
      <c r="V60" s="2">
        <v>1026.26</v>
      </c>
      <c r="W60" s="2">
        <v>841.27</v>
      </c>
      <c r="Y60" s="4">
        <f t="shared" si="1"/>
        <v>1.146971526</v>
      </c>
    </row>
    <row r="61" ht="15.75" customHeight="1">
      <c r="A61" s="1">
        <v>0.46820601851851856</v>
      </c>
      <c r="B61">
        <v>36.957321</v>
      </c>
      <c r="C61">
        <v>-25.157714</v>
      </c>
      <c r="D61">
        <v>450.5</v>
      </c>
      <c r="E61">
        <v>63.12</v>
      </c>
      <c r="F61">
        <v>20.58</v>
      </c>
      <c r="G61">
        <v>986.3</v>
      </c>
      <c r="H61">
        <v>3150.0</v>
      </c>
      <c r="I61">
        <v>-11.13</v>
      </c>
      <c r="J61">
        <v>-0.67</v>
      </c>
      <c r="K61">
        <v>-0.84</v>
      </c>
      <c r="L61" s="2">
        <v>321.02</v>
      </c>
      <c r="M61" s="2">
        <v>593.59</v>
      </c>
      <c r="N61" s="2">
        <v>245.52</v>
      </c>
      <c r="O61" s="2">
        <v>403.6</v>
      </c>
      <c r="P61" s="2">
        <v>416.89</v>
      </c>
      <c r="Q61" s="2">
        <v>436.83</v>
      </c>
      <c r="R61" s="2">
        <v>1556.87</v>
      </c>
      <c r="S61" s="2">
        <v>1276.84</v>
      </c>
      <c r="T61" s="2">
        <v>1178.12</v>
      </c>
      <c r="U61" s="2">
        <v>1101.63</v>
      </c>
      <c r="V61" s="2">
        <v>1026.26</v>
      </c>
      <c r="W61" s="2">
        <v>875.11</v>
      </c>
      <c r="Y61" s="4">
        <f t="shared" si="1"/>
        <v>1.172703771</v>
      </c>
    </row>
    <row r="62" ht="15.75" customHeight="1">
      <c r="A62" s="1">
        <v>0.4682175925925926</v>
      </c>
      <c r="B62">
        <v>36.957218</v>
      </c>
      <c r="C62">
        <v>-25.157733</v>
      </c>
      <c r="D62">
        <v>446.4</v>
      </c>
      <c r="E62">
        <v>61.58</v>
      </c>
      <c r="F62">
        <v>20.7</v>
      </c>
      <c r="G62">
        <v>987.26</v>
      </c>
      <c r="H62">
        <v>3363.0</v>
      </c>
      <c r="I62">
        <v>-10.51</v>
      </c>
      <c r="J62">
        <v>-0.28</v>
      </c>
      <c r="K62">
        <v>-1.1</v>
      </c>
      <c r="L62" s="2">
        <v>352.99</v>
      </c>
      <c r="M62" s="2">
        <v>629.43</v>
      </c>
      <c r="N62" s="2">
        <v>266.07</v>
      </c>
      <c r="O62" s="2">
        <v>421.19</v>
      </c>
      <c r="P62" s="2">
        <v>421.0</v>
      </c>
      <c r="Q62" s="2">
        <v>448.8</v>
      </c>
      <c r="R62" s="2">
        <v>1555.52</v>
      </c>
      <c r="S62" s="2">
        <v>1301.81</v>
      </c>
      <c r="T62" s="2">
        <v>1175.73</v>
      </c>
      <c r="U62" s="2">
        <v>1105.95</v>
      </c>
      <c r="V62" s="2">
        <v>1025.24</v>
      </c>
      <c r="W62" s="2">
        <v>871.48</v>
      </c>
      <c r="Y62" s="4">
        <f t="shared" si="1"/>
        <v>1.151234095</v>
      </c>
    </row>
    <row r="63" ht="15.75" customHeight="1">
      <c r="A63" s="1">
        <v>0.4682291666666667</v>
      </c>
      <c r="B63">
        <v>36.957126</v>
      </c>
      <c r="C63">
        <v>-25.157773</v>
      </c>
      <c r="D63">
        <v>440.6</v>
      </c>
      <c r="E63">
        <v>61.36</v>
      </c>
      <c r="F63">
        <v>20.75</v>
      </c>
      <c r="G63">
        <v>988.1</v>
      </c>
      <c r="H63">
        <v>3363.0</v>
      </c>
      <c r="I63">
        <v>-9.21</v>
      </c>
      <c r="J63">
        <v>-0.16</v>
      </c>
      <c r="K63">
        <v>-0.96</v>
      </c>
      <c r="L63" s="2">
        <v>391.61</v>
      </c>
      <c r="M63" s="2">
        <v>687.66</v>
      </c>
      <c r="N63" s="2">
        <v>291.19</v>
      </c>
      <c r="O63" s="2">
        <v>436.71</v>
      </c>
      <c r="P63" s="2">
        <v>415.87</v>
      </c>
      <c r="Q63" s="2">
        <v>483.51</v>
      </c>
      <c r="R63" s="2">
        <v>1554.18</v>
      </c>
      <c r="S63" s="2">
        <v>1300.68</v>
      </c>
      <c r="T63" s="2">
        <v>1176.92</v>
      </c>
      <c r="U63" s="2">
        <v>1104.87</v>
      </c>
      <c r="V63" s="2">
        <v>1018.12</v>
      </c>
      <c r="W63" s="2">
        <v>861.81</v>
      </c>
      <c r="Y63" s="4">
        <f t="shared" si="1"/>
        <v>1.149669157</v>
      </c>
    </row>
    <row r="64" ht="15.75" customHeight="1">
      <c r="A64" s="1">
        <v>0.46824074074074074</v>
      </c>
      <c r="B64">
        <v>36.957019</v>
      </c>
      <c r="C64">
        <v>-25.157823</v>
      </c>
      <c r="D64">
        <v>438.6</v>
      </c>
      <c r="E64">
        <v>61.05</v>
      </c>
      <c r="F64">
        <v>20.8</v>
      </c>
      <c r="G64">
        <v>989.06</v>
      </c>
      <c r="H64">
        <v>3363.0</v>
      </c>
      <c r="I64">
        <v>-10.06</v>
      </c>
      <c r="J64">
        <v>-0.62</v>
      </c>
      <c r="K64">
        <v>-0.64</v>
      </c>
      <c r="L64" s="2">
        <v>391.61</v>
      </c>
      <c r="M64" s="2">
        <v>729.1</v>
      </c>
      <c r="N64" s="2">
        <v>290.05</v>
      </c>
      <c r="O64" s="2">
        <v>436.71</v>
      </c>
      <c r="P64" s="2">
        <v>405.6</v>
      </c>
      <c r="Q64" s="2">
        <v>487.1</v>
      </c>
      <c r="R64" s="2">
        <v>1532.65</v>
      </c>
      <c r="S64" s="2">
        <v>1248.47</v>
      </c>
      <c r="T64" s="2">
        <v>1163.79</v>
      </c>
      <c r="U64" s="2">
        <v>1078.95</v>
      </c>
      <c r="V64" s="2">
        <v>984.52</v>
      </c>
      <c r="W64" s="2">
        <v>788.08</v>
      </c>
      <c r="Y64" s="4">
        <f t="shared" si="1"/>
        <v>1.14624079</v>
      </c>
    </row>
    <row r="65" ht="15.75" customHeight="1">
      <c r="A65" s="1">
        <v>0.46825231481481483</v>
      </c>
      <c r="B65">
        <v>36.956886</v>
      </c>
      <c r="C65">
        <v>-25.157865</v>
      </c>
      <c r="D65">
        <v>434.4</v>
      </c>
      <c r="E65">
        <v>61.04</v>
      </c>
      <c r="F65">
        <v>20.83</v>
      </c>
      <c r="G65">
        <v>989.78</v>
      </c>
      <c r="H65">
        <v>3363.0</v>
      </c>
      <c r="I65">
        <v>-10.37</v>
      </c>
      <c r="J65">
        <v>-0.62</v>
      </c>
      <c r="K65">
        <v>-0.64</v>
      </c>
      <c r="L65" s="2">
        <v>382.29</v>
      </c>
      <c r="M65" s="2">
        <v>749.26</v>
      </c>
      <c r="N65" s="2">
        <v>285.48</v>
      </c>
      <c r="O65" s="2">
        <v>433.61</v>
      </c>
      <c r="P65" s="2">
        <v>403.54</v>
      </c>
      <c r="Q65" s="2">
        <v>487.1</v>
      </c>
      <c r="R65" s="2">
        <v>1111.47</v>
      </c>
      <c r="S65" s="2">
        <v>1203.07</v>
      </c>
      <c r="T65" s="2">
        <v>791.38</v>
      </c>
      <c r="U65" s="2">
        <v>819.74</v>
      </c>
      <c r="V65" s="2">
        <v>974.34</v>
      </c>
      <c r="W65" s="2">
        <v>716.77</v>
      </c>
      <c r="Y65" s="4">
        <f t="shared" si="1"/>
        <v>1.147351984</v>
      </c>
    </row>
    <row r="66" ht="15.75" customHeight="1">
      <c r="A66" s="1">
        <v>0.46826388888888887</v>
      </c>
      <c r="B66">
        <v>36.956764</v>
      </c>
      <c r="C66">
        <v>-25.157901</v>
      </c>
      <c r="D66">
        <v>430.7</v>
      </c>
      <c r="E66">
        <v>61.13</v>
      </c>
      <c r="F66">
        <v>20.9</v>
      </c>
      <c r="G66">
        <v>990.59</v>
      </c>
      <c r="H66">
        <v>3363.0</v>
      </c>
      <c r="I66">
        <v>-10.61</v>
      </c>
      <c r="J66">
        <v>-0.61</v>
      </c>
      <c r="K66">
        <v>-0.55</v>
      </c>
      <c r="L66" s="2">
        <v>358.31</v>
      </c>
      <c r="M66" s="2">
        <v>704.46</v>
      </c>
      <c r="N66" s="2">
        <v>271.78</v>
      </c>
      <c r="O66" s="2">
        <v>431.54</v>
      </c>
      <c r="P66" s="2">
        <v>396.36</v>
      </c>
      <c r="Q66" s="2">
        <v>495.47</v>
      </c>
      <c r="Y66" s="4">
        <f t="shared" si="1"/>
        <v>1.153133372</v>
      </c>
    </row>
    <row r="67" ht="15.75" customHeight="1">
      <c r="A67" s="1">
        <v>0.468275462962963</v>
      </c>
      <c r="B67">
        <v>36.95668</v>
      </c>
      <c r="C67">
        <v>-25.157939</v>
      </c>
      <c r="D67">
        <v>428.5</v>
      </c>
      <c r="E67">
        <v>61.0</v>
      </c>
      <c r="F67">
        <v>20.93</v>
      </c>
      <c r="G67">
        <v>991.49</v>
      </c>
      <c r="H67">
        <v>3363.0</v>
      </c>
      <c r="I67">
        <v>-10.34</v>
      </c>
      <c r="J67">
        <v>-0.05</v>
      </c>
      <c r="K67">
        <v>-0.18</v>
      </c>
      <c r="L67" s="2">
        <v>294.38</v>
      </c>
      <c r="M67" s="2">
        <v>704.46</v>
      </c>
      <c r="N67" s="2">
        <v>235.24</v>
      </c>
      <c r="O67" s="2">
        <v>392.21</v>
      </c>
      <c r="P67" s="2">
        <v>392.25</v>
      </c>
      <c r="Q67" s="2">
        <v>455.98</v>
      </c>
      <c r="Y67" s="4">
        <f t="shared" si="1"/>
        <v>1.151747342</v>
      </c>
    </row>
    <row r="68" ht="15.75" customHeight="1">
      <c r="A68" s="1">
        <v>0.46828703703703706</v>
      </c>
      <c r="B68">
        <v>36.956588</v>
      </c>
      <c r="C68">
        <v>-25.157972</v>
      </c>
      <c r="D68">
        <v>424.6</v>
      </c>
      <c r="E68">
        <v>60.78</v>
      </c>
      <c r="F68">
        <v>20.94</v>
      </c>
      <c r="G68">
        <v>992.37</v>
      </c>
      <c r="H68">
        <v>7264.0</v>
      </c>
      <c r="I68">
        <v>-10.13</v>
      </c>
      <c r="J68">
        <v>-0.28</v>
      </c>
      <c r="K68">
        <v>0.01</v>
      </c>
      <c r="Y68" s="4">
        <f t="shared" si="1"/>
        <v>1.147231035</v>
      </c>
    </row>
    <row r="69" ht="15.75" customHeight="1">
      <c r="A69" s="1">
        <v>0.4682986111111111</v>
      </c>
      <c r="B69">
        <v>36.956485</v>
      </c>
      <c r="C69">
        <v>-25.157997</v>
      </c>
      <c r="D69">
        <v>423.9</v>
      </c>
      <c r="E69">
        <v>60.82</v>
      </c>
      <c r="F69">
        <v>20.95</v>
      </c>
      <c r="G69">
        <v>993.46</v>
      </c>
      <c r="H69">
        <v>3363.0</v>
      </c>
      <c r="I69">
        <v>-10.2</v>
      </c>
      <c r="J69">
        <v>-0.13</v>
      </c>
      <c r="K69">
        <v>-0.01</v>
      </c>
      <c r="Y69" s="4">
        <f t="shared" si="1"/>
        <v>1.14743526</v>
      </c>
    </row>
    <row r="70" ht="15.75" customHeight="1">
      <c r="A70" s="1">
        <v>0.4683101851851852</v>
      </c>
      <c r="B70">
        <v>36.956386</v>
      </c>
      <c r="C70">
        <v>-25.158027</v>
      </c>
      <c r="D70">
        <v>421.1</v>
      </c>
      <c r="E70">
        <v>60.74</v>
      </c>
      <c r="F70">
        <v>20.94</v>
      </c>
      <c r="G70">
        <v>994.19</v>
      </c>
      <c r="H70">
        <v>3363.0</v>
      </c>
      <c r="I70">
        <v>-10.3</v>
      </c>
      <c r="J70">
        <v>-0.3</v>
      </c>
      <c r="K70">
        <v>-1.1</v>
      </c>
      <c r="Y70" s="4">
        <f t="shared" si="1"/>
        <v>1.144344592</v>
      </c>
    </row>
    <row r="71" ht="15.75" customHeight="1">
      <c r="A71" s="1">
        <v>0.46832175925925923</v>
      </c>
      <c r="B71">
        <v>36.956272</v>
      </c>
      <c r="C71">
        <v>-25.158065</v>
      </c>
      <c r="D71">
        <v>417.6</v>
      </c>
      <c r="E71">
        <v>60.74</v>
      </c>
      <c r="F71">
        <v>21.0</v>
      </c>
      <c r="G71">
        <v>995.23</v>
      </c>
      <c r="H71">
        <v>3363.0</v>
      </c>
      <c r="I71">
        <v>-10.34</v>
      </c>
      <c r="J71">
        <v>-0.19</v>
      </c>
      <c r="K71">
        <v>-0.96</v>
      </c>
      <c r="Y71" s="4">
        <f t="shared" si="1"/>
        <v>1.147414722</v>
      </c>
    </row>
    <row r="72" ht="15.75" customHeight="1">
      <c r="A72" s="1">
        <v>0.4683333333333333</v>
      </c>
      <c r="B72">
        <v>36.956157</v>
      </c>
      <c r="C72">
        <v>-25.158113</v>
      </c>
      <c r="D72">
        <v>414.7</v>
      </c>
      <c r="E72">
        <v>60.53</v>
      </c>
      <c r="F72">
        <v>21.02</v>
      </c>
      <c r="G72">
        <v>996.04</v>
      </c>
      <c r="H72">
        <v>3607.0</v>
      </c>
      <c r="I72">
        <v>-10.56</v>
      </c>
      <c r="J72">
        <v>-0.52</v>
      </c>
      <c r="K72">
        <v>-1.08</v>
      </c>
      <c r="Y72" s="4">
        <f t="shared" si="1"/>
        <v>1.143885325</v>
      </c>
    </row>
    <row r="73" ht="15.75" customHeight="1">
      <c r="A73" s="1">
        <v>0.46834490740740736</v>
      </c>
      <c r="B73">
        <v>36.956027</v>
      </c>
      <c r="C73">
        <v>-25.158151</v>
      </c>
      <c r="D73">
        <v>411.6</v>
      </c>
      <c r="E73">
        <v>60.43</v>
      </c>
      <c r="F73">
        <v>21.03</v>
      </c>
      <c r="G73">
        <v>996.97</v>
      </c>
      <c r="H73">
        <v>3150.0</v>
      </c>
      <c r="I73">
        <v>-10.42</v>
      </c>
      <c r="J73">
        <v>-0.49</v>
      </c>
      <c r="K73">
        <v>-0.59</v>
      </c>
      <c r="Y73" s="4">
        <f t="shared" si="1"/>
        <v>1.141606974</v>
      </c>
    </row>
    <row r="74" ht="15.75" customHeight="1">
      <c r="A74" s="1">
        <v>0.4683564814814815</v>
      </c>
      <c r="B74">
        <v>36.95589</v>
      </c>
      <c r="C74">
        <v>-25.158161</v>
      </c>
      <c r="D74">
        <v>407.8</v>
      </c>
      <c r="E74">
        <v>60.38</v>
      </c>
      <c r="F74">
        <v>21.07</v>
      </c>
      <c r="G74">
        <v>997.96</v>
      </c>
      <c r="H74">
        <v>3150.0</v>
      </c>
      <c r="I74">
        <v>-9.54</v>
      </c>
      <c r="J74">
        <v>0.6</v>
      </c>
      <c r="K74">
        <v>-0.6</v>
      </c>
      <c r="Y74" s="4">
        <f t="shared" si="1"/>
        <v>1.142347527</v>
      </c>
    </row>
    <row r="75" ht="15.75" customHeight="1">
      <c r="A75" s="1">
        <v>0.46836805555555555</v>
      </c>
      <c r="B75">
        <v>36.955764</v>
      </c>
      <c r="C75">
        <v>-25.158153</v>
      </c>
      <c r="D75">
        <v>404.7</v>
      </c>
      <c r="E75">
        <v>60.3</v>
      </c>
      <c r="F75">
        <v>21.09</v>
      </c>
      <c r="G75">
        <v>998.65</v>
      </c>
      <c r="H75">
        <v>3607.0</v>
      </c>
      <c r="I75">
        <v>-11.05</v>
      </c>
      <c r="J75">
        <v>-0.2</v>
      </c>
      <c r="K75">
        <v>-0.13</v>
      </c>
      <c r="Y75" s="4">
        <f t="shared" si="1"/>
        <v>1.141439091</v>
      </c>
    </row>
    <row r="76" ht="15.75" customHeight="1">
      <c r="A76" s="1">
        <v>0.46837962962962965</v>
      </c>
      <c r="B76">
        <v>36.95565</v>
      </c>
      <c r="C76">
        <v>-25.158155</v>
      </c>
      <c r="D76">
        <v>402.7</v>
      </c>
      <c r="E76">
        <v>60.2</v>
      </c>
      <c r="F76">
        <v>21.1</v>
      </c>
      <c r="G76">
        <v>999.52</v>
      </c>
      <c r="H76">
        <v>3363.0</v>
      </c>
      <c r="I76">
        <v>-10.24</v>
      </c>
      <c r="J76">
        <v>-0.52</v>
      </c>
      <c r="K76">
        <v>-0.34</v>
      </c>
      <c r="Y76" s="4">
        <f t="shared" si="1"/>
        <v>1.139229976</v>
      </c>
    </row>
    <row r="77" ht="15.75" customHeight="1">
      <c r="A77" s="1">
        <v>0.4683912037037037</v>
      </c>
      <c r="B77">
        <v>36.955539</v>
      </c>
      <c r="C77">
        <v>-25.15817</v>
      </c>
      <c r="D77">
        <v>399.5</v>
      </c>
      <c r="E77">
        <v>60.23</v>
      </c>
      <c r="F77">
        <v>21.14</v>
      </c>
      <c r="G77">
        <v>1000.44</v>
      </c>
      <c r="H77">
        <v>3363.0</v>
      </c>
      <c r="I77">
        <v>-10.59</v>
      </c>
      <c r="J77">
        <v>-0.4</v>
      </c>
      <c r="K77">
        <v>-0.75</v>
      </c>
      <c r="Y77" s="4">
        <f t="shared" si="1"/>
        <v>1.141580933</v>
      </c>
    </row>
    <row r="78" ht="15.75" customHeight="1">
      <c r="A78" s="1">
        <v>0.4684027777777778</v>
      </c>
      <c r="B78">
        <v>36.955429</v>
      </c>
      <c r="C78">
        <v>-25.15821</v>
      </c>
      <c r="D78">
        <v>396.4</v>
      </c>
      <c r="E78">
        <v>60.18</v>
      </c>
      <c r="F78">
        <v>21.18</v>
      </c>
      <c r="G78">
        <v>1001.52</v>
      </c>
      <c r="H78">
        <v>2961.0</v>
      </c>
      <c r="I78">
        <v>-10.6</v>
      </c>
      <c r="J78">
        <v>0.19</v>
      </c>
      <c r="K78">
        <v>-1.09</v>
      </c>
      <c r="Y78" s="4">
        <f t="shared" si="1"/>
        <v>1.142215984</v>
      </c>
    </row>
    <row r="79" ht="15.75" customHeight="1">
      <c r="A79" s="1">
        <v>0.4684143518518518</v>
      </c>
      <c r="B79">
        <v>36.955345</v>
      </c>
      <c r="C79">
        <v>-25.15826</v>
      </c>
      <c r="D79">
        <v>395.3</v>
      </c>
      <c r="E79">
        <v>60.17</v>
      </c>
      <c r="F79">
        <v>21.07</v>
      </c>
      <c r="G79">
        <v>1002.58</v>
      </c>
      <c r="H79">
        <v>3150.0</v>
      </c>
      <c r="I79">
        <v>-10.31</v>
      </c>
      <c r="J79">
        <v>0.48</v>
      </c>
      <c r="K79">
        <v>-0.91</v>
      </c>
      <c r="Y79" s="4">
        <f t="shared" si="1"/>
        <v>1.133024266</v>
      </c>
    </row>
    <row r="80" ht="15.75" customHeight="1">
      <c r="A80" s="1">
        <v>0.46842592592592597</v>
      </c>
      <c r="B80">
        <v>36.955261</v>
      </c>
      <c r="C80">
        <v>-25.158288</v>
      </c>
      <c r="D80">
        <v>393.1</v>
      </c>
      <c r="E80">
        <v>60.32</v>
      </c>
      <c r="F80">
        <v>21.0</v>
      </c>
      <c r="G80">
        <v>1003.34</v>
      </c>
      <c r="H80">
        <v>3363.0</v>
      </c>
      <c r="I80">
        <v>-10.29</v>
      </c>
      <c r="J80">
        <v>0.57</v>
      </c>
      <c r="K80">
        <v>-1.0</v>
      </c>
      <c r="Y80" s="4">
        <f t="shared" si="1"/>
        <v>1.130076501</v>
      </c>
    </row>
    <row r="81" ht="15.75" customHeight="1">
      <c r="A81" s="1">
        <v>0.4684375</v>
      </c>
      <c r="B81">
        <v>36.955173</v>
      </c>
      <c r="C81">
        <v>-25.15829</v>
      </c>
      <c r="D81">
        <v>386.9</v>
      </c>
      <c r="E81">
        <v>60.54</v>
      </c>
      <c r="F81">
        <v>20.95</v>
      </c>
      <c r="G81">
        <v>1004.16</v>
      </c>
      <c r="H81">
        <v>8483.0</v>
      </c>
      <c r="I81">
        <v>-9.71</v>
      </c>
      <c r="J81">
        <v>0.41</v>
      </c>
      <c r="K81">
        <v>-0.8</v>
      </c>
      <c r="Y81" s="4">
        <f t="shared" si="1"/>
        <v>1.129785171</v>
      </c>
    </row>
    <row r="82" ht="15.75" customHeight="1">
      <c r="A82" s="1">
        <v>0.4684490740740741</v>
      </c>
      <c r="B82">
        <v>36.955062</v>
      </c>
      <c r="C82">
        <v>-25.158287</v>
      </c>
      <c r="D82">
        <v>382.3</v>
      </c>
      <c r="E82">
        <v>60.83</v>
      </c>
      <c r="F82">
        <v>20.99</v>
      </c>
      <c r="G82">
        <v>1005.03</v>
      </c>
      <c r="H82">
        <v>7264.0</v>
      </c>
      <c r="I82">
        <v>-10.94</v>
      </c>
      <c r="J82">
        <v>-0.06</v>
      </c>
      <c r="K82">
        <v>-1.45</v>
      </c>
      <c r="Y82" s="4">
        <f t="shared" si="1"/>
        <v>1.137093563</v>
      </c>
    </row>
    <row r="83" ht="15.75" customHeight="1">
      <c r="A83" s="1">
        <v>0.46846064814814814</v>
      </c>
      <c r="B83">
        <v>36.954944</v>
      </c>
      <c r="C83">
        <v>-25.158283</v>
      </c>
      <c r="D83">
        <v>379.9</v>
      </c>
      <c r="E83">
        <v>60.99</v>
      </c>
      <c r="F83">
        <v>21.05</v>
      </c>
      <c r="G83">
        <v>1005.92</v>
      </c>
      <c r="H83">
        <v>4604.0</v>
      </c>
      <c r="I83">
        <v>-10.67</v>
      </c>
      <c r="J83">
        <v>-0.12</v>
      </c>
      <c r="K83">
        <v>-1.17</v>
      </c>
      <c r="Y83" s="4">
        <f t="shared" si="1"/>
        <v>1.143360973</v>
      </c>
    </row>
    <row r="84" ht="15.75" customHeight="1">
      <c r="A84" s="1">
        <v>0.46847222222222223</v>
      </c>
      <c r="B84">
        <v>36.954845</v>
      </c>
      <c r="C84">
        <v>-25.158277</v>
      </c>
      <c r="D84">
        <v>377.6</v>
      </c>
      <c r="E84">
        <v>61.17</v>
      </c>
      <c r="F84">
        <v>21.13</v>
      </c>
      <c r="G84">
        <v>1006.91</v>
      </c>
      <c r="H84">
        <v>17016.0</v>
      </c>
      <c r="I84">
        <v>-10.51</v>
      </c>
      <c r="J84">
        <v>-0.47</v>
      </c>
      <c r="K84">
        <v>-0.52</v>
      </c>
      <c r="Y84" s="4">
        <f t="shared" si="1"/>
        <v>1.151350618</v>
      </c>
    </row>
    <row r="85" ht="15.75" customHeight="1">
      <c r="A85" s="1">
        <v>0.4684837962962963</v>
      </c>
      <c r="B85">
        <v>36.954734</v>
      </c>
      <c r="C85">
        <v>-25.158273</v>
      </c>
      <c r="D85">
        <v>376.3</v>
      </c>
      <c r="E85">
        <v>61.24</v>
      </c>
      <c r="F85">
        <v>21.15</v>
      </c>
      <c r="G85">
        <v>1007.61</v>
      </c>
      <c r="H85">
        <v>3363.0</v>
      </c>
      <c r="I85">
        <v>-10.44</v>
      </c>
      <c r="J85">
        <v>-0.05</v>
      </c>
      <c r="K85">
        <v>-1.31</v>
      </c>
      <c r="Y85" s="4">
        <f t="shared" si="1"/>
        <v>1.153307188</v>
      </c>
    </row>
    <row r="86" ht="15.75" customHeight="1">
      <c r="A86" s="1">
        <v>0.4684953703703704</v>
      </c>
      <c r="B86">
        <v>36.954605</v>
      </c>
      <c r="C86">
        <v>-25.158288</v>
      </c>
      <c r="D86">
        <v>373.2</v>
      </c>
      <c r="E86">
        <v>61.28</v>
      </c>
      <c r="F86">
        <v>21.18</v>
      </c>
      <c r="G86">
        <v>1008.49</v>
      </c>
      <c r="H86">
        <v>5638.0</v>
      </c>
      <c r="I86">
        <v>-11.89</v>
      </c>
      <c r="J86">
        <v>-0.36</v>
      </c>
      <c r="K86">
        <v>-1.31</v>
      </c>
      <c r="Y86" s="4">
        <f t="shared" si="1"/>
        <v>1.155203781</v>
      </c>
    </row>
    <row r="87" ht="15.75" customHeight="1">
      <c r="A87" s="1">
        <v>0.46850694444444446</v>
      </c>
      <c r="B87">
        <v>36.954475</v>
      </c>
      <c r="C87">
        <v>-25.158313</v>
      </c>
      <c r="D87">
        <v>369.7</v>
      </c>
      <c r="E87">
        <v>61.23</v>
      </c>
      <c r="F87">
        <v>21.23</v>
      </c>
      <c r="G87">
        <v>1009.29</v>
      </c>
      <c r="H87">
        <v>3888.0</v>
      </c>
      <c r="I87">
        <v>-10.51</v>
      </c>
      <c r="J87">
        <v>-0.35</v>
      </c>
      <c r="K87">
        <v>-0.9</v>
      </c>
      <c r="Y87" s="4">
        <f t="shared" si="1"/>
        <v>1.156915611</v>
      </c>
    </row>
    <row r="88" ht="15.75" customHeight="1">
      <c r="A88" s="1">
        <v>0.4685185185185185</v>
      </c>
      <c r="B88">
        <v>36.954364</v>
      </c>
      <c r="C88">
        <v>-25.158329</v>
      </c>
      <c r="D88">
        <v>366.5</v>
      </c>
      <c r="E88">
        <v>61.3</v>
      </c>
      <c r="F88">
        <v>21.25</v>
      </c>
      <c r="G88">
        <v>1010.06</v>
      </c>
      <c r="H88">
        <v>3363.0</v>
      </c>
      <c r="I88">
        <v>-11.13</v>
      </c>
      <c r="J88">
        <v>-0.29</v>
      </c>
      <c r="K88">
        <v>-0.89</v>
      </c>
      <c r="Y88" s="4">
        <f t="shared" si="1"/>
        <v>1.158799977</v>
      </c>
    </row>
    <row r="89" ht="15.75" customHeight="1">
      <c r="A89" s="1">
        <v>0.4685300925925926</v>
      </c>
      <c r="B89">
        <v>36.954261</v>
      </c>
      <c r="C89">
        <v>-25.15833</v>
      </c>
      <c r="D89">
        <v>365.0</v>
      </c>
      <c r="E89">
        <v>61.5</v>
      </c>
      <c r="F89">
        <v>21.3</v>
      </c>
      <c r="G89">
        <v>1011.03</v>
      </c>
      <c r="H89">
        <v>3363.0</v>
      </c>
      <c r="I89">
        <v>-9.7</v>
      </c>
      <c r="J89">
        <v>-0.05</v>
      </c>
      <c r="K89">
        <v>-0.83</v>
      </c>
      <c r="Y89" s="4">
        <f t="shared" si="1"/>
        <v>1.165110753</v>
      </c>
    </row>
    <row r="90" ht="15.75" customHeight="1">
      <c r="A90" s="1">
        <v>0.46854166666666663</v>
      </c>
      <c r="B90">
        <v>36.954193</v>
      </c>
      <c r="C90">
        <v>-25.158329</v>
      </c>
      <c r="D90">
        <v>360.8</v>
      </c>
      <c r="E90">
        <v>61.32</v>
      </c>
      <c r="F90">
        <v>21.4</v>
      </c>
      <c r="G90">
        <v>1011.57</v>
      </c>
      <c r="H90">
        <v>3150.0</v>
      </c>
      <c r="I90">
        <v>-10.14</v>
      </c>
      <c r="J90">
        <v>-0.4</v>
      </c>
      <c r="K90">
        <v>-0.63</v>
      </c>
      <c r="Y90" s="4">
        <f t="shared" si="1"/>
        <v>1.168266859</v>
      </c>
    </row>
    <row r="91" ht="15.75" customHeight="1">
      <c r="A91" s="1">
        <v>0.46855324074074073</v>
      </c>
      <c r="B91">
        <v>36.954132</v>
      </c>
      <c r="C91">
        <v>-25.158309</v>
      </c>
      <c r="D91">
        <v>356.8</v>
      </c>
      <c r="E91">
        <v>61.13</v>
      </c>
      <c r="F91">
        <v>21.45</v>
      </c>
      <c r="G91">
        <v>1012.37</v>
      </c>
      <c r="H91">
        <v>4604.0</v>
      </c>
      <c r="I91">
        <v>-9.26</v>
      </c>
      <c r="J91">
        <v>-0.78</v>
      </c>
      <c r="K91">
        <v>-0.31</v>
      </c>
      <c r="Y91" s="4">
        <f t="shared" si="1"/>
        <v>1.167290872</v>
      </c>
    </row>
    <row r="92" ht="15.75" customHeight="1">
      <c r="A92" s="1">
        <v>0.46856481481481477</v>
      </c>
      <c r="B92">
        <v>36.954048</v>
      </c>
      <c r="C92">
        <v>-25.15829</v>
      </c>
      <c r="D92">
        <v>349.0</v>
      </c>
      <c r="E92">
        <v>61.37</v>
      </c>
      <c r="F92">
        <v>21.48</v>
      </c>
      <c r="G92">
        <v>1013.24</v>
      </c>
      <c r="H92">
        <v>3607.0</v>
      </c>
      <c r="I92">
        <v>-11.35</v>
      </c>
      <c r="J92">
        <v>-1.02</v>
      </c>
      <c r="K92">
        <v>-0.43</v>
      </c>
      <c r="Y92" s="4">
        <f t="shared" si="1"/>
        <v>1.173091223</v>
      </c>
    </row>
    <row r="93" ht="15.75" customHeight="1">
      <c r="A93" s="1">
        <v>0.4685763888888889</v>
      </c>
      <c r="B93">
        <v>36.953945</v>
      </c>
      <c r="C93">
        <v>-25.15826</v>
      </c>
      <c r="D93">
        <v>348.1</v>
      </c>
      <c r="E93">
        <v>61.46</v>
      </c>
      <c r="F93">
        <v>21.53</v>
      </c>
      <c r="G93">
        <v>1014.07</v>
      </c>
      <c r="H93">
        <v>10190.0</v>
      </c>
      <c r="I93">
        <v>-9.46</v>
      </c>
      <c r="J93">
        <v>-0.17</v>
      </c>
      <c r="K93">
        <v>-0.51</v>
      </c>
      <c r="Y93" s="4">
        <f t="shared" si="1"/>
        <v>1.177505708</v>
      </c>
    </row>
    <row r="94" ht="15.75" customHeight="1">
      <c r="A94" s="1">
        <v>0.46858796296296296</v>
      </c>
      <c r="B94">
        <v>36.95383</v>
      </c>
      <c r="C94">
        <v>-25.158267</v>
      </c>
      <c r="D94">
        <v>345.2</v>
      </c>
      <c r="E94">
        <v>61.38</v>
      </c>
      <c r="F94">
        <v>21.68</v>
      </c>
      <c r="G94">
        <v>1014.95</v>
      </c>
      <c r="H94">
        <v>651.0</v>
      </c>
      <c r="I94">
        <v>-13.3</v>
      </c>
      <c r="J94">
        <v>-4.85</v>
      </c>
      <c r="K94">
        <v>1.1</v>
      </c>
      <c r="Y94" s="4">
        <f t="shared" si="1"/>
        <v>1.185899594</v>
      </c>
    </row>
    <row r="95" ht="15.75" customHeight="1">
      <c r="A95" s="1">
        <v>0.46859953703703705</v>
      </c>
      <c r="B95">
        <v>36.953777</v>
      </c>
      <c r="C95">
        <v>-25.158269</v>
      </c>
      <c r="D95">
        <v>344.0</v>
      </c>
      <c r="E95">
        <v>62.08</v>
      </c>
      <c r="F95">
        <v>21.8</v>
      </c>
      <c r="G95">
        <v>1015.34</v>
      </c>
      <c r="H95">
        <v>651.0</v>
      </c>
      <c r="I95">
        <v>6.41</v>
      </c>
      <c r="J95">
        <v>-1.58</v>
      </c>
      <c r="K95">
        <v>-1.02</v>
      </c>
      <c r="Y95" s="4">
        <f t="shared" si="1"/>
        <v>1.208065974</v>
      </c>
    </row>
    <row r="96" ht="15.75" customHeight="1">
      <c r="A96" s="1">
        <v>0.4686111111111111</v>
      </c>
      <c r="B96">
        <v>36.953762</v>
      </c>
      <c r="C96">
        <v>-25.158267</v>
      </c>
      <c r="D96">
        <v>341.3</v>
      </c>
      <c r="E96">
        <v>61.8</v>
      </c>
      <c r="F96">
        <v>21.84</v>
      </c>
      <c r="G96">
        <v>1015.37</v>
      </c>
      <c r="H96">
        <v>651.0</v>
      </c>
      <c r="I96">
        <v>-0.95</v>
      </c>
      <c r="J96">
        <v>-9.7</v>
      </c>
      <c r="K96">
        <v>1.78</v>
      </c>
      <c r="Y96" s="4">
        <f t="shared" si="1"/>
        <v>1.205496921</v>
      </c>
    </row>
    <row r="97" ht="15.75" customHeight="1">
      <c r="A97" s="1">
        <v>0.4686226851851852</v>
      </c>
      <c r="B97">
        <v>36.95375</v>
      </c>
      <c r="C97">
        <v>-25.158273</v>
      </c>
      <c r="D97">
        <v>340.7</v>
      </c>
      <c r="E97">
        <v>61.73</v>
      </c>
      <c r="F97">
        <v>21.96</v>
      </c>
      <c r="G97">
        <v>1015.38</v>
      </c>
      <c r="H97">
        <v>651.0</v>
      </c>
      <c r="I97">
        <v>-0.99</v>
      </c>
      <c r="J97">
        <v>-9.56</v>
      </c>
      <c r="K97">
        <v>1.78</v>
      </c>
      <c r="Y97" s="4">
        <f t="shared" si="1"/>
        <v>1.213075357</v>
      </c>
    </row>
    <row r="98" ht="15.75" customHeight="1">
      <c r="A98" s="1">
        <v>0.4686342592592592</v>
      </c>
      <c r="B98">
        <v>36.953739</v>
      </c>
      <c r="C98">
        <v>-25.158279</v>
      </c>
      <c r="D98">
        <v>340.2</v>
      </c>
      <c r="E98">
        <v>61.55</v>
      </c>
      <c r="F98">
        <v>22.08</v>
      </c>
      <c r="G98">
        <v>1015.39</v>
      </c>
      <c r="H98">
        <v>641.0</v>
      </c>
      <c r="I98">
        <v>-1.0</v>
      </c>
      <c r="J98">
        <v>-9.57</v>
      </c>
      <c r="K98">
        <v>1.73</v>
      </c>
      <c r="Y98" s="4">
        <f t="shared" si="1"/>
        <v>1.218487687</v>
      </c>
    </row>
    <row r="99" ht="15.75" customHeight="1">
      <c r="A99" s="1">
        <v>0.4686458333333334</v>
      </c>
      <c r="B99">
        <v>36.953735</v>
      </c>
      <c r="C99">
        <v>-25.15829</v>
      </c>
      <c r="D99">
        <v>339.5</v>
      </c>
      <c r="E99">
        <v>61.29</v>
      </c>
      <c r="F99">
        <v>22.13</v>
      </c>
      <c r="G99">
        <v>1015.35</v>
      </c>
      <c r="H99">
        <v>641.0</v>
      </c>
      <c r="I99">
        <v>-0.94</v>
      </c>
      <c r="J99">
        <v>-9.56</v>
      </c>
      <c r="K99">
        <v>1.85</v>
      </c>
      <c r="Y99" s="4">
        <f t="shared" si="1"/>
        <v>1.217079629</v>
      </c>
    </row>
    <row r="100" ht="15.75" customHeight="1">
      <c r="A100" s="1">
        <v>0.4686574074074074</v>
      </c>
      <c r="B100">
        <v>36.953735</v>
      </c>
      <c r="C100">
        <v>-25.15829</v>
      </c>
      <c r="D100">
        <v>339.2</v>
      </c>
      <c r="E100">
        <v>61.14</v>
      </c>
      <c r="F100">
        <v>22.2</v>
      </c>
      <c r="G100">
        <v>1015.42</v>
      </c>
      <c r="H100">
        <v>641.0</v>
      </c>
      <c r="I100">
        <v>-0.9</v>
      </c>
      <c r="J100">
        <v>-9.62</v>
      </c>
      <c r="K100">
        <v>1.86</v>
      </c>
      <c r="Y100" s="4">
        <f t="shared" si="1"/>
        <v>1.219238201</v>
      </c>
    </row>
    <row r="101" ht="15.75" customHeight="1">
      <c r="A101" s="1">
        <v>0.4686689814814815</v>
      </c>
      <c r="B101">
        <v>36.953735</v>
      </c>
      <c r="C101">
        <v>-25.15829</v>
      </c>
      <c r="D101">
        <v>339.0</v>
      </c>
      <c r="E101">
        <v>60.79</v>
      </c>
      <c r="F101">
        <v>22.29</v>
      </c>
      <c r="G101">
        <v>1015.39</v>
      </c>
      <c r="H101">
        <v>641.0</v>
      </c>
      <c r="I101">
        <v>-0.95</v>
      </c>
      <c r="J101">
        <v>-9.58</v>
      </c>
      <c r="K101">
        <v>1.81</v>
      </c>
      <c r="Y101" s="4">
        <f t="shared" si="1"/>
        <v>1.218960661</v>
      </c>
    </row>
    <row r="102" ht="15.75" customHeight="1">
      <c r="A102" s="1">
        <v>0.46868055555555554</v>
      </c>
      <c r="B102">
        <v>36.953735</v>
      </c>
      <c r="C102">
        <v>-25.15829</v>
      </c>
      <c r="D102">
        <v>339.0</v>
      </c>
      <c r="E102">
        <v>60.52</v>
      </c>
      <c r="F102">
        <v>22.36</v>
      </c>
      <c r="G102">
        <v>1015.41</v>
      </c>
      <c r="H102">
        <v>641.0</v>
      </c>
      <c r="I102">
        <v>-0.93</v>
      </c>
      <c r="J102">
        <v>-9.58</v>
      </c>
      <c r="K102">
        <v>1.86</v>
      </c>
      <c r="Y102" s="4">
        <f t="shared" si="1"/>
        <v>1.218705953</v>
      </c>
    </row>
    <row r="103" ht="15.75" customHeight="1">
      <c r="A103" s="1">
        <v>0.46869212962962964</v>
      </c>
      <c r="B103">
        <v>36.953735</v>
      </c>
      <c r="C103">
        <v>-25.15829</v>
      </c>
      <c r="D103">
        <v>339.0</v>
      </c>
      <c r="E103">
        <v>60.16</v>
      </c>
      <c r="F103">
        <v>22.48</v>
      </c>
      <c r="G103">
        <v>1015.32</v>
      </c>
      <c r="H103">
        <v>641.0</v>
      </c>
      <c r="I103">
        <v>-0.93</v>
      </c>
      <c r="J103">
        <v>-9.45</v>
      </c>
      <c r="K103">
        <v>1.86</v>
      </c>
      <c r="Y103" s="4">
        <f t="shared" si="1"/>
        <v>1.22046855</v>
      </c>
    </row>
    <row r="104" ht="15.75" customHeight="1">
      <c r="A104" s="1">
        <v>0.4687037037037037</v>
      </c>
      <c r="B104">
        <v>36.953735</v>
      </c>
      <c r="C104">
        <v>-25.15829</v>
      </c>
      <c r="D104">
        <v>339.0</v>
      </c>
      <c r="E104">
        <v>59.88</v>
      </c>
      <c r="F104">
        <v>22.55</v>
      </c>
      <c r="G104">
        <v>1015.36</v>
      </c>
      <c r="H104">
        <v>641.0</v>
      </c>
      <c r="I104">
        <v>-0.86</v>
      </c>
      <c r="J104">
        <v>-9.61</v>
      </c>
      <c r="K104">
        <v>1.7</v>
      </c>
      <c r="Y104" s="4">
        <f t="shared" si="1"/>
        <v>1.219917461</v>
      </c>
    </row>
    <row r="105" ht="15.75" customHeight="1">
      <c r="A105" s="1">
        <v>0.46871527777777783</v>
      </c>
      <c r="B105">
        <v>36.953735</v>
      </c>
      <c r="C105">
        <v>-25.15829</v>
      </c>
      <c r="D105">
        <v>339.0</v>
      </c>
      <c r="E105">
        <v>59.75</v>
      </c>
      <c r="F105">
        <v>22.6</v>
      </c>
      <c r="G105">
        <v>1015.38</v>
      </c>
      <c r="H105">
        <v>641.0</v>
      </c>
      <c r="I105">
        <v>-1.0</v>
      </c>
      <c r="J105">
        <v>-9.56</v>
      </c>
      <c r="K105">
        <v>1.87</v>
      </c>
      <c r="Y105" s="4">
        <f t="shared" si="1"/>
        <v>1.220963994</v>
      </c>
    </row>
    <row r="106" ht="15.75" customHeight="1">
      <c r="A106" s="1">
        <v>0.46872685185185187</v>
      </c>
      <c r="B106">
        <v>36.953735</v>
      </c>
      <c r="C106">
        <v>-25.15829</v>
      </c>
      <c r="D106">
        <v>339.0</v>
      </c>
      <c r="E106">
        <v>59.56</v>
      </c>
      <c r="F106">
        <v>22.66</v>
      </c>
      <c r="G106">
        <v>1015.37</v>
      </c>
      <c r="H106">
        <v>641.0</v>
      </c>
      <c r="I106">
        <v>-0.99</v>
      </c>
      <c r="J106">
        <v>-9.67</v>
      </c>
      <c r="K106">
        <v>1.85</v>
      </c>
      <c r="Y106" s="4">
        <f t="shared" si="1"/>
        <v>1.221546942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4.29"/>
    <col customWidth="1" min="3" max="3" width="14.29"/>
    <col customWidth="1" min="4" max="4" width="26.0"/>
    <col customWidth="1" min="5" max="5" width="20.29"/>
    <col customWidth="1" min="6" max="6" width="34.29"/>
    <col customWidth="1" min="7" max="8" width="16.0"/>
    <col customWidth="1" min="9" max="9" width="8.71"/>
    <col customWidth="1" min="10" max="10" width="31.14"/>
    <col customWidth="1" min="11" max="11" width="10.29"/>
    <col customWidth="1" min="12" max="12" width="12.43"/>
    <col customWidth="1" min="13" max="26" width="8.71"/>
  </cols>
  <sheetData>
    <row r="1">
      <c r="B1" t="s">
        <v>93</v>
      </c>
      <c r="D1" s="19" t="s">
        <v>94</v>
      </c>
      <c r="H1" t="s">
        <v>95</v>
      </c>
      <c r="J1" t="s">
        <v>96</v>
      </c>
      <c r="K1" s="3">
        <f t="shared" ref="K1:K4" si="1">N1-M1/60</f>
        <v>50.19662442</v>
      </c>
      <c r="M1">
        <f>1.02*COT(RADIANS(90-N1)+10.3/(RADIANS(90-N1)+5.11))*283/101*'Výsledky'!J8/10/(273.15+'Výsledky'!I8)</f>
        <v>-0.1102412809</v>
      </c>
      <c r="N1">
        <f t="shared" ref="N1:N2" si="2">IF($C4 &lt; $B$13,$H$4/($B$13-$H$10)*($C4-$H$10), $H$4/($H$12-$B$13)*($H$12-$C4))</f>
        <v>50.19478706</v>
      </c>
    </row>
    <row r="2">
      <c r="E2" t="s">
        <v>97</v>
      </c>
      <c r="F2" s="19">
        <f>E4-J11</f>
        <v>290.5313974</v>
      </c>
      <c r="G2" t="s">
        <v>98</v>
      </c>
      <c r="H2">
        <f>23.45*SIN(RADIANS(0.98*B4+29.7*A4-109))</f>
        <v>23.18633714</v>
      </c>
      <c r="K2" s="3">
        <f t="shared" si="1"/>
        <v>2.950168883</v>
      </c>
      <c r="L2" s="5" t="s">
        <v>99</v>
      </c>
      <c r="M2">
        <f>1.02*COT(RADIANS(90-N2)+10.3/(RADIANS(90-N2)+5.11))*283/101*'Výsledky'!J9/10/(273.15+'Výsledky'!I9)</f>
        <v>-0.1285648193</v>
      </c>
      <c r="N2">
        <f t="shared" si="2"/>
        <v>2.948026136</v>
      </c>
    </row>
    <row r="3">
      <c r="A3" t="s">
        <v>100</v>
      </c>
      <c r="B3" t="s">
        <v>101</v>
      </c>
      <c r="C3" t="s">
        <v>0</v>
      </c>
      <c r="D3" t="s">
        <v>1</v>
      </c>
      <c r="E3" t="s">
        <v>102</v>
      </c>
      <c r="F3" t="s">
        <v>103</v>
      </c>
      <c r="H3" t="s">
        <v>104</v>
      </c>
      <c r="K3" s="3" t="str">
        <f t="shared" si="1"/>
        <v>#REF!</v>
      </c>
      <c r="L3" s="5" t="s">
        <v>106</v>
      </c>
      <c r="M3" t="str">
        <f>1.02*COT(RADIANS(90-N3)+10.3/(RADIANS(90-N3)+5.11))*283/101*'Výsledky'!J10/10/(273.15+'Výsledky'!I10)</f>
        <v>#REF!</v>
      </c>
      <c r="N3" t="str">
        <f>IF(#REF! &lt; $B$13,$H$4/($B$13-$H$10)*(#REF!-$H$10), $H$4/($H$12-$B$13)*($H$12-#REF!))</f>
        <v>#REF!</v>
      </c>
    </row>
    <row r="4">
      <c r="A4" s="20">
        <v>6.0</v>
      </c>
      <c r="B4" s="20">
        <v>30.0</v>
      </c>
      <c r="C4" s="21">
        <v>11.2</v>
      </c>
      <c r="D4" s="20">
        <f>'Výsledky'!E7</f>
        <v>36.95821914</v>
      </c>
      <c r="E4" s="22">
        <f>273.15+'Výsledky'!I7</f>
        <v>296.0686667</v>
      </c>
      <c r="F4" s="23">
        <v>3000.0</v>
      </c>
      <c r="H4">
        <f>90-ABS(D4)+H2</f>
        <v>76.22811799</v>
      </c>
      <c r="J4" t="s">
        <v>117</v>
      </c>
      <c r="K4" s="3">
        <f t="shared" si="1"/>
        <v>0.01994692603</v>
      </c>
      <c r="L4" s="5" t="s">
        <v>118</v>
      </c>
      <c r="M4">
        <f>1.02*COT(RADIANS(90-N4)+10.3/(RADIANS(90-N4)+5.11))*283/101*'Výsledky'!J11/10/(273.15+'Výsledky'!I11)</f>
        <v>-60.77577786</v>
      </c>
      <c r="N4">
        <f>IF($C6 &lt; $B$13,$H$4/($B$13-$H$10)*($C6-$H$10), $H$4/($H$12-$B$13)*($H$12-$C6))</f>
        <v>-0.992982705</v>
      </c>
    </row>
    <row r="5">
      <c r="C5">
        <f>20+39/60</f>
        <v>20.65</v>
      </c>
      <c r="D5" t="s">
        <v>119</v>
      </c>
      <c r="F5" t="s">
        <v>120</v>
      </c>
      <c r="J5">
        <f>IF(C4&lt;B13,(-COS(RADIANS(K1))+COS(RADIANS(0)))*Atmosphere!J2*(1-Atmosphere!C8)*3600*(C4-H10),(-COS(RADIANS(K1))+COS(RADIANS(0)))*Atmosphere!J2*(1-Atmosphere!C8)*3600*(H12-C4)+(COS(RADIANS(H4))+COS(RADIANS(0)))*Atmosphere!J2*(1-Atmosphere!C8)*3600*(H7/2))</f>
        <v>5916231.739</v>
      </c>
      <c r="K5" t="s">
        <v>121</v>
      </c>
    </row>
    <row r="6">
      <c r="C6">
        <f>21+1.5/60</f>
        <v>21.025</v>
      </c>
      <c r="D6" s="20">
        <f>-'Výsledky'!F7</f>
        <v>25.15736056</v>
      </c>
      <c r="F6" s="20">
        <v>920.0</v>
      </c>
      <c r="H6" t="s">
        <v>122</v>
      </c>
    </row>
    <row r="7">
      <c r="H7">
        <f>DEGREES(ACOS(-TAN(RADIANS(D4))*TAN(RADIANS(H2))))*2/15</f>
        <v>14.50671409</v>
      </c>
      <c r="I7" t="s">
        <v>123</v>
      </c>
    </row>
    <row r="8">
      <c r="F8">
        <f>F2-273.15</f>
        <v>17.38139744</v>
      </c>
    </row>
    <row r="9">
      <c r="A9" s="5" t="s">
        <v>124</v>
      </c>
      <c r="B9" s="24" t="s">
        <v>125</v>
      </c>
      <c r="H9" t="s">
        <v>126</v>
      </c>
      <c r="J9" t="s">
        <v>127</v>
      </c>
    </row>
    <row r="10">
      <c r="A10" t="s">
        <v>128</v>
      </c>
      <c r="B10" s="20" t="s">
        <v>125</v>
      </c>
      <c r="H10" s="3">
        <f>B13-H7/2</f>
        <v>6.423800324</v>
      </c>
      <c r="I10" t="s">
        <v>123</v>
      </c>
      <c r="J10">
        <f>IF(B9 = "YES",$J$5/($F$6*$F$4),$J$5/($F$6*$F$4)*0.3)</f>
        <v>2.143562224</v>
      </c>
      <c r="L10" t="s">
        <v>129</v>
      </c>
      <c r="M10" s="25">
        <v>0.12</v>
      </c>
    </row>
    <row r="11">
      <c r="A11" t="s">
        <v>130</v>
      </c>
      <c r="B11" s="20">
        <f>-1</f>
        <v>-1</v>
      </c>
      <c r="C11" s="2"/>
      <c r="H11" t="s">
        <v>131</v>
      </c>
      <c r="J11">
        <f>J10*(LN(M11)-LN(M10))/(M11-M10)</f>
        <v>5.537269231</v>
      </c>
      <c r="L11" t="s">
        <v>132</v>
      </c>
      <c r="M11" s="25">
        <v>0.9</v>
      </c>
    </row>
    <row r="12">
      <c r="H12" s="3">
        <f>B13+H7/2</f>
        <v>20.93051442</v>
      </c>
      <c r="I12" t="s">
        <v>123</v>
      </c>
    </row>
    <row r="13">
      <c r="A13" t="s">
        <v>133</v>
      </c>
      <c r="B13">
        <f>IF(B10="YES",13+(D6+B11*15)/15,12+(D6+B11*15)/15)</f>
        <v>13.67715737</v>
      </c>
      <c r="J13" t="s">
        <v>134</v>
      </c>
    </row>
    <row r="15">
      <c r="A15" s="26" t="s">
        <v>135</v>
      </c>
    </row>
    <row r="16">
      <c r="F16" s="2"/>
      <c r="I16" s="2"/>
    </row>
    <row r="17">
      <c r="F17" s="2"/>
      <c r="I17" s="2"/>
    </row>
    <row r="18">
      <c r="F18" s="2"/>
      <c r="I18" s="2"/>
    </row>
    <row r="19">
      <c r="F19" s="2"/>
      <c r="I19" s="2"/>
    </row>
    <row r="20">
      <c r="F20" s="2"/>
      <c r="I2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6" width="8.71"/>
    <col customWidth="1" min="7" max="7" width="12.0"/>
    <col customWidth="1" min="8" max="26" width="8.71"/>
  </cols>
  <sheetData>
    <row r="1">
      <c r="A1" t="s">
        <v>105</v>
      </c>
      <c r="B1">
        <f>1.38*10^(-23)</f>
        <v>0</v>
      </c>
      <c r="C1" t="s">
        <v>107</v>
      </c>
      <c r="D1">
        <v>6371.0</v>
      </c>
      <c r="E1" t="s">
        <v>108</v>
      </c>
      <c r="G1">
        <f>'Výsledky'!AE7/B2*(D1*1000)^2</f>
        <v>5.66233E+24</v>
      </c>
    </row>
    <row r="2">
      <c r="A2" t="s">
        <v>109</v>
      </c>
      <c r="B2">
        <f>6.674*10^(-11)</f>
        <v>0</v>
      </c>
      <c r="G2">
        <f>'Výsledky'!AE9/B2*(D1*1000)^2</f>
        <v>4.03454E+23</v>
      </c>
    </row>
    <row r="3">
      <c r="A3" t="s">
        <v>110</v>
      </c>
      <c r="B3">
        <v>28.96</v>
      </c>
    </row>
    <row r="4">
      <c r="A4" t="s">
        <v>111</v>
      </c>
      <c r="B4" t="s">
        <v>112</v>
      </c>
      <c r="C4" t="s">
        <v>113</v>
      </c>
      <c r="F4" t="s">
        <v>114</v>
      </c>
      <c r="G4" t="s">
        <v>115</v>
      </c>
      <c r="H4" t="s">
        <v>116</v>
      </c>
    </row>
    <row r="5">
      <c r="A5">
        <v>40000.0</v>
      </c>
      <c r="B5">
        <f>'Výsledky'!I$7+273.15 + 0</f>
        <v>296.0686667</v>
      </c>
      <c r="C5" t="str">
        <f t="shared" ref="C5:C22" si="1">IF((G5+H5)&lt;F5,"ANO","NE")</f>
        <v>ANO</v>
      </c>
      <c r="F5">
        <f t="shared" ref="F5:F22" si="2">SQRT(2*$B$2*G$1/((6371*1000+A5)))</f>
        <v>10857.82092</v>
      </c>
      <c r="G5">
        <f t="shared" ref="G5:G22" si="3">SQRT(3*$B$1*B5/($B$3*1.667*10^(-27)))</f>
        <v>503.8825469</v>
      </c>
      <c r="H5">
        <f>(40075+A5*2*PI())/24/3.6</f>
        <v>3372.713105</v>
      </c>
      <c r="I5">
        <f t="shared" ref="I5:I22" si="4">F5-G5-H5</f>
        <v>6981.225269</v>
      </c>
      <c r="K5">
        <f t="shared" ref="K5:K22" si="5">SQRT(2*$B$2*G$2/((6371+A5)*1000))</f>
        <v>1077.660862</v>
      </c>
      <c r="L5">
        <f t="shared" ref="L5:L22" si="6">SQRT(3*$B$1*30/($B$3*1.667*10^(-27)))</f>
        <v>160.3960686</v>
      </c>
      <c r="N5">
        <f t="shared" ref="N5:N22" si="7">K5+L5</f>
        <v>1238.05693</v>
      </c>
    </row>
    <row r="6">
      <c r="A6">
        <v>80000.0</v>
      </c>
      <c r="B6">
        <f t="shared" ref="B6:B22" si="8">B5</f>
        <v>296.0686667</v>
      </c>
      <c r="C6" t="str">
        <f t="shared" si="1"/>
        <v>ANO</v>
      </c>
      <c r="F6">
        <f t="shared" si="2"/>
        <v>10824.10613</v>
      </c>
      <c r="G6">
        <f t="shared" si="3"/>
        <v>503.8825469</v>
      </c>
      <c r="H6">
        <f t="shared" ref="H6:H22" si="9">(6730+A6)/24/3.6*2*PI()</f>
        <v>6307.183584</v>
      </c>
      <c r="I6">
        <f t="shared" si="4"/>
        <v>4013.040003</v>
      </c>
      <c r="K6">
        <f t="shared" si="5"/>
        <v>789.6258681</v>
      </c>
      <c r="L6">
        <f t="shared" si="6"/>
        <v>160.3960686</v>
      </c>
      <c r="N6">
        <f t="shared" si="7"/>
        <v>950.0219367</v>
      </c>
    </row>
    <row r="7">
      <c r="A7">
        <v>85000.0</v>
      </c>
      <c r="B7">
        <f t="shared" si="8"/>
        <v>296.0686667</v>
      </c>
      <c r="C7" t="str">
        <f t="shared" si="1"/>
        <v>ANO</v>
      </c>
      <c r="F7">
        <f t="shared" si="2"/>
        <v>10819.91383</v>
      </c>
      <c r="G7">
        <f t="shared" si="3"/>
        <v>503.8825469</v>
      </c>
      <c r="H7">
        <f t="shared" si="9"/>
        <v>6670.793845</v>
      </c>
      <c r="I7">
        <f t="shared" si="4"/>
        <v>3645.237439</v>
      </c>
      <c r="K7">
        <f t="shared" si="5"/>
        <v>767.7169907</v>
      </c>
      <c r="L7">
        <f t="shared" si="6"/>
        <v>160.3960686</v>
      </c>
      <c r="N7">
        <f t="shared" si="7"/>
        <v>928.1130593</v>
      </c>
    </row>
    <row r="8">
      <c r="A8">
        <v>90000.0</v>
      </c>
      <c r="B8">
        <f t="shared" si="8"/>
        <v>296.0686667</v>
      </c>
      <c r="C8" t="str">
        <f t="shared" si="1"/>
        <v>ANO</v>
      </c>
      <c r="F8">
        <f t="shared" si="2"/>
        <v>10815.7264</v>
      </c>
      <c r="G8">
        <f t="shared" si="3"/>
        <v>503.8825469</v>
      </c>
      <c r="H8">
        <f t="shared" si="9"/>
        <v>7034.404106</v>
      </c>
      <c r="I8">
        <f t="shared" si="4"/>
        <v>3277.439743</v>
      </c>
      <c r="K8">
        <f t="shared" si="5"/>
        <v>747.5360796</v>
      </c>
      <c r="L8">
        <f t="shared" si="6"/>
        <v>160.3960686</v>
      </c>
      <c r="N8">
        <f t="shared" si="7"/>
        <v>907.9321481</v>
      </c>
    </row>
    <row r="9">
      <c r="A9">
        <v>95000.0</v>
      </c>
      <c r="B9">
        <f t="shared" si="8"/>
        <v>296.0686667</v>
      </c>
      <c r="C9" t="str">
        <f t="shared" si="1"/>
        <v>ANO</v>
      </c>
      <c r="F9">
        <f t="shared" si="2"/>
        <v>10811.54382</v>
      </c>
      <c r="G9">
        <f t="shared" si="3"/>
        <v>503.8825469</v>
      </c>
      <c r="H9">
        <f t="shared" si="9"/>
        <v>7398.014367</v>
      </c>
      <c r="I9">
        <f t="shared" si="4"/>
        <v>2909.646905</v>
      </c>
      <c r="K9">
        <f t="shared" si="5"/>
        <v>728.867316</v>
      </c>
      <c r="L9">
        <f t="shared" si="6"/>
        <v>160.3960686</v>
      </c>
      <c r="N9">
        <f t="shared" si="7"/>
        <v>889.2633846</v>
      </c>
    </row>
    <row r="10">
      <c r="A10">
        <v>100000.0</v>
      </c>
      <c r="B10">
        <f t="shared" si="8"/>
        <v>296.0686667</v>
      </c>
      <c r="C10" t="str">
        <f t="shared" si="1"/>
        <v>ANO</v>
      </c>
      <c r="F10">
        <f t="shared" si="2"/>
        <v>10807.36609</v>
      </c>
      <c r="G10">
        <f t="shared" si="3"/>
        <v>503.8825469</v>
      </c>
      <c r="H10">
        <f t="shared" si="9"/>
        <v>7761.624628</v>
      </c>
      <c r="I10">
        <f t="shared" si="4"/>
        <v>2541.858915</v>
      </c>
      <c r="K10">
        <f t="shared" si="5"/>
        <v>711.5308265</v>
      </c>
      <c r="L10">
        <f t="shared" si="6"/>
        <v>160.3960686</v>
      </c>
      <c r="N10">
        <f t="shared" si="7"/>
        <v>871.9268951</v>
      </c>
    </row>
    <row r="11">
      <c r="A11">
        <v>105000.0</v>
      </c>
      <c r="B11">
        <f t="shared" si="8"/>
        <v>296.0686667</v>
      </c>
      <c r="C11" t="str">
        <f t="shared" si="1"/>
        <v>ANO</v>
      </c>
      <c r="F11">
        <f t="shared" si="2"/>
        <v>10803.1932</v>
      </c>
      <c r="G11">
        <f t="shared" si="3"/>
        <v>503.8825469</v>
      </c>
      <c r="H11">
        <f t="shared" si="9"/>
        <v>8125.234889</v>
      </c>
      <c r="I11">
        <f t="shared" si="4"/>
        <v>2174.075765</v>
      </c>
      <c r="K11">
        <f t="shared" si="5"/>
        <v>695.3753343</v>
      </c>
      <c r="L11">
        <f t="shared" si="6"/>
        <v>160.3960686</v>
      </c>
      <c r="N11">
        <f t="shared" si="7"/>
        <v>855.7714029</v>
      </c>
    </row>
    <row r="12">
      <c r="A12">
        <v>110000.0</v>
      </c>
      <c r="B12">
        <f t="shared" si="8"/>
        <v>296.0686667</v>
      </c>
      <c r="C12" t="str">
        <f t="shared" si="1"/>
        <v>ANO</v>
      </c>
      <c r="F12">
        <f t="shared" si="2"/>
        <v>10799.02514</v>
      </c>
      <c r="G12">
        <f t="shared" si="3"/>
        <v>503.8825469</v>
      </c>
      <c r="H12">
        <f t="shared" si="9"/>
        <v>8488.845149</v>
      </c>
      <c r="I12">
        <f t="shared" si="4"/>
        <v>1806.297445</v>
      </c>
      <c r="K12">
        <f t="shared" si="5"/>
        <v>680.2725676</v>
      </c>
      <c r="L12">
        <f t="shared" si="6"/>
        <v>160.3960686</v>
      </c>
      <c r="N12">
        <f t="shared" si="7"/>
        <v>840.6686362</v>
      </c>
    </row>
    <row r="13">
      <c r="A13">
        <v>115000.0</v>
      </c>
      <c r="B13">
        <f t="shared" si="8"/>
        <v>296.0686667</v>
      </c>
      <c r="C13" t="str">
        <f t="shared" si="1"/>
        <v>ANO</v>
      </c>
      <c r="F13">
        <f t="shared" si="2"/>
        <v>10794.8619</v>
      </c>
      <c r="G13">
        <f t="shared" si="3"/>
        <v>503.8825469</v>
      </c>
      <c r="H13">
        <f t="shared" si="9"/>
        <v>8852.45541</v>
      </c>
      <c r="I13">
        <f t="shared" si="4"/>
        <v>1438.523945</v>
      </c>
      <c r="K13">
        <f t="shared" si="5"/>
        <v>666.1129489</v>
      </c>
      <c r="L13">
        <f t="shared" si="6"/>
        <v>160.3960686</v>
      </c>
      <c r="N13">
        <f t="shared" si="7"/>
        <v>826.5090175</v>
      </c>
    </row>
    <row r="14">
      <c r="A14">
        <v>120000.0</v>
      </c>
      <c r="B14">
        <f t="shared" si="8"/>
        <v>296.0686667</v>
      </c>
      <c r="C14" t="str">
        <f t="shared" si="1"/>
        <v>ANO</v>
      </c>
      <c r="F14">
        <f t="shared" si="2"/>
        <v>10790.70347</v>
      </c>
      <c r="G14">
        <f t="shared" si="3"/>
        <v>503.8825469</v>
      </c>
      <c r="H14">
        <f t="shared" si="9"/>
        <v>9216.065671</v>
      </c>
      <c r="I14">
        <f t="shared" si="4"/>
        <v>1070.755256</v>
      </c>
      <c r="K14">
        <f t="shared" si="5"/>
        <v>652.8022314</v>
      </c>
      <c r="L14">
        <f t="shared" si="6"/>
        <v>160.3960686</v>
      </c>
      <c r="N14">
        <f t="shared" si="7"/>
        <v>813.1983</v>
      </c>
    </row>
    <row r="15">
      <c r="A15">
        <v>125000.0</v>
      </c>
      <c r="B15">
        <f t="shared" si="8"/>
        <v>296.0686667</v>
      </c>
      <c r="C15" t="str">
        <f t="shared" si="1"/>
        <v>ANO</v>
      </c>
      <c r="F15">
        <f t="shared" si="2"/>
        <v>10786.54985</v>
      </c>
      <c r="G15">
        <f t="shared" si="3"/>
        <v>503.8825469</v>
      </c>
      <c r="H15">
        <f t="shared" si="9"/>
        <v>9579.675932</v>
      </c>
      <c r="I15">
        <f t="shared" si="4"/>
        <v>702.9913699</v>
      </c>
      <c r="K15">
        <f t="shared" si="5"/>
        <v>640.2588473</v>
      </c>
      <c r="L15">
        <f t="shared" si="6"/>
        <v>160.3960686</v>
      </c>
      <c r="N15">
        <f t="shared" si="7"/>
        <v>800.6549159</v>
      </c>
    </row>
    <row r="16">
      <c r="A16">
        <v>130000.0</v>
      </c>
      <c r="B16">
        <f t="shared" si="8"/>
        <v>296.0686667</v>
      </c>
      <c r="C16" t="str">
        <f t="shared" si="1"/>
        <v>ANO</v>
      </c>
      <c r="F16">
        <f t="shared" si="2"/>
        <v>10782.40102</v>
      </c>
      <c r="G16">
        <f t="shared" si="3"/>
        <v>503.8825469</v>
      </c>
      <c r="H16">
        <f t="shared" si="9"/>
        <v>9943.286193</v>
      </c>
      <c r="I16">
        <f t="shared" si="4"/>
        <v>335.2322764</v>
      </c>
      <c r="K16">
        <f t="shared" si="5"/>
        <v>628.4117961</v>
      </c>
      <c r="L16">
        <f t="shared" si="6"/>
        <v>160.3960686</v>
      </c>
      <c r="N16">
        <f t="shared" si="7"/>
        <v>788.8078647</v>
      </c>
    </row>
    <row r="17">
      <c r="A17">
        <v>135000.0</v>
      </c>
      <c r="B17">
        <f t="shared" si="8"/>
        <v>296.0686667</v>
      </c>
      <c r="C17" t="str">
        <f t="shared" si="1"/>
        <v>NE</v>
      </c>
      <c r="F17">
        <f t="shared" si="2"/>
        <v>10778.25697</v>
      </c>
      <c r="G17">
        <f t="shared" si="3"/>
        <v>503.8825469</v>
      </c>
      <c r="H17">
        <f t="shared" si="9"/>
        <v>10306.89645</v>
      </c>
      <c r="I17">
        <f t="shared" si="4"/>
        <v>-32.52203359</v>
      </c>
      <c r="K17">
        <f t="shared" si="5"/>
        <v>617.1989468</v>
      </c>
      <c r="L17">
        <f t="shared" si="6"/>
        <v>160.3960686</v>
      </c>
      <c r="N17">
        <f t="shared" si="7"/>
        <v>777.5950154</v>
      </c>
    </row>
    <row r="18">
      <c r="A18">
        <v>140000.0</v>
      </c>
      <c r="B18">
        <f t="shared" si="8"/>
        <v>296.0686667</v>
      </c>
      <c r="C18" t="str">
        <f t="shared" si="1"/>
        <v>NE</v>
      </c>
      <c r="F18">
        <f t="shared" si="2"/>
        <v>10774.11769</v>
      </c>
      <c r="G18">
        <f t="shared" si="3"/>
        <v>503.8825469</v>
      </c>
      <c r="H18">
        <f t="shared" si="9"/>
        <v>10670.50671</v>
      </c>
      <c r="I18">
        <f t="shared" si="4"/>
        <v>-400.2715691</v>
      </c>
      <c r="K18">
        <f t="shared" si="5"/>
        <v>606.5656624</v>
      </c>
      <c r="L18">
        <f t="shared" si="6"/>
        <v>160.3960686</v>
      </c>
      <c r="N18">
        <f t="shared" si="7"/>
        <v>766.961731</v>
      </c>
    </row>
    <row r="19">
      <c r="A19">
        <v>145000.0</v>
      </c>
      <c r="B19">
        <f t="shared" si="8"/>
        <v>296.0686667</v>
      </c>
      <c r="C19" t="str">
        <f t="shared" si="1"/>
        <v>NE</v>
      </c>
      <c r="F19">
        <f t="shared" si="2"/>
        <v>10769.98318</v>
      </c>
      <c r="G19">
        <f t="shared" si="3"/>
        <v>503.8825469</v>
      </c>
      <c r="H19">
        <f t="shared" si="9"/>
        <v>11034.11698</v>
      </c>
      <c r="I19">
        <f t="shared" si="4"/>
        <v>-768.0163394</v>
      </c>
      <c r="K19">
        <f t="shared" si="5"/>
        <v>596.4636768</v>
      </c>
      <c r="L19">
        <f t="shared" si="6"/>
        <v>160.3960686</v>
      </c>
      <c r="N19">
        <f t="shared" si="7"/>
        <v>756.8597454</v>
      </c>
    </row>
    <row r="20">
      <c r="A20">
        <v>150000.0</v>
      </c>
      <c r="B20">
        <f t="shared" si="8"/>
        <v>296.0686667</v>
      </c>
      <c r="C20" t="str">
        <f t="shared" si="1"/>
        <v>NE</v>
      </c>
      <c r="F20">
        <f t="shared" si="2"/>
        <v>10765.85343</v>
      </c>
      <c r="G20">
        <f t="shared" si="3"/>
        <v>503.8825469</v>
      </c>
      <c r="H20">
        <f t="shared" si="9"/>
        <v>11397.72724</v>
      </c>
      <c r="I20">
        <f t="shared" si="4"/>
        <v>-1135.756353</v>
      </c>
      <c r="K20">
        <f t="shared" si="5"/>
        <v>586.8501698</v>
      </c>
      <c r="L20">
        <f t="shared" si="6"/>
        <v>160.3960686</v>
      </c>
      <c r="N20">
        <f t="shared" si="7"/>
        <v>747.2462384</v>
      </c>
    </row>
    <row r="21" ht="15.75" customHeight="1">
      <c r="A21">
        <v>155000.0</v>
      </c>
      <c r="B21">
        <f t="shared" si="8"/>
        <v>296.0686667</v>
      </c>
      <c r="C21" t="str">
        <f t="shared" si="1"/>
        <v>NE</v>
      </c>
      <c r="F21">
        <f t="shared" si="2"/>
        <v>10761.72842</v>
      </c>
      <c r="G21">
        <f t="shared" si="3"/>
        <v>503.8825469</v>
      </c>
      <c r="H21">
        <f t="shared" si="9"/>
        <v>11761.3375</v>
      </c>
      <c r="I21">
        <f t="shared" si="4"/>
        <v>-1503.491621</v>
      </c>
      <c r="K21">
        <f t="shared" si="5"/>
        <v>577.6870022</v>
      </c>
      <c r="L21">
        <f t="shared" si="6"/>
        <v>160.3960686</v>
      </c>
      <c r="N21">
        <f t="shared" si="7"/>
        <v>738.0830708</v>
      </c>
    </row>
    <row r="22" ht="15.75" customHeight="1">
      <c r="A22">
        <v>160000.0</v>
      </c>
      <c r="B22">
        <f t="shared" si="8"/>
        <v>296.0686667</v>
      </c>
      <c r="C22" t="str">
        <f t="shared" si="1"/>
        <v>NE</v>
      </c>
      <c r="F22">
        <f t="shared" si="2"/>
        <v>10757.60815</v>
      </c>
      <c r="G22">
        <f t="shared" si="3"/>
        <v>503.8825469</v>
      </c>
      <c r="H22">
        <f t="shared" si="9"/>
        <v>12124.94776</v>
      </c>
      <c r="I22">
        <f t="shared" si="4"/>
        <v>-1871.22215</v>
      </c>
      <c r="K22">
        <f t="shared" si="5"/>
        <v>568.9400778</v>
      </c>
      <c r="L22">
        <f t="shared" si="6"/>
        <v>160.3960686</v>
      </c>
      <c r="N22">
        <f t="shared" si="7"/>
        <v>729.3361464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12.0"/>
    <col customWidth="1" min="3" max="3" width="19.43"/>
    <col customWidth="1" min="4" max="4" width="16.0"/>
    <col customWidth="1" min="5" max="5" width="11.43"/>
    <col customWidth="1" min="6" max="8" width="8.71"/>
    <col customWidth="1" min="9" max="9" width="47.71"/>
    <col customWidth="1" min="10" max="10" width="12.0"/>
    <col customWidth="1" min="11" max="26" width="8.71"/>
  </cols>
  <sheetData>
    <row r="1">
      <c r="A1" t="s">
        <v>146</v>
      </c>
      <c r="B1" t="s">
        <v>147</v>
      </c>
      <c r="C1" t="s">
        <v>148</v>
      </c>
      <c r="D1" t="s">
        <v>149</v>
      </c>
      <c r="F1" t="s">
        <v>150</v>
      </c>
      <c r="I1" t="s">
        <v>151</v>
      </c>
      <c r="J1">
        <f>(J2/4*(1-C8)/(5.670367*10^(-8)))^0.25</f>
        <v>254.8111223</v>
      </c>
    </row>
    <row r="2">
      <c r="A2" t="s">
        <v>152</v>
      </c>
      <c r="B2">
        <v>1.0</v>
      </c>
      <c r="C2" s="25">
        <v>380.0</v>
      </c>
      <c r="D2" s="30">
        <f t="shared" ref="D2:D5" si="1">B2*C2/(B$4*$C$4+$B$2*$C$2+$B$5*$C$5+$B$3*$C$3+$B$6*$C$6)</f>
        <v>0.08054855592</v>
      </c>
      <c r="I2" t="s">
        <v>153</v>
      </c>
      <c r="J2">
        <f>B17*4*PI()*B18^2*B15^4/(B16^2*4*PI())</f>
        <v>1365.98724</v>
      </c>
    </row>
    <row r="3">
      <c r="A3" t="s">
        <v>154</v>
      </c>
      <c r="B3" s="5">
        <v>1000.0</v>
      </c>
      <c r="C3" s="20">
        <f>280*7/3/10^3</f>
        <v>0.6533333333</v>
      </c>
      <c r="D3" s="30">
        <f t="shared" si="1"/>
        <v>0.1384869909</v>
      </c>
    </row>
    <row r="4">
      <c r="A4" t="s">
        <v>157</v>
      </c>
      <c r="B4" s="31">
        <v>0.72</v>
      </c>
      <c r="C4" s="20">
        <f>Spectroscopy!AJ2*Spectroscopy!AO1*1000000</f>
        <v>5117.108294</v>
      </c>
      <c r="D4" s="30">
        <f t="shared" si="1"/>
        <v>0.7809644532</v>
      </c>
      <c r="F4">
        <f>B4*C4+B2*C2+B5*C5+B3*C3+B6*C6</f>
        <v>4717.651305</v>
      </c>
      <c r="I4" t="s">
        <v>159</v>
      </c>
      <c r="J4" s="20">
        <f>'Temperature regulation'!F2</f>
        <v>290.5313974</v>
      </c>
    </row>
    <row r="5">
      <c r="A5" t="s">
        <v>160</v>
      </c>
      <c r="B5" s="5">
        <v>80.0</v>
      </c>
      <c r="C5" s="25">
        <v>0.0</v>
      </c>
      <c r="D5" s="30">
        <f t="shared" si="1"/>
        <v>0</v>
      </c>
      <c r="I5" t="s">
        <v>161</v>
      </c>
      <c r="J5">
        <f>2*(1-J2*(1-C8)/(J4^4*4*B17))</f>
        <v>0.8165243248</v>
      </c>
    </row>
    <row r="6">
      <c r="A6" t="s">
        <v>163</v>
      </c>
      <c r="B6" s="5">
        <v>300.0</v>
      </c>
      <c r="C6" s="25">
        <v>0.0</v>
      </c>
      <c r="D6" s="30">
        <f>310/10^9</f>
        <v>0.00000031</v>
      </c>
    </row>
    <row r="7">
      <c r="A7" t="s">
        <v>165</v>
      </c>
    </row>
    <row r="8">
      <c r="B8" t="s">
        <v>166</v>
      </c>
      <c r="C8">
        <f>0.3</f>
        <v>0.3</v>
      </c>
    </row>
    <row r="15">
      <c r="A15" t="s">
        <v>167</v>
      </c>
      <c r="B15">
        <v>5778.0</v>
      </c>
      <c r="C15" t="s">
        <v>98</v>
      </c>
    </row>
    <row r="16">
      <c r="A16" t="s">
        <v>168</v>
      </c>
      <c r="B16">
        <f>149597871000</f>
        <v>149597871000</v>
      </c>
    </row>
    <row r="17">
      <c r="A17" t="s">
        <v>105</v>
      </c>
      <c r="B17">
        <f>5.67*10^(-8)</f>
        <v>0.0000000567</v>
      </c>
    </row>
    <row r="18">
      <c r="A18" t="s">
        <v>169</v>
      </c>
      <c r="B18">
        <v>6.95508E8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6" width="8.71"/>
  </cols>
  <sheetData>
    <row r="1">
      <c r="A1" t="s">
        <v>3</v>
      </c>
      <c r="B1" t="s">
        <v>8</v>
      </c>
      <c r="C1" t="s">
        <v>10</v>
      </c>
    </row>
    <row r="2">
      <c r="A2" s="3">
        <f>IF(COUNTBLANK('Měření'!A2:A3) = 0,('Měření'!A3-'Měření'!A2)*24*60*60,)</f>
        <v>1</v>
      </c>
      <c r="B2">
        <v>22.2</v>
      </c>
      <c r="C2">
        <f>SQRT('Měření'!I2*'Měření'!I2+'Měření'!J2*'Měření'!J2+'Měření'!K2*'Měření'!K2)</f>
        <v>10.64949295</v>
      </c>
    </row>
    <row r="3">
      <c r="A3" s="3">
        <f>IF(COUNTBLANK('Měření'!A3:A4) = 0,('Měření'!A4-'Měření'!A3)*24*60*60,)</f>
        <v>1</v>
      </c>
      <c r="B3">
        <v>22.29</v>
      </c>
      <c r="C3">
        <f>SQRT('Měření'!I3*'Měření'!I3+'Měření'!J3*'Měření'!J3+'Měření'!K3*'Měření'!K3)</f>
        <v>9.429453855</v>
      </c>
    </row>
    <row r="4">
      <c r="A4" s="3">
        <f>IF(COUNTBLANK('Měření'!A4:A5) = 0,('Měření'!A5-'Měření'!A4)*24*60*60,)</f>
        <v>1</v>
      </c>
      <c r="B4">
        <v>22.36</v>
      </c>
      <c r="C4">
        <f>SQRT('Měření'!I4*'Měření'!I4+'Měření'!J4*'Měření'!J4+'Měření'!K4*'Měření'!K4)</f>
        <v>12.53524232</v>
      </c>
    </row>
    <row r="5">
      <c r="A5" s="3">
        <f>IF(COUNTBLANK('Měření'!A5:A6) = 0,('Měření'!A6-'Měření'!A5)*24*60*60,)</f>
        <v>1</v>
      </c>
      <c r="B5">
        <v>22.48</v>
      </c>
      <c r="C5">
        <f>SQRT('Měření'!I5*'Měření'!I5+'Měření'!J5*'Měření'!J5+'Měření'!K5*'Měření'!K5)</f>
        <v>10.16426092</v>
      </c>
    </row>
    <row r="6">
      <c r="A6" s="3">
        <f>IF(COUNTBLANK('Měření'!A6:A7) = 0,('Měření'!A7-'Měření'!A6)*24*60*60,)</f>
        <v>1</v>
      </c>
      <c r="B6">
        <v>22.55</v>
      </c>
      <c r="C6">
        <f>SQRT('Měření'!I6*'Měření'!I6+'Měření'!J6*'Měření'!J6+'Měření'!K6*'Měření'!K6)</f>
        <v>9.902878369</v>
      </c>
    </row>
    <row r="7">
      <c r="A7" s="3">
        <f>IF(COUNTBLANK('Měření'!A7:A8) = 0,('Měření'!A8-'Měření'!A7)*24*60*60,)</f>
        <v>1</v>
      </c>
      <c r="B7">
        <v>22.6</v>
      </c>
      <c r="C7">
        <f>SQRT('Měření'!I7*'Měření'!I7+'Měření'!J7*'Měření'!J7+'Měření'!K7*'Měření'!K7)</f>
        <v>10.46155342</v>
      </c>
    </row>
    <row r="8">
      <c r="A8" s="3">
        <f>IF(COUNTBLANK('Měření'!A8:A9) = 0,('Měření'!A9-'Měření'!A8)*24*60*60,)</f>
        <v>1</v>
      </c>
      <c r="B8">
        <v>22.66</v>
      </c>
      <c r="C8">
        <f>SQRT('Měření'!I8*'Měření'!I8+'Měření'!J8*'Měření'!J8+'Měření'!K8*'Měření'!K8)</f>
        <v>10.49892852</v>
      </c>
    </row>
    <row r="9">
      <c r="A9" s="3">
        <f>IF(COUNTBLANK('Měření'!A9:A10) = 0,('Měření'!A10-'Měření'!A9)*24*60*60,)</f>
        <v>2</v>
      </c>
      <c r="C9">
        <f>SQRT('Měření'!I9*'Měření'!I9+'Měření'!J9*'Měření'!J9+'Měření'!K9*'Měření'!K9)</f>
        <v>10.36519175</v>
      </c>
    </row>
    <row r="10">
      <c r="A10" s="3">
        <f>IF(COUNTBLANK('Měření'!A10:A11) = 0,('Měření'!A11-'Měření'!A10)*24*60*60,)</f>
        <v>1</v>
      </c>
      <c r="C10">
        <f>SQRT('Měření'!I10*'Měření'!I10+'Měření'!J10*'Měření'!J10+'Měření'!K10*'Měření'!K10)</f>
        <v>10.30988846</v>
      </c>
    </row>
    <row r="11">
      <c r="A11" s="3">
        <f>IF(COUNTBLANK('Měření'!A11:A12) = 0,('Měření'!A12-'Měření'!A11)*24*60*60,)</f>
        <v>1</v>
      </c>
      <c r="C11">
        <f>SQRT('Měření'!I11*'Měření'!I11+'Měření'!J11*'Měření'!J11+'Měření'!K11*'Měření'!K11)</f>
        <v>9.603514982</v>
      </c>
    </row>
    <row r="12">
      <c r="A12" s="3">
        <f>IF(COUNTBLANK('Měření'!A12:A13) = 0,('Měření'!A13-'Měření'!A12)*24*60*60,)</f>
        <v>1</v>
      </c>
      <c r="C12">
        <f>SQRT('Měření'!I12*'Měření'!I12+'Měření'!J12*'Měření'!J12+'Měření'!K12*'Měření'!K12)</f>
        <v>9.64832628</v>
      </c>
    </row>
    <row r="13">
      <c r="A13" s="3">
        <f>IF(COUNTBLANK('Měření'!A13:A14) = 0,('Měření'!A14-'Měření'!A13)*24*60*60,)</f>
        <v>1</v>
      </c>
      <c r="C13">
        <f>SQRT('Měření'!I13*'Měření'!I13+'Měření'!J13*'Měření'!J13+'Měření'!K13*'Měření'!K13)</f>
        <v>10.08811677</v>
      </c>
    </row>
    <row r="14">
      <c r="A14" s="3">
        <f>IF(COUNTBLANK('Měření'!A14:A15) = 0,('Měření'!A15-'Měření'!A14)*24*60*60,)</f>
        <v>1</v>
      </c>
      <c r="C14">
        <f>SQRT('Měření'!I14*'Měření'!I14+'Měření'!J14*'Měření'!J14+'Měření'!K14*'Měření'!K14)</f>
        <v>10.90564074</v>
      </c>
    </row>
    <row r="15">
      <c r="A15" s="3">
        <f>IF(COUNTBLANK('Měření'!A15:A16) = 0,('Měření'!A16-'Měření'!A15)*24*60*60,)</f>
        <v>1</v>
      </c>
      <c r="C15">
        <f>SQRT('Měření'!I15*'Měření'!I15+'Měření'!J15*'Měření'!J15+'Měření'!K15*'Měření'!K15)</f>
        <v>9.439369682</v>
      </c>
    </row>
    <row r="16">
      <c r="A16" s="3">
        <f>IF(COUNTBLANK('Měření'!A16:A17) = 0,('Měření'!A17-'Měření'!A16)*24*60*60,)</f>
        <v>1</v>
      </c>
      <c r="C16">
        <f>SQRT('Měření'!I16*'Měření'!I16+'Měření'!J16*'Měření'!J16+'Měření'!K16*'Měření'!K16)</f>
        <v>11.06990967</v>
      </c>
    </row>
    <row r="17">
      <c r="A17" s="3">
        <f>IF(COUNTBLANK('Měření'!A17:A18) = 0,('Měření'!A18-'Měření'!A17)*24*60*60,)</f>
        <v>1</v>
      </c>
      <c r="C17">
        <f>SQRT('Měření'!I17*'Měření'!I17+'Měření'!J17*'Měření'!J17+'Měření'!K17*'Měření'!K17)</f>
        <v>10.81226618</v>
      </c>
    </row>
    <row r="18">
      <c r="A18" s="3">
        <f>IF(COUNTBLANK('Měření'!A18:A19) = 0,('Měření'!A19-'Měření'!A18)*24*60*60,)</f>
        <v>1</v>
      </c>
      <c r="C18">
        <f>SQRT('Měření'!I18*'Měření'!I18+'Měření'!J18*'Měření'!J18+'Měření'!K18*'Měření'!K18)</f>
        <v>10.54356202</v>
      </c>
    </row>
    <row r="19">
      <c r="A19" s="3">
        <f>IF(COUNTBLANK('Měření'!A19:A20) = 0,('Měření'!A20-'Měření'!A19)*24*60*60,)</f>
        <v>1</v>
      </c>
      <c r="C19">
        <f>SQRT('Měření'!I19*'Měření'!I19+'Měření'!J19*'Měření'!J19+'Měření'!K19*'Měření'!K19)</f>
        <v>9.893235062</v>
      </c>
    </row>
    <row r="20">
      <c r="A20" s="3">
        <f>IF(COUNTBLANK('Měření'!A20:A21) = 0,('Měření'!A21-'Měření'!A20)*24*60*60,)</f>
        <v>1</v>
      </c>
      <c r="C20">
        <f>SQRT('Měření'!I20*'Měření'!I20+'Měření'!J20*'Měření'!J20+'Měření'!K20*'Měření'!K20)</f>
        <v>11.3826974</v>
      </c>
    </row>
    <row r="21" ht="15.75" customHeight="1">
      <c r="A21" s="3">
        <f>IF(COUNTBLANK('Měření'!A21:A22) = 0,('Měření'!A22-'Měření'!A21)*24*60*60,)</f>
        <v>1</v>
      </c>
      <c r="C21">
        <f>SQRT('Měření'!I21*'Měření'!I21+'Měření'!J21*'Měření'!J21+'Měření'!K21*'Měření'!K21)</f>
        <v>10.35694936</v>
      </c>
    </row>
    <row r="22" ht="15.75" customHeight="1">
      <c r="A22" s="3">
        <f>IF(COUNTBLANK('Měření'!A22:A23) = 0,('Měření'!A23-'Měření'!A22)*24*60*60,)</f>
        <v>1</v>
      </c>
      <c r="C22">
        <f>SQRT('Měření'!I22*'Měření'!I22+'Měření'!J22*'Měření'!J22+'Měření'!K22*'Měření'!K22)</f>
        <v>11.25817925</v>
      </c>
    </row>
    <row r="23" ht="15.75" customHeight="1">
      <c r="A23" s="3">
        <f>IF(COUNTBLANK('Měření'!A23:A24) = 0,('Měření'!A24-'Měření'!A23)*24*60*60,)</f>
        <v>1</v>
      </c>
      <c r="C23">
        <f>SQRT('Měření'!I23*'Měření'!I23+'Měření'!J23*'Měření'!J23+'Měření'!K23*'Měření'!K23)</f>
        <v>10.74654363</v>
      </c>
    </row>
    <row r="24" ht="15.75" customHeight="1">
      <c r="A24" s="3">
        <f>IF(COUNTBLANK('Měření'!A24:A25) = 0,('Měření'!A25-'Měření'!A24)*24*60*60,)</f>
        <v>1</v>
      </c>
      <c r="C24">
        <f>SQRT('Měření'!I24*'Měření'!I24+'Měření'!J24*'Měření'!J24+'Měření'!K24*'Měření'!K24)</f>
        <v>10.7513348</v>
      </c>
    </row>
    <row r="25" ht="15.75" customHeight="1">
      <c r="A25" s="3">
        <f>IF(COUNTBLANK('Měření'!A25:A26) = 0,('Měření'!A26-'Měření'!A25)*24*60*60,)</f>
        <v>1</v>
      </c>
      <c r="C25">
        <f>SQRT('Měření'!I25*'Měření'!I25+'Měření'!J25*'Měření'!J25+'Měření'!K25*'Měření'!K25)</f>
        <v>9.772333396</v>
      </c>
    </row>
    <row r="26" ht="15.75" customHeight="1">
      <c r="A26" s="3">
        <f>IF(COUNTBLANK('Měření'!A26:A27) = 0,('Měření'!A27-'Měření'!A26)*24*60*60,)</f>
        <v>1</v>
      </c>
      <c r="C26">
        <f>SQRT('Měření'!I26*'Měření'!I26+'Měření'!J26*'Měření'!J26+'Měření'!K26*'Měření'!K26)</f>
        <v>10.71390685</v>
      </c>
    </row>
    <row r="27" ht="15.75" customHeight="1">
      <c r="A27" s="3">
        <f>IF(COUNTBLANK('Měření'!A27:A28) = 0,('Měření'!A28-'Měření'!A27)*24*60*60,)</f>
        <v>1</v>
      </c>
      <c r="C27">
        <f>SQRT('Měření'!I27*'Měření'!I27+'Měření'!J27*'Měření'!J27+'Měření'!K27*'Měření'!K27)</f>
        <v>11.30308807</v>
      </c>
    </row>
    <row r="28" ht="15.75" customHeight="1">
      <c r="A28" s="3">
        <f>IF(COUNTBLANK('Měření'!A28:A29) = 0,('Měření'!A29-'Měření'!A28)*24*60*60,)</f>
        <v>1</v>
      </c>
      <c r="C28">
        <f>SQRT('Měření'!I28*'Měření'!I28+'Měření'!J28*'Měření'!J28+'Měření'!K28*'Měření'!K28)</f>
        <v>9.849548213</v>
      </c>
    </row>
    <row r="29" ht="15.75" customHeight="1">
      <c r="A29" s="3">
        <f>IF(COUNTBLANK('Měření'!A29:A30) = 0,('Měření'!A30-'Měření'!A29)*24*60*60,)</f>
        <v>1</v>
      </c>
      <c r="C29">
        <f>SQRT('Měření'!I29*'Měření'!I29+'Měření'!J29*'Měření'!J29+'Měření'!K29*'Měření'!K29)</f>
        <v>10.90396717</v>
      </c>
    </row>
    <row r="30" ht="15.75" customHeight="1">
      <c r="A30" s="3">
        <f>IF(COUNTBLANK('Měření'!A30:A31) = 0,('Měření'!A31-'Měření'!A30)*24*60*60,)</f>
        <v>1</v>
      </c>
      <c r="C30">
        <f>SQRT('Měření'!I30*'Měření'!I30+'Měření'!J30*'Měření'!J30+'Měření'!K30*'Měření'!K30)</f>
        <v>10.06036282</v>
      </c>
    </row>
    <row r="31" ht="15.75" customHeight="1">
      <c r="A31" s="3">
        <f>IF(COUNTBLANK('Měření'!A31:A32) = 0,('Měření'!A32-'Měření'!A31)*24*60*60,)</f>
        <v>1</v>
      </c>
      <c r="C31">
        <f>SQRT('Měření'!I31*'Měření'!I31+'Měření'!J31*'Měření'!J31+'Měření'!K31*'Měření'!K31)</f>
        <v>10.74834871</v>
      </c>
    </row>
    <row r="32" ht="15.75" customHeight="1">
      <c r="A32" s="3">
        <f>IF(COUNTBLANK('Měření'!A32:A33) = 0,('Měření'!A33-'Měření'!A32)*24*60*60,)</f>
        <v>1</v>
      </c>
      <c r="C32">
        <f>SQRT('Měření'!I32*'Měření'!I32+'Měření'!J32*'Měření'!J32+'Měření'!K32*'Měření'!K32)</f>
        <v>10.38908562</v>
      </c>
    </row>
    <row r="33" ht="15.75" customHeight="1">
      <c r="A33" s="3">
        <f>IF(COUNTBLANK('Měření'!A33:A34) = 0,('Měření'!A34-'Měření'!A33)*24*60*60,)</f>
        <v>1</v>
      </c>
      <c r="C33">
        <f>SQRT('Měření'!I33*'Měření'!I33+'Měření'!J33*'Měření'!J33+'Měření'!K33*'Měření'!K33)</f>
        <v>10.18003929</v>
      </c>
    </row>
    <row r="34" ht="15.75" customHeight="1">
      <c r="A34" s="3">
        <f>IF(COUNTBLANK('Měření'!A34:A35) = 0,('Měření'!A35-'Měření'!A34)*24*60*60,)</f>
        <v>1</v>
      </c>
      <c r="C34">
        <f>SQRT('Měření'!I34*'Měření'!I34+'Měření'!J34*'Měření'!J34+'Měření'!K34*'Měření'!K34)</f>
        <v>10.73559034</v>
      </c>
    </row>
    <row r="35" ht="15.75" customHeight="1">
      <c r="A35" s="3">
        <f>IF(COUNTBLANK('Měření'!A35:A36) = 0,('Měření'!A36-'Měření'!A35)*24*60*60,)</f>
        <v>1</v>
      </c>
      <c r="C35">
        <f>SQRT('Měření'!I35*'Měření'!I35+'Měření'!J35*'Měření'!J35+'Měření'!K35*'Měření'!K35)</f>
        <v>10.83658156</v>
      </c>
    </row>
    <row r="36" ht="15.75" customHeight="1">
      <c r="A36" s="3">
        <f>IF(COUNTBLANK('Měření'!A36:A37) = 0,('Měření'!A37-'Měření'!A36)*24*60*60,)</f>
        <v>1</v>
      </c>
      <c r="C36">
        <f>SQRT('Měření'!I36*'Měření'!I36+'Měření'!J36*'Měření'!J36+'Měření'!K36*'Měření'!K36)</f>
        <v>9.933549215</v>
      </c>
    </row>
    <row r="37" ht="15.75" customHeight="1">
      <c r="A37" s="3">
        <f>IF(COUNTBLANK('Měření'!A37:A38) = 0,('Měření'!A38-'Měření'!A37)*24*60*60,)</f>
        <v>1</v>
      </c>
      <c r="C37">
        <f>SQRT('Měření'!I37*'Měření'!I37+'Měření'!J37*'Měření'!J37+'Měření'!K37*'Měření'!K37)</f>
        <v>9.523250495</v>
      </c>
    </row>
    <row r="38" ht="15.75" customHeight="1">
      <c r="A38" s="3">
        <f>IF(COUNTBLANK('Měření'!A38:A39) = 0,('Měření'!A39-'Měření'!A38)*24*60*60,)</f>
        <v>1</v>
      </c>
      <c r="C38">
        <f>SQRT('Měření'!I38*'Měření'!I38+'Měření'!J38*'Měření'!J38+'Měření'!K38*'Měření'!K38)</f>
        <v>9.370661663</v>
      </c>
    </row>
    <row r="39" ht="15.75" customHeight="1">
      <c r="A39" s="3">
        <f>IF(COUNTBLANK('Měření'!A39:A40) = 0,('Měření'!A40-'Měření'!A39)*24*60*60,)</f>
        <v>1</v>
      </c>
      <c r="C39">
        <f>SQRT('Měření'!I39*'Měření'!I39+'Měření'!J39*'Měření'!J39+'Měření'!K39*'Měření'!K39)</f>
        <v>10.69828491</v>
      </c>
    </row>
    <row r="40" ht="15.75" customHeight="1">
      <c r="A40" s="3">
        <f>IF(COUNTBLANK('Měření'!A40:A41) = 0,('Měření'!A41-'Měření'!A40)*24*60*60,)</f>
        <v>1</v>
      </c>
      <c r="C40">
        <f>SQRT('Měření'!I40*'Měření'!I40+'Měření'!J40*'Měření'!J40+'Měření'!K40*'Měření'!K40)</f>
        <v>10.4920732</v>
      </c>
    </row>
    <row r="41" ht="15.75" customHeight="1">
      <c r="A41" s="3">
        <f>IF(COUNTBLANK('Měření'!A41:A42) = 0,('Měření'!A42-'Měření'!A41)*24*60*60,)</f>
        <v>1</v>
      </c>
      <c r="C41">
        <f>SQRT('Měření'!I41*'Měření'!I41+'Měření'!J41*'Měření'!J41+'Měření'!K41*'Měření'!K41)</f>
        <v>10.89252037</v>
      </c>
    </row>
    <row r="42" ht="15.75" customHeight="1">
      <c r="A42" s="3">
        <f>IF(COUNTBLANK('Měření'!A42:A43) = 0,('Měření'!A43-'Měření'!A42)*24*60*60,)</f>
        <v>1</v>
      </c>
      <c r="C42">
        <f>SQRT('Měření'!I42*'Měření'!I42+'Měření'!J42*'Měření'!J42+'Měření'!K42*'Měření'!K42)</f>
        <v>10.38944657</v>
      </c>
    </row>
    <row r="43" ht="15.75" customHeight="1">
      <c r="A43" s="3">
        <f>IF(COUNTBLANK('Měření'!A43:A44) = 0,('Měření'!A44-'Měření'!A43)*24*60*60,)</f>
        <v>1</v>
      </c>
      <c r="C43">
        <f>SQRT('Měření'!I43*'Měření'!I43+'Měření'!J43*'Měření'!J43+'Měření'!K43*'Měření'!K43)</f>
        <v>10.43405003</v>
      </c>
    </row>
    <row r="44" ht="15.75" customHeight="1">
      <c r="A44" s="3">
        <f>IF(COUNTBLANK('Měření'!A44:A45) = 0,('Měření'!A45-'Měření'!A44)*24*60*60,)</f>
        <v>1</v>
      </c>
      <c r="C44">
        <f>SQRT('Měření'!I44*'Měření'!I44+'Měření'!J44*'Měření'!J44+'Měření'!K44*'Měření'!K44)</f>
        <v>10.17111597</v>
      </c>
    </row>
    <row r="45" ht="15.75" customHeight="1">
      <c r="A45" s="3">
        <f>IF(COUNTBLANK('Měření'!A45:A46) = 0,('Měření'!A46-'Měření'!A45)*24*60*60,)</f>
        <v>1</v>
      </c>
      <c r="C45">
        <f>SQRT('Měření'!I45*'Měření'!I45+'Měření'!J45*'Měření'!J45+'Měření'!K45*'Měření'!K45)</f>
        <v>10.12482592</v>
      </c>
    </row>
    <row r="46" ht="15.75" customHeight="1">
      <c r="A46" s="3">
        <f>IF(COUNTBLANK('Měření'!A46:A47) = 0,('Měření'!A47-'Měření'!A46)*24*60*60,)</f>
        <v>1</v>
      </c>
      <c r="C46">
        <f>SQRT('Měření'!I46*'Měření'!I46+'Měření'!J46*'Měření'!J46+'Měření'!K46*'Měření'!K46)</f>
        <v>10.56117891</v>
      </c>
    </row>
    <row r="47" ht="15.75" customHeight="1">
      <c r="A47" s="3">
        <f>IF(COUNTBLANK('Měření'!A47:A48) = 0,('Měření'!A48-'Měření'!A47)*24*60*60,)</f>
        <v>1</v>
      </c>
      <c r="C47">
        <f>SQRT('Měření'!I47*'Měření'!I47+'Měření'!J47*'Měření'!J47+'Měření'!K47*'Měření'!K47)</f>
        <v>9.774502545</v>
      </c>
    </row>
    <row r="48" ht="15.75" customHeight="1">
      <c r="A48" s="3">
        <f>IF(COUNTBLANK('Měření'!A48:A49) = 0,('Měření'!A49-'Měření'!A48)*24*60*60,)</f>
        <v>1</v>
      </c>
      <c r="C48">
        <f>SQRT('Měření'!I48*'Měření'!I48+'Měření'!J48*'Měření'!J48+'Měření'!K48*'Měření'!K48)</f>
        <v>10.19832339</v>
      </c>
    </row>
    <row r="49" ht="15.75" customHeight="1">
      <c r="A49" s="3">
        <f>IF(COUNTBLANK('Měření'!A49:A50) = 0,('Měření'!A50-'Měření'!A49)*24*60*60,)</f>
        <v>1</v>
      </c>
      <c r="C49">
        <f>SQRT('Měření'!I49*'Měření'!I49+'Měření'!J49*'Měření'!J49+'Měření'!K49*'Měření'!K49)</f>
        <v>9.572632867</v>
      </c>
    </row>
    <row r="50" ht="15.75" customHeight="1">
      <c r="A50" s="3">
        <f>IF(COUNTBLANK('Měření'!A50:A51) = 0,('Měření'!A51-'Měření'!A50)*24*60*60,)</f>
        <v>1</v>
      </c>
      <c r="C50">
        <f>SQRT('Měření'!I50*'Měření'!I50+'Měření'!J50*'Měření'!J50+'Měření'!K50*'Měření'!K50)</f>
        <v>10.39034648</v>
      </c>
    </row>
    <row r="51" ht="15.75" customHeight="1">
      <c r="A51" s="3">
        <f>IF(COUNTBLANK('Měření'!A51:A52) = 0,('Měření'!A52-'Měření'!A51)*24*60*60,)</f>
        <v>1</v>
      </c>
      <c r="C51">
        <f>SQRT('Měření'!I51*'Měření'!I51+'Měření'!J51*'Měření'!J51+'Měření'!K51*'Měření'!K51)</f>
        <v>10.56038352</v>
      </c>
    </row>
    <row r="52" ht="15.75" customHeight="1">
      <c r="A52" s="3">
        <f>IF(COUNTBLANK('Měření'!A52:A53) = 0,('Měření'!A53-'Měření'!A52)*24*60*60,)</f>
        <v>1</v>
      </c>
      <c r="C52">
        <f>SQRT('Měření'!I52*'Měření'!I52+'Měření'!J52*'Měření'!J52+'Měření'!K52*'Měření'!K52)</f>
        <v>10.20555731</v>
      </c>
    </row>
    <row r="53" ht="15.75" customHeight="1">
      <c r="A53" s="3">
        <f>IF(COUNTBLANK('Měření'!A53:A54) = 0,('Měření'!A54-'Měření'!A53)*24*60*60,)</f>
        <v>1</v>
      </c>
      <c r="C53">
        <f>SQRT('Měření'!I53*'Měření'!I53+'Měření'!J53*'Měření'!J53+'Měření'!K53*'Měření'!K53)</f>
        <v>11.22274922</v>
      </c>
    </row>
    <row r="54" ht="15.75" customHeight="1">
      <c r="A54" s="3">
        <f>IF(COUNTBLANK('Měření'!A54:A55) = 0,('Měření'!A55-'Měření'!A54)*24*60*60,)</f>
        <v>1</v>
      </c>
      <c r="C54">
        <f>SQRT('Měření'!I54*'Měření'!I54+'Měření'!J54*'Měření'!J54+'Měření'!K54*'Měření'!K54)</f>
        <v>10.80302273</v>
      </c>
    </row>
    <row r="55" ht="15.75" customHeight="1">
      <c r="A55" s="3">
        <f>IF(COUNTBLANK('Měření'!A55:A56) = 0,('Měření'!A56-'Měření'!A55)*24*60*60,)</f>
        <v>1</v>
      </c>
      <c r="C55">
        <f>SQRT('Měření'!I55*'Měření'!I55+'Měření'!J55*'Měření'!J55+'Měření'!K55*'Měření'!K55)</f>
        <v>10.53247359</v>
      </c>
    </row>
    <row r="56" ht="15.75" customHeight="1">
      <c r="A56" s="3">
        <f>IF(COUNTBLANK('Měření'!A56:A57) = 0,('Měření'!A57-'Měření'!A56)*24*60*60,)</f>
        <v>1</v>
      </c>
      <c r="C56">
        <f>SQRT('Měření'!I56*'Měření'!I56+'Měření'!J56*'Měření'!J56+'Měření'!K56*'Měření'!K56)</f>
        <v>9.892224219</v>
      </c>
    </row>
    <row r="57" ht="15.75" customHeight="1">
      <c r="A57" s="3">
        <f>IF(COUNTBLANK('Měření'!A57:A58) = 0,('Měření'!A58-'Měření'!A57)*24*60*60,)</f>
        <v>1</v>
      </c>
      <c r="C57">
        <f>SQRT('Měření'!I57*'Měření'!I57+'Měření'!J57*'Měření'!J57+'Měření'!K57*'Měření'!K57)</f>
        <v>10.3475456</v>
      </c>
    </row>
    <row r="58" ht="15.75" customHeight="1">
      <c r="A58" s="3">
        <f>IF(COUNTBLANK('Měření'!A58:A59) = 0,('Měření'!A59-'Měření'!A58)*24*60*60,)</f>
        <v>1</v>
      </c>
      <c r="C58">
        <f>SQRT('Měření'!I58*'Měření'!I58+'Měření'!J58*'Měření'!J58+'Měření'!K58*'Měření'!K58)</f>
        <v>10.91714706</v>
      </c>
    </row>
    <row r="59" ht="15.75" customHeight="1">
      <c r="A59" s="3">
        <f>IF(COUNTBLANK('Měření'!A59:A60) = 0,('Měření'!A60-'Měření'!A59)*24*60*60,)</f>
        <v>1</v>
      </c>
      <c r="C59">
        <f>SQRT('Měření'!I59*'Měření'!I59+'Měření'!J59*'Měření'!J59+'Měření'!K59*'Měření'!K59)</f>
        <v>10.2069878</v>
      </c>
    </row>
    <row r="60" ht="15.75" customHeight="1">
      <c r="A60" s="3">
        <f>IF(COUNTBLANK('Měření'!A60:A61) = 0,('Měření'!A61-'Měření'!A60)*24*60*60,)</f>
        <v>1</v>
      </c>
      <c r="C60">
        <f>SQRT('Měření'!I60*'Měření'!I60+'Měření'!J60*'Měření'!J60+'Měření'!K60*'Měření'!K60)</f>
        <v>10.46261917</v>
      </c>
    </row>
    <row r="61" ht="15.75" customHeight="1">
      <c r="A61" s="3">
        <f>IF(COUNTBLANK('Měření'!A61:A62) = 0,('Měření'!A62-'Měření'!A61)*24*60*60,)</f>
        <v>1</v>
      </c>
      <c r="C61">
        <f>SQRT('Měření'!I61*'Měření'!I61+'Měření'!J61*'Měření'!J61+'Měření'!K61*'Měření'!K61)</f>
        <v>11.18174405</v>
      </c>
    </row>
    <row r="62" ht="15.75" customHeight="1">
      <c r="A62" s="3">
        <f>IF(COUNTBLANK('Měření'!A62:A63) = 0,('Měření'!A63-'Měření'!A62)*24*60*60,)</f>
        <v>1</v>
      </c>
      <c r="C62">
        <f>SQRT('Měření'!I62*'Měření'!I62+'Měření'!J62*'Měření'!J62+'Měření'!K62*'Měření'!K62)</f>
        <v>10.57111631</v>
      </c>
    </row>
    <row r="63" ht="15.75" customHeight="1">
      <c r="A63" s="3">
        <f>IF(COUNTBLANK('Měření'!A63:A64) = 0,('Měření'!A64-'Měření'!A63)*24*60*60,)</f>
        <v>1</v>
      </c>
      <c r="C63">
        <f>SQRT('Měření'!I63*'Měření'!I63+'Měření'!J63*'Měření'!J63+'Měření'!K63*'Měření'!K63)</f>
        <v>9.261279609</v>
      </c>
    </row>
    <row r="64" ht="15.75" customHeight="1">
      <c r="A64" s="3">
        <f>IF(COUNTBLANK('Měření'!A64:A65) = 0,('Měření'!A65-'Měření'!A64)*24*60*60,)</f>
        <v>1</v>
      </c>
      <c r="C64">
        <f>SQRT('Měření'!I64*'Měření'!I64+'Měření'!J64*'Měření'!J64+'Měření'!K64*'Měření'!K64)</f>
        <v>10.09938612</v>
      </c>
    </row>
    <row r="65" ht="15.75" customHeight="1">
      <c r="A65" s="3">
        <f>IF(COUNTBLANK('Měření'!A65:A66) = 0,('Měření'!A66-'Měření'!A65)*24*60*60,)</f>
        <v>1</v>
      </c>
      <c r="C65">
        <f>SQRT('Měření'!I65*'Měření'!I65+'Měření'!J65*'Měření'!J65+'Měření'!K65*'Měření'!K65)</f>
        <v>10.4082131</v>
      </c>
    </row>
    <row r="66" ht="15.75" customHeight="1">
      <c r="A66" s="3">
        <f>IF(COUNTBLANK('Měření'!A66:A67) = 0,('Měření'!A67-'Měření'!A66)*24*60*60,)</f>
        <v>1</v>
      </c>
      <c r="C66">
        <f>SQRT('Měření'!I66*'Měření'!I66+'Měření'!J66*'Měření'!J66+'Měření'!K66*'Měření'!K66)</f>
        <v>10.64174328</v>
      </c>
    </row>
    <row r="67" ht="15.75" customHeight="1">
      <c r="A67" s="3">
        <f>IF(COUNTBLANK('Měření'!A67:A68) = 0,('Měření'!A68-'Měření'!A67)*24*60*60,)</f>
        <v>1</v>
      </c>
      <c r="C67">
        <f>SQRT('Měření'!I67*'Měření'!I67+'Měření'!J67*'Měření'!J67+'Měření'!K67*'Měření'!K67)</f>
        <v>10.34168748</v>
      </c>
    </row>
    <row r="68" ht="15.75" customHeight="1">
      <c r="A68" s="3">
        <f>IF(COUNTBLANK('Měření'!A68:A69) = 0,('Měření'!A69-'Měření'!A68)*24*60*60,)</f>
        <v>1</v>
      </c>
      <c r="C68">
        <f>SQRT('Měření'!I68*'Měření'!I68+'Měření'!J68*'Měření'!J68+'Měření'!K68*'Měření'!K68)</f>
        <v>10.13387389</v>
      </c>
    </row>
    <row r="69" ht="15.75" customHeight="1">
      <c r="A69" s="3">
        <f>IF(COUNTBLANK('Měření'!A69:A70) = 0,('Měření'!A70-'Měření'!A69)*24*60*60,)</f>
        <v>1</v>
      </c>
      <c r="C69">
        <f>SQRT('Měření'!I69*'Měření'!I69+'Měření'!J69*'Měření'!J69+'Měření'!K69*'Měření'!K69)</f>
        <v>10.2008333</v>
      </c>
    </row>
    <row r="70" ht="15.75" customHeight="1">
      <c r="A70" s="3">
        <f>IF(COUNTBLANK('Měření'!A70:A71) = 0,('Měření'!A71-'Měření'!A70)*24*60*60,)</f>
        <v>1</v>
      </c>
      <c r="C70">
        <f>SQRT('Měření'!I70*'Měření'!I70+'Měření'!J70*'Měření'!J70+'Měření'!K70*'Měření'!K70)</f>
        <v>10.36291465</v>
      </c>
    </row>
    <row r="71" ht="15.75" customHeight="1">
      <c r="A71" s="3">
        <f>IF(COUNTBLANK('Měření'!A71:A72) = 0,('Měření'!A72-'Měření'!A71)*24*60*60,)</f>
        <v>1</v>
      </c>
      <c r="C71">
        <f>SQRT('Měření'!I71*'Měření'!I71+'Měření'!J71*'Měření'!J71+'Měření'!K71*'Měření'!K71)</f>
        <v>10.3862072</v>
      </c>
    </row>
    <row r="72" ht="15.75" customHeight="1">
      <c r="A72" s="3">
        <f>IF(COUNTBLANK('Měření'!A72:A73) = 0,('Měření'!A73-'Měření'!A72)*24*60*60,)</f>
        <v>1</v>
      </c>
      <c r="C72">
        <f>SQRT('Měření'!I72*'Měření'!I72+'Měření'!J72*'Měření'!J72+'Měření'!K72*'Měření'!K72)</f>
        <v>10.62781257</v>
      </c>
    </row>
    <row r="73" ht="15.75" customHeight="1">
      <c r="A73" s="3">
        <f>IF(COUNTBLANK('Měření'!A73:A74) = 0,('Měření'!A74-'Měření'!A73)*24*60*60,)</f>
        <v>1</v>
      </c>
      <c r="C73">
        <f>SQRT('Měření'!I73*'Měření'!I73+'Měření'!J73*'Měření'!J73+'Měření'!K73*'Měření'!K73)</f>
        <v>10.44818645</v>
      </c>
    </row>
    <row r="74" ht="15.75" customHeight="1">
      <c r="A74" s="3">
        <f>IF(COUNTBLANK('Měření'!A74:A75) = 0,('Měření'!A75-'Měření'!A74)*24*60*60,)</f>
        <v>1</v>
      </c>
      <c r="C74">
        <f>SQRT('Měření'!I74*'Měření'!I74+'Měření'!J74*'Měření'!J74+'Měření'!K74*'Měření'!K74)</f>
        <v>9.57766151</v>
      </c>
    </row>
    <row r="75" ht="15.75" customHeight="1">
      <c r="A75" s="3">
        <f>IF(COUNTBLANK('Měření'!A75:A76) = 0,('Měření'!A76-'Měření'!A75)*24*60*60,)</f>
        <v>1</v>
      </c>
      <c r="C75">
        <f>SQRT('Měření'!I75*'Měření'!I75+'Měření'!J75*'Měření'!J75+'Měření'!K75*'Měření'!K75)</f>
        <v>11.05257436</v>
      </c>
    </row>
    <row r="76" ht="15.75" customHeight="1">
      <c r="A76" s="3">
        <f>IF(COUNTBLANK('Měření'!A76:A77) = 0,('Měření'!A77-'Měření'!A76)*24*60*60,)</f>
        <v>1</v>
      </c>
      <c r="C76">
        <f>SQRT('Měření'!I76*'Měření'!I76+'Měření'!J76*'Měření'!J76+'Měření'!K76*'Měření'!K76)</f>
        <v>10.25883034</v>
      </c>
    </row>
    <row r="77" ht="15.75" customHeight="1">
      <c r="A77" s="3">
        <f>IF(COUNTBLANK('Měření'!A77:A78) = 0,('Měření'!A78-'Měření'!A77)*24*60*60,)</f>
        <v>1</v>
      </c>
      <c r="C77">
        <f>SQRT('Měření'!I77*'Měření'!I77+'Měření'!J77*'Měření'!J77+'Měření'!K77*'Měření'!K77)</f>
        <v>10.62405761</v>
      </c>
    </row>
    <row r="78" ht="15.75" customHeight="1">
      <c r="A78" s="3">
        <f>IF(COUNTBLANK('Měření'!A78:A79) = 0,('Měření'!A79-'Měření'!A78)*24*60*60,)</f>
        <v>1</v>
      </c>
      <c r="C78">
        <f>SQRT('Měření'!I78*'Měření'!I78+'Měření'!J78*'Měření'!J78+'Měření'!K78*'Měření'!K78)</f>
        <v>10.65758885</v>
      </c>
    </row>
    <row r="79" ht="15.75" customHeight="1">
      <c r="A79" s="3">
        <f>IF(COUNTBLANK('Měření'!A79:A80) = 0,('Měření'!A80-'Měření'!A79)*24*60*60,)</f>
        <v>1</v>
      </c>
      <c r="C79">
        <f>SQRT('Měření'!I79*'Měření'!I79+'Měření'!J79*'Měření'!J79+'Měření'!K79*'Měření'!K79)</f>
        <v>10.36120649</v>
      </c>
    </row>
    <row r="80" ht="15.75" customHeight="1">
      <c r="A80" s="3">
        <f>IF(COUNTBLANK('Měření'!A80:A81) = 0,('Měření'!A81-'Měření'!A80)*24*60*60,)</f>
        <v>1</v>
      </c>
      <c r="C80">
        <f>SQRT('Měření'!I80*'Měření'!I80+'Měření'!J80*'Měření'!J80+'Měření'!K80*'Měření'!K80)</f>
        <v>10.3541779</v>
      </c>
    </row>
    <row r="81" ht="15.75" customHeight="1">
      <c r="A81" s="3">
        <f>IF(COUNTBLANK('Měření'!A81:A82) = 0,('Měření'!A82-'Měření'!A81)*24*60*60,)</f>
        <v>1</v>
      </c>
      <c r="C81">
        <f>SQRT('Měření'!I81*'Měření'!I81+'Měření'!J81*'Měření'!J81+'Měření'!K81*'Měření'!K81)</f>
        <v>9.751522958</v>
      </c>
    </row>
    <row r="82" ht="15.75" customHeight="1">
      <c r="A82" s="3">
        <f>IF(COUNTBLANK('Měření'!A82:A83) = 0,('Měření'!A83-'Měření'!A82)*24*60*60,)</f>
        <v>1</v>
      </c>
      <c r="C82">
        <f>SQRT('Měření'!I82*'Měření'!I82+'Měření'!J82*'Měření'!J82+'Měření'!K82*'Měření'!K82)</f>
        <v>11.03583708</v>
      </c>
    </row>
    <row r="83" ht="15.75" customHeight="1">
      <c r="A83" s="3">
        <f>IF(COUNTBLANK('Měření'!A83:A84) = 0,('Měření'!A84-'Měření'!A83)*24*60*60,)</f>
        <v>1</v>
      </c>
      <c r="C83">
        <f>SQRT('Měření'!I83*'Měření'!I83+'Měření'!J83*'Měření'!J83+'Měření'!K83*'Měření'!K83)</f>
        <v>10.73462622</v>
      </c>
    </row>
    <row r="84" ht="15.75" customHeight="1">
      <c r="A84" s="3">
        <f>IF(COUNTBLANK('Měření'!A84:A85) = 0,('Měření'!A85-'Měření'!A84)*24*60*60,)</f>
        <v>1</v>
      </c>
      <c r="C84">
        <f>SQRT('Měření'!I84*'Měření'!I84+'Měření'!J84*'Měření'!J84+'Měření'!K84*'Měření'!K84)</f>
        <v>10.53334705</v>
      </c>
    </row>
    <row r="85" ht="15.75" customHeight="1">
      <c r="A85" s="3">
        <f>IF(COUNTBLANK('Měření'!A85:A86) = 0,('Měření'!A86-'Měření'!A85)*24*60*60,)</f>
        <v>1</v>
      </c>
      <c r="C85">
        <f>SQRT('Měření'!I85*'Měření'!I85+'Měření'!J85*'Měření'!J85+'Měření'!K85*'Měření'!K85)</f>
        <v>10.5219865</v>
      </c>
    </row>
    <row r="86" ht="15.75" customHeight="1">
      <c r="A86" s="3">
        <f>IF(COUNTBLANK('Měření'!A86:A87) = 0,('Měření'!A87-'Měření'!A86)*24*60*60,)</f>
        <v>1</v>
      </c>
      <c r="C86">
        <f>SQRT('Měření'!I86*'Měření'!I86+'Měření'!J86*'Měření'!J86+'Měření'!K86*'Měření'!K86)</f>
        <v>11.96736395</v>
      </c>
    </row>
    <row r="87" ht="15.75" customHeight="1">
      <c r="A87" s="3">
        <f>IF(COUNTBLANK('Měření'!A87:A88) = 0,('Měření'!A88-'Měření'!A87)*24*60*60,)</f>
        <v>1</v>
      </c>
      <c r="C87">
        <f>SQRT('Měření'!I87*'Měření'!I87+'Měření'!J87*'Měření'!J87+'Měření'!K87*'Měření'!K87)</f>
        <v>10.55426928</v>
      </c>
    </row>
    <row r="88" ht="15.75" customHeight="1">
      <c r="A88" s="3">
        <f>IF(COUNTBLANK('Měření'!A88:A89) = 0,('Měření'!A89-'Měření'!A88)*24*60*60,)</f>
        <v>1</v>
      </c>
      <c r="C88">
        <f>SQRT('Měření'!I88*'Měření'!I88+'Měření'!J88*'Měření'!J88+'Měření'!K88*'Měření'!K88)</f>
        <v>11.16929273</v>
      </c>
    </row>
    <row r="89" ht="15.75" customHeight="1">
      <c r="A89" s="3">
        <f>IF(COUNTBLANK('Měření'!A89:A90) = 0,('Měření'!A90-'Měření'!A89)*24*60*60,)</f>
        <v>1</v>
      </c>
      <c r="C89">
        <f>SQRT('Měření'!I89*'Měření'!I89+'Měření'!J89*'Měření'!J89+'Měření'!K89*'Měření'!K89)</f>
        <v>9.735573943</v>
      </c>
    </row>
    <row r="90" ht="15.75" customHeight="1">
      <c r="A90" s="3">
        <f>IF(COUNTBLANK('Měření'!A90:A91) = 0,('Měření'!A91-'Měření'!A90)*24*60*60,)</f>
        <v>1</v>
      </c>
      <c r="C90">
        <f>SQRT('Měření'!I90*'Měření'!I90+'Měření'!J90*'Měření'!J90+'Měření'!K90*'Měření'!K90)</f>
        <v>10.16742347</v>
      </c>
    </row>
    <row r="91" ht="15.75" customHeight="1">
      <c r="A91" s="3">
        <f>IF(COUNTBLANK('Měření'!A91:A92) = 0,('Měření'!A92-'Měření'!A91)*24*60*60,)</f>
        <v>1</v>
      </c>
      <c r="C91">
        <f>SQRT('Měření'!I91*'Měření'!I91+'Měření'!J91*'Měření'!J91+'Měření'!K91*'Měření'!K91)</f>
        <v>9.297962142</v>
      </c>
    </row>
    <row r="92" ht="15.75" customHeight="1">
      <c r="A92" s="3">
        <f>IF(COUNTBLANK('Měření'!A92:A93) = 0,('Měření'!A93-'Měření'!A92)*24*60*60,)</f>
        <v>1</v>
      </c>
      <c r="C92">
        <f>SQRT('Měření'!I92*'Měření'!I92+'Měření'!J92*'Měření'!J92+'Měření'!K92*'Měření'!K92)</f>
        <v>11.40385023</v>
      </c>
    </row>
    <row r="93" ht="15.75" customHeight="1">
      <c r="A93" s="3">
        <f>IF(COUNTBLANK('Měření'!A93:A94) = 0,('Měření'!A94-'Měření'!A93)*24*60*60,)</f>
        <v>1</v>
      </c>
      <c r="C93">
        <f>SQRT('Měření'!I93*'Měření'!I93+'Měření'!J93*'Měření'!J93+'Měření'!K93*'Měření'!K93)</f>
        <v>9.475262529</v>
      </c>
    </row>
    <row r="94" ht="15.75" customHeight="1">
      <c r="A94" s="3">
        <f>IF(COUNTBLANK('Měření'!A94:A95) = 0,('Měření'!A95-'Měření'!A94)*24*60*60,)</f>
        <v>1</v>
      </c>
      <c r="C94">
        <f>SQRT('Měření'!I94*'Měření'!I94+'Měření'!J94*'Měření'!J94+'Měření'!K94*'Měření'!K94)</f>
        <v>14.19938379</v>
      </c>
    </row>
    <row r="95" ht="15.75" customHeight="1">
      <c r="A95" s="3">
        <f>IF(COUNTBLANK('Měření'!A95:A96) = 0,('Měření'!A96-'Měření'!A95)*24*60*60,)</f>
        <v>1</v>
      </c>
      <c r="C95">
        <f>SQRT('Měření'!I95*'Měření'!I95+'Měření'!J95*'Měření'!J95+'Měření'!K95*'Měření'!K95)</f>
        <v>6.680187123</v>
      </c>
    </row>
    <row r="96" ht="15.75" customHeight="1">
      <c r="A96" s="3">
        <f>IF(COUNTBLANK('Měření'!A96:A97) = 0,('Měření'!A97-'Měření'!A96)*24*60*60,)</f>
        <v>1</v>
      </c>
      <c r="C96">
        <f>SQRT('Měření'!I96*'Měření'!I96+'Měření'!J96*'Měření'!J96+'Měření'!K96*'Měření'!K96)</f>
        <v>9.907618281</v>
      </c>
    </row>
    <row r="97" ht="15.75" customHeight="1">
      <c r="A97" s="3">
        <f>IF(COUNTBLANK('Měření'!A97:A98) = 0,('Měření'!A98-'Měření'!A97)*24*60*60,)</f>
        <v>1</v>
      </c>
      <c r="C97">
        <f>SQRT('Měření'!I97*'Měření'!I97+'Měření'!J97*'Měření'!J97+'Měření'!K97*'Měření'!K97)</f>
        <v>9.774563929</v>
      </c>
    </row>
    <row r="98" ht="15.75" customHeight="1">
      <c r="A98" s="3">
        <f>IF(COUNTBLANK('Měření'!A98:A99) = 0,('Měření'!A99-'Měření'!A98)*24*60*60,)</f>
        <v>1</v>
      </c>
      <c r="C98">
        <f>SQRT('Měření'!I98*'Měření'!I98+'Měření'!J98*'Měření'!J98+'Měření'!K98*'Měření'!K98)</f>
        <v>9.776389927</v>
      </c>
    </row>
    <row r="99" ht="15.75" customHeight="1">
      <c r="A99" s="3">
        <f>IF(COUNTBLANK('Měření'!A99:A100) = 0,('Měření'!A100-'Měření'!A99)*24*60*60,)</f>
        <v>1</v>
      </c>
      <c r="C99">
        <f>SQRT('Měření'!I99*'Měření'!I99+'Měření'!J99*'Měření'!J99+'Měření'!K99*'Měření'!K99)</f>
        <v>9.782622348</v>
      </c>
    </row>
    <row r="100" ht="15.75" customHeight="1">
      <c r="A100" s="3">
        <f>IF(COUNTBLANK('Měření'!A100:A101) = 0,('Měření'!A101-'Měření'!A100)*24*60*60,)</f>
        <v>1</v>
      </c>
      <c r="C100">
        <f>SQRT('Měření'!I100*'Měření'!I100+'Měření'!J100*'Měření'!J100+'Měření'!K100*'Měření'!K100)</f>
        <v>9.839410551</v>
      </c>
    </row>
    <row r="101" ht="15.75" customHeight="1">
      <c r="A101" s="3">
        <f>IF(COUNTBLANK('Měření'!A101:A102) = 0,('Měření'!A102-'Měření'!A101)*24*60*60,)</f>
        <v>1</v>
      </c>
      <c r="C101">
        <f>SQRT('Měření'!I101*'Měření'!I101+'Měření'!J101*'Měření'!J101+'Měření'!K101*'Měření'!K101)</f>
        <v>9.795662305</v>
      </c>
    </row>
    <row r="102" ht="15.75" customHeight="1">
      <c r="A102" s="3">
        <f>IF(COUNTBLANK('Měření'!A102:A103) = 0,('Měření'!A103-'Měření'!A102)*24*60*60,)</f>
        <v>1</v>
      </c>
      <c r="C102">
        <f>SQRT('Měření'!I102*'Měření'!I102+'Měření'!J102*'Měření'!J102+'Měření'!K102*'Měření'!K102)</f>
        <v>9.80310665</v>
      </c>
    </row>
    <row r="103" ht="15.75" customHeight="1">
      <c r="A103" s="3">
        <f>IF(COUNTBLANK('Měření'!A103:A104) = 0,('Měření'!A104-'Měření'!A103)*24*60*60,)</f>
        <v>1</v>
      </c>
      <c r="C103">
        <f>SQRT('Měření'!I103*'Měření'!I103+'Měření'!J103*'Měření'!J103+'Měření'!K103*'Měření'!K103)</f>
        <v>9.676104588</v>
      </c>
    </row>
    <row r="104" ht="15.75" customHeight="1">
      <c r="A104" s="3">
        <f>IF(COUNTBLANK('Měření'!A104:A105) = 0,('Měření'!A105-'Měření'!A104)*24*60*60,)</f>
        <v>1</v>
      </c>
      <c r="C104">
        <f>SQRT('Měření'!I104*'Měření'!I104+'Měření'!J104*'Měření'!J104+'Měření'!K104*'Měření'!K104)</f>
        <v>9.797025059</v>
      </c>
    </row>
    <row r="105" ht="15.75" customHeight="1">
      <c r="A105" s="3">
        <f>IF(COUNTBLANK('Měření'!A105:A106) = 0,('Měření'!A106-'Měření'!A105)*24*60*60,)</f>
        <v>1</v>
      </c>
      <c r="C105">
        <f>SQRT('Měření'!I105*'Měření'!I105+'Měření'!J105*'Měření'!J105+'Měření'!K105*'Měření'!K105)</f>
        <v>9.792369478</v>
      </c>
    </row>
    <row r="106" ht="15.75" customHeight="1">
      <c r="C106">
        <f>SQRT('Měření'!I106*'Měření'!I106+'Měření'!J106*'Měření'!J106+'Měření'!K106*'Měření'!K106)</f>
        <v>9.895024002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8.71"/>
  </cols>
  <sheetData>
    <row r="1">
      <c r="A1" s="5">
        <v>636.6</v>
      </c>
    </row>
    <row r="2">
      <c r="A2" s="5">
        <v>31.6</v>
      </c>
    </row>
    <row r="3">
      <c r="A3" s="5">
        <v>12.92</v>
      </c>
    </row>
    <row r="4">
      <c r="A4" s="5">
        <v>8.61</v>
      </c>
    </row>
    <row r="5">
      <c r="A5" s="5">
        <v>6.869</v>
      </c>
    </row>
    <row r="6">
      <c r="A6" s="5">
        <v>5.959</v>
      </c>
    </row>
    <row r="7">
      <c r="A7" s="5">
        <v>5.408</v>
      </c>
    </row>
    <row r="8">
      <c r="A8" s="5">
        <v>5.041</v>
      </c>
    </row>
    <row r="9">
      <c r="A9" s="5">
        <v>4.781</v>
      </c>
    </row>
    <row r="10">
      <c r="A10" s="5">
        <v>4.587</v>
      </c>
    </row>
    <row r="11">
      <c r="A11" s="5">
        <v>4.437</v>
      </c>
    </row>
    <row r="12">
      <c r="A12" s="5">
        <v>4.318</v>
      </c>
    </row>
    <row r="13">
      <c r="A13" s="5">
        <v>4.221</v>
      </c>
    </row>
    <row r="14">
      <c r="A14" s="5">
        <v>4.14</v>
      </c>
    </row>
    <row r="15">
      <c r="A15" s="5">
        <v>4.073</v>
      </c>
    </row>
    <row r="16">
      <c r="A16" s="5">
        <v>4.015</v>
      </c>
    </row>
    <row r="17">
      <c r="A17" s="5">
        <v>3.965</v>
      </c>
    </row>
    <row r="18">
      <c r="A18" s="5">
        <v>3.922</v>
      </c>
    </row>
    <row r="19">
      <c r="A19" s="5">
        <v>3.883</v>
      </c>
    </row>
    <row r="20">
      <c r="A20" s="5">
        <v>3.85</v>
      </c>
    </row>
    <row r="21" ht="15.75" customHeight="1">
      <c r="A21" s="5">
        <v>3.819</v>
      </c>
    </row>
    <row r="22" ht="15.75" customHeight="1">
      <c r="A22" s="5">
        <v>3.792</v>
      </c>
    </row>
    <row r="23" ht="15.75" customHeight="1">
      <c r="A23" s="5">
        <v>3.767</v>
      </c>
    </row>
    <row r="24" ht="15.75" customHeight="1">
      <c r="A24" s="5">
        <v>3.745</v>
      </c>
    </row>
    <row r="25" ht="15.75" customHeight="1">
      <c r="A25" s="5">
        <v>3.725</v>
      </c>
    </row>
    <row r="26" ht="15.75" customHeight="1">
      <c r="A26" s="5">
        <v>3.707</v>
      </c>
    </row>
    <row r="27" ht="15.75" customHeight="1">
      <c r="A27" s="5">
        <v>3.69</v>
      </c>
    </row>
    <row r="28" ht="15.75" customHeight="1">
      <c r="A28" s="5">
        <v>3.674</v>
      </c>
    </row>
    <row r="29" ht="15.75" customHeight="1">
      <c r="A29" s="5">
        <v>3.659</v>
      </c>
    </row>
    <row r="30" ht="15.75" customHeight="1">
      <c r="A30" s="5">
        <v>3.646</v>
      </c>
    </row>
    <row r="31" ht="15.75" customHeight="1">
      <c r="A31" s="5">
        <f>(A30*9+A40)/10</f>
        <v>3.6365</v>
      </c>
    </row>
    <row r="32" ht="15.75" customHeight="1">
      <c r="A32" s="6">
        <f>(A30*8+A40*2)/10</f>
        <v>3.627</v>
      </c>
    </row>
    <row r="33" ht="15.75" customHeight="1">
      <c r="A33" s="5">
        <f>(A30*7+A40*3)/10</f>
        <v>3.6175</v>
      </c>
    </row>
    <row r="34" ht="15.75" customHeight="1">
      <c r="A34" s="5">
        <f>(A30*6+A40*4)/10</f>
        <v>3.608</v>
      </c>
    </row>
    <row r="35" ht="15.75" customHeight="1">
      <c r="A35" s="5">
        <f>(A30*5+A40*5)/10</f>
        <v>3.5985</v>
      </c>
    </row>
    <row r="36" ht="15.75" customHeight="1">
      <c r="A36" s="5">
        <f>(A30*4+A40*6)/10</f>
        <v>3.589</v>
      </c>
    </row>
    <row r="37" ht="15.75" customHeight="1">
      <c r="A37" s="5">
        <f>(A30*3+A40*7)/10</f>
        <v>3.5795</v>
      </c>
    </row>
    <row r="38" ht="15.75" customHeight="1">
      <c r="A38" s="5">
        <f>(A30*2+A40*8)/10</f>
        <v>3.57</v>
      </c>
    </row>
    <row r="39" ht="15.75" customHeight="1">
      <c r="A39" s="5">
        <f>(A30*1+A40*9)/10</f>
        <v>3.5605</v>
      </c>
    </row>
    <row r="40" ht="15.75" customHeight="1">
      <c r="A40" s="5">
        <v>3.551</v>
      </c>
    </row>
    <row r="41" ht="15.75" customHeight="1">
      <c r="A41" s="5">
        <f>(A40*9+A50)/10</f>
        <v>3.5455</v>
      </c>
    </row>
    <row r="42" ht="15.75" customHeight="1">
      <c r="A42" s="6">
        <f>(A40*8+A50*2)/10</f>
        <v>3.54</v>
      </c>
    </row>
    <row r="43" ht="15.75" customHeight="1">
      <c r="A43" s="5">
        <f>(A40*7+A50*3)/10</f>
        <v>3.5345</v>
      </c>
    </row>
    <row r="44" ht="15.75" customHeight="1">
      <c r="A44" s="5">
        <f>(A40*6+A50*4)/10</f>
        <v>3.529</v>
      </c>
    </row>
    <row r="45" ht="15.75" customHeight="1">
      <c r="A45" s="5">
        <f>(A40*5+A50*5)/10</f>
        <v>3.5235</v>
      </c>
    </row>
    <row r="46" ht="15.75" customHeight="1">
      <c r="A46" s="5">
        <f>(A40*4+A50*6)/10</f>
        <v>3.518</v>
      </c>
    </row>
    <row r="47" ht="15.75" customHeight="1">
      <c r="A47" s="5">
        <f>(A40*3+A50*7)/10</f>
        <v>3.5125</v>
      </c>
    </row>
    <row r="48" ht="15.75" customHeight="1">
      <c r="A48" s="5">
        <f>(A40*2+A50*8)/10</f>
        <v>3.507</v>
      </c>
    </row>
    <row r="49" ht="15.75" customHeight="1">
      <c r="A49" s="5">
        <f>(A40*1+A50*9)/10</f>
        <v>3.5015</v>
      </c>
    </row>
    <row r="50" ht="15.75" customHeight="1">
      <c r="A50" s="5">
        <v>3.496</v>
      </c>
    </row>
    <row r="51" ht="15.75" customHeight="1">
      <c r="A51" s="5">
        <f>(A50*9+A60)/10</f>
        <v>3.4924</v>
      </c>
    </row>
    <row r="52" ht="15.75" customHeight="1">
      <c r="A52" s="6">
        <f>(A50*8+A60*2)/10</f>
        <v>3.4888</v>
      </c>
    </row>
    <row r="53" ht="15.75" customHeight="1">
      <c r="A53" s="5">
        <f>(A50*7+A60*3)/10</f>
        <v>3.4852</v>
      </c>
    </row>
    <row r="54" ht="15.75" customHeight="1">
      <c r="A54" s="5">
        <f>(A50*6+A60*4)/10</f>
        <v>3.4816</v>
      </c>
    </row>
    <row r="55" ht="15.75" customHeight="1">
      <c r="A55" s="5">
        <f>(A50*5+A60*5)/10</f>
        <v>3.478</v>
      </c>
    </row>
    <row r="56" ht="15.75" customHeight="1">
      <c r="A56" s="5">
        <f>(A50*4+A60*6)/10</f>
        <v>3.4744</v>
      </c>
    </row>
    <row r="57" ht="15.75" customHeight="1">
      <c r="A57" s="5">
        <f>(A50*3+A60*7)/10</f>
        <v>3.4708</v>
      </c>
    </row>
    <row r="58" ht="15.75" customHeight="1">
      <c r="A58" s="5">
        <f>(A50*2+A60*8)/10</f>
        <v>3.4672</v>
      </c>
    </row>
    <row r="59" ht="15.75" customHeight="1">
      <c r="A59" s="5">
        <f>(A50*1+A60*9)/10</f>
        <v>3.4636</v>
      </c>
    </row>
    <row r="60" ht="15.75" customHeight="1">
      <c r="A60" s="5">
        <v>3.46</v>
      </c>
    </row>
    <row r="61" ht="15.75" customHeight="1">
      <c r="A61" s="5">
        <f>(A60*9+A70)/10</f>
        <v>3.4578</v>
      </c>
    </row>
    <row r="62" ht="15.75" customHeight="1">
      <c r="A62" s="6">
        <f>(A60*8+A70*2)/10</f>
        <v>3.4556</v>
      </c>
    </row>
    <row r="63" ht="15.75" customHeight="1">
      <c r="A63" s="5">
        <f>(A60*7+A70*3)/10</f>
        <v>3.4534</v>
      </c>
    </row>
    <row r="64" ht="15.75" customHeight="1">
      <c r="A64" s="5">
        <f>(A60*6+A70*4)/10</f>
        <v>3.4512</v>
      </c>
    </row>
    <row r="65" ht="15.75" customHeight="1">
      <c r="A65" s="5">
        <f>(A60*5+A70*5)/10</f>
        <v>3.449</v>
      </c>
    </row>
    <row r="66" ht="15.75" customHeight="1">
      <c r="A66" s="5">
        <f>(A60*4+A70*6)/10</f>
        <v>3.4468</v>
      </c>
    </row>
    <row r="67" ht="15.75" customHeight="1">
      <c r="A67" s="5">
        <f>(A60*3+A70*7)/10</f>
        <v>3.4446</v>
      </c>
    </row>
    <row r="68" ht="15.75" customHeight="1">
      <c r="A68" s="5">
        <f>(A60*2+A70*8)/10</f>
        <v>3.4424</v>
      </c>
    </row>
    <row r="69" ht="15.75" customHeight="1">
      <c r="A69" s="5">
        <f>(A60*1+A70*9)/10</f>
        <v>3.4402</v>
      </c>
    </row>
    <row r="70" ht="15.75" customHeight="1">
      <c r="A70" s="5">
        <f>(A60*1+A80*1)/2</f>
        <v>3.438</v>
      </c>
    </row>
    <row r="71" ht="15.75" customHeight="1">
      <c r="A71" s="5">
        <f>(A70*9+A80)/10</f>
        <v>3.4358</v>
      </c>
    </row>
    <row r="72" ht="15.75" customHeight="1">
      <c r="A72" s="6">
        <f>(A70*8+A80*2)/10</f>
        <v>3.4336</v>
      </c>
    </row>
    <row r="73" ht="15.75" customHeight="1">
      <c r="A73" s="5">
        <f>(A70*7+A80*3)/10</f>
        <v>3.4314</v>
      </c>
    </row>
    <row r="74" ht="15.75" customHeight="1">
      <c r="A74" s="5">
        <f>(A70*6+A80*4)/10</f>
        <v>3.4292</v>
      </c>
    </row>
    <row r="75" ht="15.75" customHeight="1">
      <c r="A75" s="5">
        <f>(A70*5+A80*5)/10</f>
        <v>3.427</v>
      </c>
    </row>
    <row r="76" ht="15.75" customHeight="1">
      <c r="A76" s="5">
        <f>(A70*4+A80*6)/10</f>
        <v>3.4248</v>
      </c>
    </row>
    <row r="77" ht="15.75" customHeight="1">
      <c r="A77" s="5">
        <f>(A70*3+A80*7)/10</f>
        <v>3.4226</v>
      </c>
    </row>
    <row r="78" ht="15.75" customHeight="1">
      <c r="A78" s="5">
        <f>(A70*2+A80*8)/10</f>
        <v>3.4204</v>
      </c>
    </row>
    <row r="79" ht="15.75" customHeight="1">
      <c r="A79" s="5">
        <f>(A70*1+A80*9)/10</f>
        <v>3.4182</v>
      </c>
    </row>
    <row r="80" ht="15.75" customHeight="1">
      <c r="A80" s="5">
        <v>3.416</v>
      </c>
    </row>
    <row r="81" ht="15.75" customHeight="1">
      <c r="A81" s="5">
        <f>(A80*9+A90)/10</f>
        <v>3.4147</v>
      </c>
    </row>
    <row r="82" ht="15.75" customHeight="1">
      <c r="A82" s="6">
        <f>(A80*8+A90*2)/10</f>
        <v>3.4134</v>
      </c>
    </row>
    <row r="83" ht="15.75" customHeight="1">
      <c r="A83" s="5">
        <f>(A80*7+A90*3)/10</f>
        <v>3.4121</v>
      </c>
    </row>
    <row r="84" ht="15.75" customHeight="1">
      <c r="A84" s="5">
        <f>(A80*6+A90*4)/10</f>
        <v>3.4108</v>
      </c>
    </row>
    <row r="85" ht="15.75" customHeight="1">
      <c r="A85" s="5">
        <f>(A80*5+A90*5)/10</f>
        <v>3.4095</v>
      </c>
    </row>
    <row r="86" ht="15.75" customHeight="1">
      <c r="A86" s="5">
        <f>(A80*4+A90*6)/10</f>
        <v>3.4082</v>
      </c>
    </row>
    <row r="87" ht="15.75" customHeight="1">
      <c r="A87" s="5">
        <f>(A80*3+A90*7)/10</f>
        <v>3.4069</v>
      </c>
    </row>
    <row r="88" ht="15.75" customHeight="1">
      <c r="A88" s="5">
        <f>(A80*2+A90*8)/10</f>
        <v>3.4056</v>
      </c>
    </row>
    <row r="89" ht="15.75" customHeight="1">
      <c r="A89" s="5">
        <f>(A80*1+A90*9)/10</f>
        <v>3.4043</v>
      </c>
    </row>
    <row r="90" ht="15.75" customHeight="1">
      <c r="A90" s="5">
        <f>(A80*1+A100*1)/2</f>
        <v>3.403</v>
      </c>
    </row>
    <row r="91" ht="15.75" customHeight="1">
      <c r="A91" s="5">
        <f>(A90*9+A100)/10</f>
        <v>3.4017</v>
      </c>
    </row>
    <row r="92" ht="15.75" customHeight="1">
      <c r="A92" s="6">
        <f>(A90*8+A100*2)/10</f>
        <v>3.4004</v>
      </c>
    </row>
    <row r="93" ht="15.75" customHeight="1">
      <c r="A93" s="5">
        <f>(A90*7+A100*3)/10</f>
        <v>3.3991</v>
      </c>
    </row>
    <row r="94" ht="15.75" customHeight="1">
      <c r="A94" s="5">
        <f>(A90*6+A100*4)/10</f>
        <v>3.3978</v>
      </c>
    </row>
    <row r="95" ht="15.75" customHeight="1">
      <c r="A95" s="5">
        <f>(A90*5+A100*5)/10</f>
        <v>3.3965</v>
      </c>
    </row>
    <row r="96" ht="15.75" customHeight="1">
      <c r="A96" s="5">
        <f>(A90*4+A100*6)/10</f>
        <v>3.3952</v>
      </c>
    </row>
    <row r="97" ht="15.75" customHeight="1">
      <c r="A97" s="5">
        <f>(A90*3+A100*7)/10</f>
        <v>3.3939</v>
      </c>
    </row>
    <row r="98" ht="15.75" customHeight="1">
      <c r="A98" s="5">
        <f>(A90*2+A100*8)/10</f>
        <v>3.3926</v>
      </c>
    </row>
    <row r="99" ht="15.75" customHeight="1">
      <c r="A99" s="5">
        <f>(A90*1+A100*9)/10</f>
        <v>3.3913</v>
      </c>
    </row>
    <row r="100" ht="15.75" customHeight="1">
      <c r="A100" s="5">
        <v>3.39</v>
      </c>
    </row>
    <row r="101" ht="15.75" customHeight="1">
      <c r="A101" s="5">
        <f>(A100*9+A110)/10</f>
        <v>3.38915</v>
      </c>
    </row>
    <row r="102" ht="15.75" customHeight="1">
      <c r="A102" s="6">
        <f>(A100*8+A110*2)/10</f>
        <v>3.3883</v>
      </c>
    </row>
    <row r="103" ht="15.75" customHeight="1">
      <c r="A103" s="5">
        <f>(A100*7+A110*3)/10</f>
        <v>3.38745</v>
      </c>
    </row>
    <row r="104" ht="15.75" customHeight="1">
      <c r="A104" s="5">
        <f>(A100*6+A110*4)/10</f>
        <v>3.3866</v>
      </c>
    </row>
    <row r="105" ht="15.75" customHeight="1">
      <c r="A105" s="5">
        <f>(A100*5+A110*5)/10</f>
        <v>3.38575</v>
      </c>
    </row>
    <row r="106" ht="15.75" customHeight="1">
      <c r="A106" s="5">
        <f>(A100*4+A110*6)/10</f>
        <v>3.3849</v>
      </c>
    </row>
    <row r="107" ht="15.75" customHeight="1">
      <c r="A107" s="5">
        <f>(A100*3+A110*7)/10</f>
        <v>3.38405</v>
      </c>
    </row>
    <row r="108" ht="15.75" customHeight="1">
      <c r="A108" s="5">
        <f>(A100*2+A110*8)/10</f>
        <v>3.3832</v>
      </c>
    </row>
    <row r="109" ht="15.75" customHeight="1">
      <c r="A109" s="5">
        <f>(A100*1+A110*9)/10</f>
        <v>3.38235</v>
      </c>
    </row>
    <row r="110" ht="15.75" customHeight="1">
      <c r="A110" s="5">
        <f>(A100*1+A120*1)/2</f>
        <v>3.3815</v>
      </c>
    </row>
    <row r="111" ht="15.75" customHeight="1">
      <c r="A111" s="5">
        <f>(A110*9+A120)/10</f>
        <v>3.38065</v>
      </c>
    </row>
    <row r="112" ht="15.75" customHeight="1">
      <c r="A112" s="6">
        <f>(A110*8+A120*2)/10</f>
        <v>3.3798</v>
      </c>
    </row>
    <row r="113" ht="15.75" customHeight="1">
      <c r="A113" s="5">
        <f>(A110*7+A120*3)/10</f>
        <v>3.37895</v>
      </c>
    </row>
    <row r="114" ht="15.75" customHeight="1">
      <c r="A114" s="5">
        <f>(A110*6+A120*4)/10</f>
        <v>3.3781</v>
      </c>
    </row>
    <row r="115" ht="15.75" customHeight="1">
      <c r="A115" s="5">
        <f>(A110*5+A120*5)/10</f>
        <v>3.37725</v>
      </c>
    </row>
    <row r="116" ht="15.75" customHeight="1">
      <c r="A116" s="5">
        <f>(A110*4+A120*6)/10</f>
        <v>3.3764</v>
      </c>
    </row>
    <row r="117" ht="15.75" customHeight="1">
      <c r="A117" s="5">
        <f>(A110*3+A120*7)/10</f>
        <v>3.37555</v>
      </c>
    </row>
    <row r="118" ht="15.75" customHeight="1">
      <c r="A118" s="5">
        <f>(A110*2+A120*8)/10</f>
        <v>3.3747</v>
      </c>
    </row>
    <row r="119" ht="15.75" customHeight="1">
      <c r="A119" s="5">
        <f>(A110*1+A120*9)/10</f>
        <v>3.37385</v>
      </c>
    </row>
    <row r="120" ht="15.75" customHeight="1">
      <c r="A120" s="5">
        <v>3.373</v>
      </c>
    </row>
    <row r="121" ht="15.75" customHeight="1">
      <c r="A121" s="5">
        <v>3.291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3" width="8.71"/>
    <col customWidth="1" min="4" max="4" width="16.29"/>
    <col customWidth="1" min="5" max="5" width="12.86"/>
    <col customWidth="1" min="6" max="6" width="10.43"/>
    <col customWidth="1" min="7" max="14" width="8.71"/>
    <col customWidth="1" min="15" max="15" width="9.14"/>
    <col customWidth="1" min="16" max="23" width="8.71"/>
    <col customWidth="1" min="24" max="24" width="9.29"/>
    <col customWidth="1" min="25" max="27" width="8.71"/>
    <col customWidth="1" min="28" max="31" width="11.0"/>
    <col customWidth="1" min="32" max="32" width="12.0"/>
    <col customWidth="1" min="33" max="34" width="8.71"/>
  </cols>
  <sheetData>
    <row r="1">
      <c r="A1" t="s">
        <v>27</v>
      </c>
      <c r="C1" t="s">
        <v>0</v>
      </c>
      <c r="D1" t="s">
        <v>3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5" t="s">
        <v>28</v>
      </c>
      <c r="AC1" s="5" t="s">
        <v>29</v>
      </c>
      <c r="AD1" s="5" t="s">
        <v>30</v>
      </c>
      <c r="AE1" t="s">
        <v>31</v>
      </c>
      <c r="AF1" t="s">
        <v>32</v>
      </c>
      <c r="AG1" t="s">
        <v>33</v>
      </c>
    </row>
    <row r="2">
      <c r="A2" t="s">
        <v>34</v>
      </c>
      <c r="D2" t="s">
        <v>35</v>
      </c>
      <c r="E2" t="s">
        <v>36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</row>
    <row r="3">
      <c r="A3" t="s">
        <v>37</v>
      </c>
      <c r="AG3" t="s">
        <v>38</v>
      </c>
    </row>
    <row r="4">
      <c r="A4" s="5" t="s">
        <v>39</v>
      </c>
      <c r="B4" s="7"/>
      <c r="D4">
        <f t="shared" ref="D4:AD4" si="1">(999-COUNTBLANK(INDIRECT(D$5 &amp; "2"):INDIRECT(D$5 &amp; "1000")))</f>
        <v>104</v>
      </c>
      <c r="E4">
        <f t="shared" si="1"/>
        <v>105</v>
      </c>
      <c r="F4">
        <f t="shared" si="1"/>
        <v>105</v>
      </c>
      <c r="G4">
        <f t="shared" si="1"/>
        <v>105</v>
      </c>
      <c r="H4">
        <f t="shared" si="1"/>
        <v>105</v>
      </c>
      <c r="I4">
        <f t="shared" si="1"/>
        <v>105</v>
      </c>
      <c r="J4">
        <f t="shared" si="1"/>
        <v>105</v>
      </c>
      <c r="K4">
        <f t="shared" si="1"/>
        <v>105</v>
      </c>
      <c r="L4">
        <f t="shared" si="1"/>
        <v>105</v>
      </c>
      <c r="M4">
        <f t="shared" si="1"/>
        <v>105</v>
      </c>
      <c r="N4">
        <f t="shared" si="1"/>
        <v>105</v>
      </c>
      <c r="O4">
        <f t="shared" si="1"/>
        <v>66</v>
      </c>
      <c r="P4">
        <f t="shared" si="1"/>
        <v>66</v>
      </c>
      <c r="Q4">
        <f t="shared" si="1"/>
        <v>66</v>
      </c>
      <c r="R4">
        <f t="shared" si="1"/>
        <v>66</v>
      </c>
      <c r="S4">
        <f t="shared" si="1"/>
        <v>66</v>
      </c>
      <c r="T4">
        <f t="shared" si="1"/>
        <v>66</v>
      </c>
      <c r="U4">
        <f t="shared" si="1"/>
        <v>64</v>
      </c>
      <c r="V4">
        <f t="shared" si="1"/>
        <v>64</v>
      </c>
      <c r="W4">
        <f t="shared" si="1"/>
        <v>64</v>
      </c>
      <c r="X4">
        <f t="shared" si="1"/>
        <v>64</v>
      </c>
      <c r="Y4">
        <f t="shared" si="1"/>
        <v>64</v>
      </c>
      <c r="Z4">
        <f t="shared" si="1"/>
        <v>64</v>
      </c>
      <c r="AA4">
        <f t="shared" si="1"/>
        <v>21</v>
      </c>
      <c r="AB4">
        <f t="shared" si="1"/>
        <v>105</v>
      </c>
      <c r="AC4">
        <f t="shared" si="1"/>
        <v>105</v>
      </c>
      <c r="AD4">
        <f t="shared" si="1"/>
        <v>105</v>
      </c>
      <c r="AE4" s="5">
        <v>105.0</v>
      </c>
    </row>
    <row r="5">
      <c r="A5" t="s">
        <v>40</v>
      </c>
      <c r="D5" t="s">
        <v>41</v>
      </c>
      <c r="E5" s="8" t="s">
        <v>42</v>
      </c>
      <c r="F5" s="8" t="s">
        <v>43</v>
      </c>
      <c r="G5" s="8" t="s">
        <v>44</v>
      </c>
      <c r="H5" s="8" t="s">
        <v>45</v>
      </c>
      <c r="I5" s="8" t="s">
        <v>46</v>
      </c>
      <c r="J5" s="8" t="s">
        <v>47</v>
      </c>
      <c r="K5" s="8" t="s">
        <v>48</v>
      </c>
      <c r="L5" s="8" t="s">
        <v>49</v>
      </c>
      <c r="M5" s="8" t="s">
        <v>50</v>
      </c>
      <c r="N5" s="8" t="s">
        <v>51</v>
      </c>
      <c r="O5" s="8" t="s">
        <v>52</v>
      </c>
      <c r="P5" s="8" t="s">
        <v>53</v>
      </c>
      <c r="Q5" s="8" t="s">
        <v>54</v>
      </c>
      <c r="R5" s="8" t="s">
        <v>55</v>
      </c>
      <c r="S5" s="8" t="s">
        <v>56</v>
      </c>
      <c r="T5" s="8" t="s">
        <v>57</v>
      </c>
      <c r="U5" s="8" t="s">
        <v>58</v>
      </c>
      <c r="V5" s="8" t="s">
        <v>59</v>
      </c>
      <c r="W5" s="8" t="s">
        <v>60</v>
      </c>
      <c r="X5" s="8" t="s">
        <v>61</v>
      </c>
      <c r="Y5" s="8" t="s">
        <v>62</v>
      </c>
      <c r="Z5" s="8" t="s">
        <v>63</v>
      </c>
      <c r="AA5" s="8" t="s">
        <v>64</v>
      </c>
      <c r="AB5" s="9" t="s">
        <v>49</v>
      </c>
      <c r="AC5" s="9" t="s">
        <v>50</v>
      </c>
      <c r="AD5" s="9" t="s">
        <v>51</v>
      </c>
      <c r="AE5" s="10" t="s">
        <v>65</v>
      </c>
    </row>
    <row r="6">
      <c r="A6" s="5" t="s">
        <v>66</v>
      </c>
      <c r="D6">
        <f>D$4-1</f>
        <v>103</v>
      </c>
      <c r="E6">
        <f t="shared" ref="E6:AD6" si="2">E$4</f>
        <v>105</v>
      </c>
      <c r="F6">
        <f t="shared" si="2"/>
        <v>105</v>
      </c>
      <c r="G6">
        <f t="shared" si="2"/>
        <v>105</v>
      </c>
      <c r="H6">
        <f t="shared" si="2"/>
        <v>105</v>
      </c>
      <c r="I6">
        <f t="shared" si="2"/>
        <v>105</v>
      </c>
      <c r="J6">
        <f t="shared" si="2"/>
        <v>105</v>
      </c>
      <c r="K6">
        <f t="shared" si="2"/>
        <v>105</v>
      </c>
      <c r="L6">
        <f t="shared" si="2"/>
        <v>105</v>
      </c>
      <c r="M6">
        <f t="shared" si="2"/>
        <v>105</v>
      </c>
      <c r="N6">
        <f t="shared" si="2"/>
        <v>105</v>
      </c>
      <c r="O6">
        <f t="shared" si="2"/>
        <v>66</v>
      </c>
      <c r="P6">
        <f t="shared" si="2"/>
        <v>66</v>
      </c>
      <c r="Q6">
        <f t="shared" si="2"/>
        <v>66</v>
      </c>
      <c r="R6">
        <f t="shared" si="2"/>
        <v>66</v>
      </c>
      <c r="S6">
        <f t="shared" si="2"/>
        <v>66</v>
      </c>
      <c r="T6">
        <f t="shared" si="2"/>
        <v>66</v>
      </c>
      <c r="U6">
        <f t="shared" si="2"/>
        <v>64</v>
      </c>
      <c r="V6">
        <f t="shared" si="2"/>
        <v>64</v>
      </c>
      <c r="W6">
        <f t="shared" si="2"/>
        <v>64</v>
      </c>
      <c r="X6">
        <f t="shared" si="2"/>
        <v>64</v>
      </c>
      <c r="Y6">
        <f t="shared" si="2"/>
        <v>64</v>
      </c>
      <c r="Z6">
        <f t="shared" si="2"/>
        <v>64</v>
      </c>
      <c r="AA6">
        <f t="shared" si="2"/>
        <v>21</v>
      </c>
      <c r="AB6">
        <f t="shared" si="2"/>
        <v>105</v>
      </c>
      <c r="AC6">
        <f t="shared" si="2"/>
        <v>105</v>
      </c>
      <c r="AD6">
        <f t="shared" si="2"/>
        <v>105</v>
      </c>
      <c r="AE6">
        <f>AE$4-1</f>
        <v>104</v>
      </c>
    </row>
    <row r="7">
      <c r="A7" t="s">
        <v>67</v>
      </c>
      <c r="B7" s="2"/>
      <c r="C7" s="1">
        <f>(MAX('Měření'!A2:A1048576)-MIN('Měření'!A2:A1048576))*24*60*60</f>
        <v>105</v>
      </c>
      <c r="D7" s="3">
        <f t="shared" ref="D7:AD7" si="3">AVERAGE(INDIRECT(D$5 &amp; "2"):INDIRECT(D$5 &amp; D$6+2))</f>
        <v>1.009615385</v>
      </c>
      <c r="E7" s="2">
        <f t="shared" si="3"/>
        <v>36.95821914</v>
      </c>
      <c r="F7" s="2">
        <f t="shared" si="3"/>
        <v>-25.15736056</v>
      </c>
      <c r="G7" s="2">
        <f t="shared" si="3"/>
        <v>478.9161905</v>
      </c>
      <c r="H7" s="2">
        <f t="shared" si="3"/>
        <v>54.04466667</v>
      </c>
      <c r="I7" s="2">
        <f t="shared" si="3"/>
        <v>22.91866667</v>
      </c>
      <c r="J7" s="2">
        <f t="shared" si="3"/>
        <v>979.6389524</v>
      </c>
      <c r="K7" s="2">
        <f t="shared" si="3"/>
        <v>3426.6</v>
      </c>
      <c r="L7" s="2">
        <f t="shared" si="3"/>
        <v>-9.234952381</v>
      </c>
      <c r="M7" s="2">
        <f t="shared" si="3"/>
        <v>-1.04752381</v>
      </c>
      <c r="N7" s="2">
        <f t="shared" si="3"/>
        <v>-0.5485714286</v>
      </c>
      <c r="O7" s="2">
        <f t="shared" si="3"/>
        <v>419.7287879</v>
      </c>
      <c r="P7" s="2">
        <f t="shared" si="3"/>
        <v>675.039697</v>
      </c>
      <c r="Q7" s="2">
        <f t="shared" si="3"/>
        <v>362.2528788</v>
      </c>
      <c r="R7" s="2">
        <f t="shared" si="3"/>
        <v>474.2190909</v>
      </c>
      <c r="S7" s="2">
        <f t="shared" si="3"/>
        <v>423.4592424</v>
      </c>
      <c r="T7" s="2">
        <f t="shared" si="3"/>
        <v>479.4798485</v>
      </c>
      <c r="U7" s="2">
        <f t="shared" si="3"/>
        <v>1275.469531</v>
      </c>
      <c r="V7" s="2">
        <f t="shared" si="3"/>
        <v>1723.223125</v>
      </c>
      <c r="W7" s="2">
        <f t="shared" si="3"/>
        <v>1038.25625</v>
      </c>
      <c r="X7" s="2">
        <f t="shared" si="3"/>
        <v>1273.569375</v>
      </c>
      <c r="Y7" s="2">
        <f t="shared" si="3"/>
        <v>1219.034844</v>
      </c>
      <c r="Z7" s="2">
        <f t="shared" si="3"/>
        <v>1215.892969</v>
      </c>
      <c r="AA7" s="2">
        <f t="shared" si="3"/>
        <v>3.571428571</v>
      </c>
      <c r="AB7" s="2">
        <f t="shared" si="3"/>
        <v>-9.234952381</v>
      </c>
      <c r="AC7" s="2">
        <f t="shared" si="3"/>
        <v>-1.04752381</v>
      </c>
      <c r="AD7" s="2">
        <f t="shared" si="3"/>
        <v>-0.5485714286</v>
      </c>
      <c r="AE7" s="2">
        <f>SQRT(AB7^2+AC7^2+AD7^2)</f>
        <v>9.310348126</v>
      </c>
      <c r="AF7">
        <f>-$J$12/AE7*100</f>
        <v>2.094443702</v>
      </c>
      <c r="AG7">
        <v>38.82285676537811</v>
      </c>
    </row>
    <row r="8">
      <c r="A8" t="s">
        <v>68</v>
      </c>
      <c r="B8" s="2"/>
      <c r="C8" s="2"/>
      <c r="D8" s="2">
        <f>STDEVPA(INDIRECT(D$5 &amp; "2"):INDIRECT(D$5 &amp; D$6+2))*INDIRECT("Student!A" &amp; F6)</f>
        <v>0.3304000925</v>
      </c>
      <c r="E8" s="2">
        <f>STDEVPA(INDIRECT(E$5 &amp; "2"):INDIRECT(E$5 &amp; E$6+2))*INDIRECT("Student!A" &amp; F6)</f>
        <v>0.01101337614</v>
      </c>
      <c r="F8" s="2">
        <f t="shared" ref="F8:AD8" si="4">STDEVPA(INDIRECT(F$5 &amp; "2"):INDIRECT(F$5 &amp; F$6+2))*INDIRECT("Student!A" &amp; F6)</f>
        <v>0.002933520111</v>
      </c>
      <c r="G8" s="2">
        <f t="shared" si="4"/>
        <v>477.7789463</v>
      </c>
      <c r="H8" s="2">
        <f t="shared" si="4"/>
        <v>31.51050496</v>
      </c>
      <c r="I8" s="2">
        <f t="shared" si="4"/>
        <v>9.2422796</v>
      </c>
      <c r="J8" s="2">
        <f t="shared" si="4"/>
        <v>86.73168482</v>
      </c>
      <c r="K8" s="2">
        <f t="shared" si="4"/>
        <v>11662.47457</v>
      </c>
      <c r="L8" s="2">
        <f t="shared" si="4"/>
        <v>11.25016448</v>
      </c>
      <c r="M8" s="2">
        <f t="shared" si="4"/>
        <v>10.25248353</v>
      </c>
      <c r="N8" s="2">
        <f t="shared" si="4"/>
        <v>3.00960494</v>
      </c>
      <c r="O8" s="2">
        <f t="shared" si="4"/>
        <v>596.1377587</v>
      </c>
      <c r="P8" s="2">
        <f t="shared" si="4"/>
        <v>616.3232348</v>
      </c>
      <c r="Q8" s="2">
        <f t="shared" si="4"/>
        <v>521.6762335</v>
      </c>
      <c r="R8" s="2">
        <f t="shared" si="4"/>
        <v>471.1393317</v>
      </c>
      <c r="S8" s="2">
        <f t="shared" si="4"/>
        <v>251.2746696</v>
      </c>
      <c r="T8" s="2">
        <f t="shared" si="4"/>
        <v>283.1039928</v>
      </c>
      <c r="U8" s="2">
        <f t="shared" si="4"/>
        <v>1903.766823</v>
      </c>
      <c r="V8" s="2">
        <f t="shared" si="4"/>
        <v>1320.019814</v>
      </c>
      <c r="W8" s="2">
        <f t="shared" si="4"/>
        <v>1234.232237</v>
      </c>
      <c r="X8" s="2">
        <f t="shared" si="4"/>
        <v>1113.762477</v>
      </c>
      <c r="Y8" s="2">
        <f t="shared" si="4"/>
        <v>1012.108085</v>
      </c>
      <c r="Z8" s="2">
        <f t="shared" si="4"/>
        <v>1044.756312</v>
      </c>
      <c r="AA8" s="2">
        <f t="shared" si="4"/>
        <v>1.889914867</v>
      </c>
      <c r="AB8" s="2">
        <f t="shared" si="4"/>
        <v>11.25016448</v>
      </c>
      <c r="AC8" s="2">
        <f t="shared" si="4"/>
        <v>10.25248353</v>
      </c>
      <c r="AD8" s="2">
        <f t="shared" si="4"/>
        <v>3.00960494</v>
      </c>
      <c r="AE8" s="2">
        <f>SQRT(AB8^2*AB7^2+AC8^2*AC7^2+AD8^2*AD7^2)/SQRT(AB8^2+AC8^2+AD8^2)</f>
        <v>6.732619787</v>
      </c>
      <c r="AF8">
        <f>ABS(J15/J13*J12*AE7)+ABS(AE9*J12)</f>
        <v>0.1418630192</v>
      </c>
      <c r="AG8" s="5">
        <v>5.4</v>
      </c>
    </row>
    <row r="9">
      <c r="A9" t="s">
        <v>69</v>
      </c>
      <c r="B9" s="2"/>
      <c r="C9" s="2"/>
      <c r="D9" s="2">
        <f t="shared" ref="D9:AD9" si="5">D8/SQRT(D$6)</f>
        <v>0.03255528846</v>
      </c>
      <c r="E9" s="2">
        <f t="shared" si="5"/>
        <v>0.001074795458</v>
      </c>
      <c r="F9" s="2">
        <f t="shared" si="5"/>
        <v>0.000286282249</v>
      </c>
      <c r="G9" s="2">
        <f t="shared" si="5"/>
        <v>46.62645086</v>
      </c>
      <c r="H9" s="2">
        <f t="shared" si="5"/>
        <v>3.075110409</v>
      </c>
      <c r="I9" s="2">
        <f t="shared" si="5"/>
        <v>0.9019541336</v>
      </c>
      <c r="J9" s="2">
        <f t="shared" si="5"/>
        <v>8.464145754</v>
      </c>
      <c r="K9" s="2">
        <f t="shared" si="5"/>
        <v>1138.140978</v>
      </c>
      <c r="L9" s="2">
        <f t="shared" si="5"/>
        <v>1.097903634</v>
      </c>
      <c r="M9" s="2">
        <f t="shared" si="5"/>
        <v>1.000539943</v>
      </c>
      <c r="N9" s="2">
        <f t="shared" si="5"/>
        <v>0.2937073681</v>
      </c>
      <c r="O9" s="2">
        <f t="shared" si="5"/>
        <v>73.37948555</v>
      </c>
      <c r="P9" s="2">
        <f t="shared" si="5"/>
        <v>75.86414589</v>
      </c>
      <c r="Q9" s="2">
        <f t="shared" si="5"/>
        <v>64.21390539</v>
      </c>
      <c r="R9" s="2">
        <f t="shared" si="5"/>
        <v>57.9932428</v>
      </c>
      <c r="S9" s="2">
        <f t="shared" si="5"/>
        <v>30.92977372</v>
      </c>
      <c r="T9" s="2">
        <f t="shared" si="5"/>
        <v>34.84769257</v>
      </c>
      <c r="U9" s="2">
        <f t="shared" si="5"/>
        <v>237.9708529</v>
      </c>
      <c r="V9" s="2">
        <f t="shared" si="5"/>
        <v>165.0024768</v>
      </c>
      <c r="W9" s="2">
        <f t="shared" si="5"/>
        <v>154.2790296</v>
      </c>
      <c r="X9" s="2">
        <f t="shared" si="5"/>
        <v>139.2203097</v>
      </c>
      <c r="Y9" s="2">
        <f t="shared" si="5"/>
        <v>126.5135107</v>
      </c>
      <c r="Z9" s="2">
        <f t="shared" si="5"/>
        <v>130.594539</v>
      </c>
      <c r="AA9" s="2">
        <f t="shared" si="5"/>
        <v>0.412413235</v>
      </c>
      <c r="AB9" s="2">
        <f t="shared" si="5"/>
        <v>1.097903634</v>
      </c>
      <c r="AC9" s="2">
        <f t="shared" si="5"/>
        <v>1.000539943</v>
      </c>
      <c r="AD9" s="2">
        <f t="shared" si="5"/>
        <v>0.2937073681</v>
      </c>
      <c r="AE9" s="2">
        <f>AE8/SQRT(AE$6-1)</f>
        <v>0.6633847395</v>
      </c>
    </row>
    <row r="10">
      <c r="A10" t="s">
        <v>70</v>
      </c>
      <c r="B10" s="2"/>
      <c r="C10" s="2"/>
      <c r="D10" s="3">
        <f t="shared" ref="D10:AD10" si="6">MIN(INDIRECT(D$5 &amp; "2"):INDIRECT(D$5 &amp; D$6+2))</f>
        <v>1</v>
      </c>
      <c r="E10" s="2">
        <f t="shared" si="6"/>
        <v>36.953735</v>
      </c>
      <c r="F10" s="2">
        <f t="shared" si="6"/>
        <v>-25.15833</v>
      </c>
      <c r="G10" s="2">
        <f t="shared" si="6"/>
        <v>136.9</v>
      </c>
      <c r="H10" s="2">
        <f t="shared" si="6"/>
        <v>31.66</v>
      </c>
      <c r="I10" s="2">
        <f t="shared" si="6"/>
        <v>20.39</v>
      </c>
      <c r="J10" s="2">
        <f t="shared" si="6"/>
        <v>932.9</v>
      </c>
      <c r="K10" s="2">
        <f t="shared" si="6"/>
        <v>0</v>
      </c>
      <c r="L10" s="2">
        <f t="shared" si="6"/>
        <v>-13.3</v>
      </c>
      <c r="M10" s="2">
        <f t="shared" si="6"/>
        <v>-9.7</v>
      </c>
      <c r="N10" s="2">
        <f t="shared" si="6"/>
        <v>-1.45</v>
      </c>
      <c r="O10" s="2">
        <f t="shared" si="6"/>
        <v>117.22</v>
      </c>
      <c r="P10" s="2">
        <f t="shared" si="6"/>
        <v>295.67</v>
      </c>
      <c r="Q10" s="2">
        <f t="shared" si="6"/>
        <v>156.45</v>
      </c>
      <c r="R10" s="2">
        <f t="shared" si="6"/>
        <v>262.86</v>
      </c>
      <c r="S10" s="2">
        <f t="shared" si="6"/>
        <v>244.39</v>
      </c>
      <c r="T10" s="2">
        <f t="shared" si="6"/>
        <v>385.37</v>
      </c>
      <c r="U10" s="2">
        <f t="shared" si="6"/>
        <v>251.63</v>
      </c>
      <c r="V10" s="2">
        <f t="shared" si="6"/>
        <v>1184.91</v>
      </c>
      <c r="W10" s="2">
        <f t="shared" si="6"/>
        <v>341.38</v>
      </c>
      <c r="X10" s="2">
        <f t="shared" si="6"/>
        <v>509.77</v>
      </c>
      <c r="Y10" s="2">
        <f t="shared" si="6"/>
        <v>578.29</v>
      </c>
      <c r="Z10" s="2">
        <f t="shared" si="6"/>
        <v>472.61</v>
      </c>
      <c r="AA10" s="2">
        <f t="shared" si="6"/>
        <v>3</v>
      </c>
      <c r="AB10" s="2">
        <f t="shared" si="6"/>
        <v>-13.3</v>
      </c>
      <c r="AC10" s="2">
        <f t="shared" si="6"/>
        <v>-9.7</v>
      </c>
      <c r="AD10" s="2">
        <f t="shared" si="6"/>
        <v>-1.45</v>
      </c>
      <c r="AE10" s="2">
        <f>MIN('Další výsledky'!C2:C106)</f>
        <v>6.680187123</v>
      </c>
    </row>
    <row r="11">
      <c r="A11" t="s">
        <v>71</v>
      </c>
      <c r="B11" s="2"/>
      <c r="C11" s="2"/>
      <c r="D11" s="3">
        <f t="shared" ref="D11:AD11" si="7">MAX(INDIRECT(D$5 &amp; "2"):INDIRECT(D$5 &amp; D$6+2))</f>
        <v>2</v>
      </c>
      <c r="E11" s="2">
        <f t="shared" si="7"/>
        <v>36.964157</v>
      </c>
      <c r="F11" s="2">
        <f t="shared" si="7"/>
        <v>-25.155271</v>
      </c>
      <c r="G11" s="2">
        <f t="shared" si="7"/>
        <v>710.8</v>
      </c>
      <c r="H11" s="2">
        <f t="shared" si="7"/>
        <v>63.12</v>
      </c>
      <c r="I11" s="2">
        <f t="shared" si="7"/>
        <v>30.54</v>
      </c>
      <c r="J11" s="2">
        <f t="shared" si="7"/>
        <v>1015.42</v>
      </c>
      <c r="K11" s="2">
        <f t="shared" si="7"/>
        <v>17016</v>
      </c>
      <c r="L11" s="2">
        <f t="shared" si="7"/>
        <v>6.41</v>
      </c>
      <c r="M11" s="2">
        <f t="shared" si="7"/>
        <v>3.84</v>
      </c>
      <c r="N11" s="2">
        <f t="shared" si="7"/>
        <v>1.87</v>
      </c>
      <c r="O11" s="2">
        <f t="shared" si="7"/>
        <v>764.58</v>
      </c>
      <c r="P11" s="2">
        <f t="shared" si="7"/>
        <v>1274.53</v>
      </c>
      <c r="Q11" s="2">
        <f t="shared" si="7"/>
        <v>778.8</v>
      </c>
      <c r="R11" s="2">
        <f t="shared" si="7"/>
        <v>929.31</v>
      </c>
      <c r="S11" s="2">
        <f t="shared" si="7"/>
        <v>664.36</v>
      </c>
      <c r="T11" s="2">
        <f t="shared" si="7"/>
        <v>798.26</v>
      </c>
      <c r="U11" s="2">
        <f t="shared" si="7"/>
        <v>2233.71</v>
      </c>
      <c r="V11" s="2">
        <f t="shared" si="7"/>
        <v>2527.58</v>
      </c>
      <c r="W11" s="2">
        <f t="shared" si="7"/>
        <v>1779.71</v>
      </c>
      <c r="X11" s="2">
        <f t="shared" si="7"/>
        <v>1996.97</v>
      </c>
      <c r="Y11" s="2">
        <f t="shared" si="7"/>
        <v>1865.19</v>
      </c>
      <c r="Z11" s="2">
        <f t="shared" si="7"/>
        <v>1770.77</v>
      </c>
      <c r="AA11" s="2">
        <f t="shared" si="7"/>
        <v>4</v>
      </c>
      <c r="AB11" s="2">
        <f t="shared" si="7"/>
        <v>6.41</v>
      </c>
      <c r="AC11" s="2">
        <f t="shared" si="7"/>
        <v>3.84</v>
      </c>
      <c r="AD11" s="2">
        <f t="shared" si="7"/>
        <v>1.87</v>
      </c>
      <c r="AE11" s="2">
        <f>MAX('Další výsledky'!C2:C106)</f>
        <v>14.19938379</v>
      </c>
    </row>
    <row r="12">
      <c r="A12" t="s">
        <v>72</v>
      </c>
      <c r="B12" s="2"/>
      <c r="C12" s="2"/>
      <c r="D12" s="2">
        <f t="shared" ref="D12:I12" si="8">SLOPE(INDIRECT(D$5 &amp; "2"):INDIRECT(D$5 &amp; D$6+2),INDIRECT($G$5 &amp; "2"):INDIRECT($G$5 &amp; D$6+2))</f>
        <v>0.0001101030542</v>
      </c>
      <c r="E12" s="2">
        <f t="shared" si="8"/>
        <v>0.00001242240694</v>
      </c>
      <c r="F12" s="2">
        <f t="shared" si="8"/>
        <v>0.00000250544392</v>
      </c>
      <c r="G12" s="2">
        <f t="shared" si="8"/>
        <v>1</v>
      </c>
      <c r="H12" s="2">
        <f t="shared" si="8"/>
        <v>-0.02488523627</v>
      </c>
      <c r="I12" s="2">
        <f t="shared" si="8"/>
        <v>0.004594537806</v>
      </c>
      <c r="J12" s="11">
        <v>-0.195</v>
      </c>
      <c r="K12" s="2">
        <f t="shared" ref="K12:AD12" si="9">SLOPE(INDIRECT(K$5 &amp; "2"):INDIRECT(K$5 &amp; K$6+2),INDIRECT($G$5 &amp; "2"):INDIRECT($G$5 &amp; K$6+2))</f>
        <v>-2.394271369</v>
      </c>
      <c r="L12" s="2">
        <f t="shared" si="9"/>
        <v>-0.007777869405</v>
      </c>
      <c r="M12" s="2">
        <f t="shared" si="9"/>
        <v>0.006374763132</v>
      </c>
      <c r="N12" s="2">
        <f t="shared" si="9"/>
        <v>-0.002713404173</v>
      </c>
      <c r="O12" s="2">
        <f t="shared" si="9"/>
        <v>0.2577626584</v>
      </c>
      <c r="P12" s="2">
        <f t="shared" si="9"/>
        <v>0.1392282233</v>
      </c>
      <c r="Q12" s="2">
        <f t="shared" si="9"/>
        <v>0.2570427417</v>
      </c>
      <c r="R12" s="2">
        <f t="shared" si="9"/>
        <v>0.1917032919</v>
      </c>
      <c r="S12" s="2">
        <f t="shared" si="9"/>
        <v>0.03009678879</v>
      </c>
      <c r="T12" s="2">
        <f t="shared" si="9"/>
        <v>-0.06417266138</v>
      </c>
      <c r="U12" s="2">
        <f t="shared" si="9"/>
        <v>0.4328230112</v>
      </c>
      <c r="V12" s="2">
        <f t="shared" si="9"/>
        <v>1.330082501</v>
      </c>
      <c r="W12" s="2">
        <f t="shared" si="9"/>
        <v>0.4898821428</v>
      </c>
      <c r="X12" s="2">
        <f t="shared" si="9"/>
        <v>0.9283777665</v>
      </c>
      <c r="Y12" s="2">
        <f t="shared" si="9"/>
        <v>0.6593253831</v>
      </c>
      <c r="Z12" s="2">
        <f t="shared" si="9"/>
        <v>0.9312639446</v>
      </c>
      <c r="AA12" s="2">
        <f t="shared" si="9"/>
        <v>0.0004113446598</v>
      </c>
      <c r="AB12" s="2">
        <f t="shared" si="9"/>
        <v>-0.007777869405</v>
      </c>
      <c r="AC12" s="2">
        <f t="shared" si="9"/>
        <v>0.006374763132</v>
      </c>
      <c r="AD12" s="2">
        <f t="shared" si="9"/>
        <v>-0.002713404173</v>
      </c>
      <c r="AE12" s="2">
        <f t="shared" ref="AE12:AE13" si="11">SQRT(AB12^2+AC12^2+AD12^2)</f>
        <v>0.01041611346</v>
      </c>
    </row>
    <row r="13">
      <c r="A13" t="s">
        <v>73</v>
      </c>
      <c r="B13" s="2"/>
      <c r="C13" s="2"/>
      <c r="D13" s="2">
        <f t="shared" ref="D13:AD13" si="10">INTERCEPT(INDIRECT(D$5 &amp; "2"):INDIRECT(D$5 &amp; D$6+2),INDIRECT($G$5 &amp; "2"):INDIRECT($G$5 &amp; D$6+2))</f>
        <v>0.9567371224</v>
      </c>
      <c r="E13" s="2">
        <f t="shared" si="10"/>
        <v>36.95226985</v>
      </c>
      <c r="F13" s="2">
        <f t="shared" si="10"/>
        <v>-25.15856046</v>
      </c>
      <c r="G13" s="2">
        <f t="shared" si="10"/>
        <v>0</v>
      </c>
      <c r="H13" s="2">
        <f t="shared" si="10"/>
        <v>65.96260922</v>
      </c>
      <c r="I13" s="2">
        <f t="shared" si="10"/>
        <v>20.71826812</v>
      </c>
      <c r="J13" s="2">
        <f t="shared" si="10"/>
        <v>1028.302994</v>
      </c>
      <c r="K13" s="2">
        <f t="shared" si="10"/>
        <v>4573.255323</v>
      </c>
      <c r="L13" s="2">
        <f t="shared" si="10"/>
        <v>-5.510004795</v>
      </c>
      <c r="M13" s="2">
        <f t="shared" si="10"/>
        <v>-4.100501084</v>
      </c>
      <c r="N13" s="2">
        <f t="shared" si="10"/>
        <v>0.7509217613</v>
      </c>
      <c r="O13" s="2">
        <f t="shared" si="10"/>
        <v>280.0800094</v>
      </c>
      <c r="P13" s="2">
        <f t="shared" si="10"/>
        <v>599.6096427</v>
      </c>
      <c r="Q13" s="2">
        <f t="shared" si="10"/>
        <v>222.9941316</v>
      </c>
      <c r="R13" s="2">
        <f t="shared" si="10"/>
        <v>370.3594756</v>
      </c>
      <c r="S13" s="2">
        <f t="shared" si="10"/>
        <v>407.1536231</v>
      </c>
      <c r="T13" s="2">
        <f t="shared" si="10"/>
        <v>514.2468463</v>
      </c>
      <c r="U13" s="2">
        <f t="shared" si="10"/>
        <v>1039.460611</v>
      </c>
      <c r="V13" s="2">
        <f t="shared" si="10"/>
        <v>997.9582326</v>
      </c>
      <c r="W13" s="2">
        <f t="shared" si="10"/>
        <v>771.1342337</v>
      </c>
      <c r="X13" s="2">
        <f t="shared" si="10"/>
        <v>767.3452872</v>
      </c>
      <c r="Y13" s="2">
        <f t="shared" si="10"/>
        <v>859.5191351</v>
      </c>
      <c r="Z13" s="2">
        <f t="shared" si="10"/>
        <v>708.0951112</v>
      </c>
      <c r="AA13" s="2">
        <f t="shared" si="10"/>
        <v>3.344207658</v>
      </c>
      <c r="AB13" s="2">
        <f t="shared" si="10"/>
        <v>-5.510004795</v>
      </c>
      <c r="AC13" s="2">
        <f t="shared" si="10"/>
        <v>-4.100501084</v>
      </c>
      <c r="AD13" s="2">
        <f t="shared" si="10"/>
        <v>0.7509217613</v>
      </c>
      <c r="AE13" s="2">
        <f t="shared" si="11"/>
        <v>6.909279664</v>
      </c>
    </row>
    <row r="14">
      <c r="A14" t="s">
        <v>74</v>
      </c>
      <c r="B14" s="2"/>
      <c r="C14" s="2"/>
      <c r="D14" s="2">
        <f t="shared" ref="D14:AD14" si="12">STEYX(INDIRECT(D$5 &amp; "2"):INDIRECT(D$5 &amp; D$6+2),INDIRECT($G$5 &amp; "2"):INDIRECT($G$5 &amp; D$6+2))*INDIRECT("Student!A" &amp; D6)</f>
        <v>0.3295328852</v>
      </c>
      <c r="E14" s="2">
        <f t="shared" si="12"/>
        <v>0.009366936797</v>
      </c>
      <c r="F14" s="2">
        <f t="shared" si="12"/>
        <v>0.002704050584</v>
      </c>
      <c r="G14" s="2" t="str">
        <f t="shared" si="12"/>
        <v>#NUM!</v>
      </c>
      <c r="H14" s="2">
        <f t="shared" si="12"/>
        <v>29.46325263</v>
      </c>
      <c r="I14" s="2">
        <f t="shared" si="12"/>
        <v>9.064547022</v>
      </c>
      <c r="J14" s="2">
        <f t="shared" si="12"/>
        <v>72.56534708</v>
      </c>
      <c r="K14" s="2">
        <f t="shared" si="12"/>
        <v>11718.37691</v>
      </c>
      <c r="L14" s="2">
        <f t="shared" si="12"/>
        <v>10.72129829</v>
      </c>
      <c r="M14" s="2">
        <f t="shared" si="12"/>
        <v>9.88422348</v>
      </c>
      <c r="N14" s="2">
        <f t="shared" si="12"/>
        <v>2.742315348</v>
      </c>
      <c r="O14" s="2">
        <f t="shared" si="12"/>
        <v>591.4188035</v>
      </c>
      <c r="P14" s="2">
        <f t="shared" si="12"/>
        <v>621.9724216</v>
      </c>
      <c r="Q14" s="2">
        <f t="shared" si="12"/>
        <v>513.8425903</v>
      </c>
      <c r="R14" s="2">
        <f t="shared" si="12"/>
        <v>468.6858883</v>
      </c>
      <c r="S14" s="2">
        <f t="shared" si="12"/>
        <v>254.7238595</v>
      </c>
      <c r="T14" s="2">
        <f t="shared" si="12"/>
        <v>285.6865533</v>
      </c>
      <c r="U14" s="2">
        <f t="shared" si="12"/>
        <v>1921.826771</v>
      </c>
      <c r="V14" s="2">
        <f t="shared" si="12"/>
        <v>1160.617444</v>
      </c>
      <c r="W14" s="2">
        <f t="shared" si="12"/>
        <v>1229.310661</v>
      </c>
      <c r="X14" s="2">
        <f t="shared" si="12"/>
        <v>1029.784705</v>
      </c>
      <c r="Y14" s="2">
        <f t="shared" si="12"/>
        <v>972.8475274</v>
      </c>
      <c r="Z14" s="2">
        <f t="shared" si="12"/>
        <v>951.4885103</v>
      </c>
      <c r="AA14" s="2">
        <f t="shared" si="12"/>
        <v>1.949259135</v>
      </c>
      <c r="AB14" s="2">
        <f t="shared" si="12"/>
        <v>10.72129829</v>
      </c>
      <c r="AC14" s="2">
        <f t="shared" si="12"/>
        <v>9.88422348</v>
      </c>
      <c r="AD14" s="2">
        <f t="shared" si="12"/>
        <v>2.742315348</v>
      </c>
      <c r="AE14" s="2">
        <f>SQRT(AB14^2*AB13^2+AC14^2*AC13^2+AD14^2*AD13^2)/SQRT(AB14^2+AC14^2+AD14^2)</f>
        <v>4.830251657</v>
      </c>
    </row>
    <row r="15">
      <c r="B15" s="2"/>
      <c r="C15" s="2"/>
      <c r="D15" s="2">
        <f t="shared" ref="D15:AE15" si="13">D14/SQRT(D$6)</f>
        <v>0.03246983999</v>
      </c>
      <c r="E15" s="2">
        <f t="shared" si="13"/>
        <v>0.0009141194304</v>
      </c>
      <c r="F15" s="2">
        <f t="shared" si="13"/>
        <v>0.0002638883162</v>
      </c>
      <c r="G15" s="2" t="str">
        <f t="shared" si="13"/>
        <v>#NUM!</v>
      </c>
      <c r="H15" s="2">
        <f t="shared" si="13"/>
        <v>2.875319039</v>
      </c>
      <c r="I15" s="2">
        <f t="shared" si="13"/>
        <v>0.88460921</v>
      </c>
      <c r="J15" s="2">
        <f t="shared" si="13"/>
        <v>7.081652751</v>
      </c>
      <c r="K15" s="2">
        <f t="shared" si="13"/>
        <v>1143.596488</v>
      </c>
      <c r="L15" s="2">
        <f t="shared" si="13"/>
        <v>1.046291578</v>
      </c>
      <c r="M15" s="2">
        <f t="shared" si="13"/>
        <v>0.9646014415</v>
      </c>
      <c r="N15" s="2">
        <f t="shared" si="13"/>
        <v>0.2676225748</v>
      </c>
      <c r="O15" s="2">
        <f t="shared" si="13"/>
        <v>72.79862231</v>
      </c>
      <c r="P15" s="2">
        <f t="shared" si="13"/>
        <v>76.55951272</v>
      </c>
      <c r="Q15" s="2">
        <f t="shared" si="13"/>
        <v>63.24965057</v>
      </c>
      <c r="R15" s="2">
        <f t="shared" si="13"/>
        <v>57.69124479</v>
      </c>
      <c r="S15" s="2">
        <f t="shared" si="13"/>
        <v>31.35433966</v>
      </c>
      <c r="T15" s="2">
        <f t="shared" si="13"/>
        <v>35.1655838</v>
      </c>
      <c r="U15" s="2">
        <f t="shared" si="13"/>
        <v>240.2283463</v>
      </c>
      <c r="V15" s="2">
        <f t="shared" si="13"/>
        <v>145.0771804</v>
      </c>
      <c r="W15" s="2">
        <f t="shared" si="13"/>
        <v>153.6638326</v>
      </c>
      <c r="X15" s="2">
        <f t="shared" si="13"/>
        <v>128.7230881</v>
      </c>
      <c r="Y15" s="2">
        <f t="shared" si="13"/>
        <v>121.6059409</v>
      </c>
      <c r="Z15" s="2">
        <f t="shared" si="13"/>
        <v>118.9360638</v>
      </c>
      <c r="AA15" s="2">
        <f t="shared" si="13"/>
        <v>0.4253632159</v>
      </c>
      <c r="AB15" s="2">
        <f t="shared" si="13"/>
        <v>1.046291578</v>
      </c>
      <c r="AC15" s="2">
        <f t="shared" si="13"/>
        <v>0.9646014415</v>
      </c>
      <c r="AD15" s="2">
        <f t="shared" si="13"/>
        <v>0.2676225748</v>
      </c>
      <c r="AE15" s="2">
        <f t="shared" si="13"/>
        <v>0.4736451434</v>
      </c>
    </row>
    <row r="16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</row>
    <row r="18">
      <c r="B18" s="2"/>
      <c r="C18" s="2"/>
      <c r="D18" s="2"/>
      <c r="E18" s="12"/>
      <c r="F18" s="12"/>
      <c r="G18" s="1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B19" s="2"/>
      <c r="C19" s="2"/>
      <c r="D19" s="2"/>
      <c r="E19" s="2"/>
      <c r="F19" s="2"/>
      <c r="L19" s="2"/>
      <c r="M19" s="2"/>
      <c r="N19" s="2" t="s">
        <v>75</v>
      </c>
      <c r="O19" s="2" t="str">
        <f>O7/SIN(RADIANS('Temperature regulation'!$K$3))</f>
        <v>#REF!</v>
      </c>
      <c r="P19" s="2" t="str">
        <f>P7/SIN(RADIANS('Temperature regulation'!$K$3))</f>
        <v>#REF!</v>
      </c>
      <c r="Q19" s="2" t="str">
        <f>Q7/SIN(RADIANS('Temperature regulation'!$K$3))</f>
        <v>#REF!</v>
      </c>
      <c r="R19" s="2" t="str">
        <f>R7/SIN(RADIANS('Temperature regulation'!$K$3))</f>
        <v>#REF!</v>
      </c>
      <c r="S19" s="2" t="str">
        <f>S7/SIN(RADIANS('Temperature regulation'!$K$3))</f>
        <v>#REF!</v>
      </c>
      <c r="T19" s="2" t="str">
        <f>T7/SIN(RADIANS('Temperature regulation'!$K$3))</f>
        <v>#REF!</v>
      </c>
      <c r="U19" s="2">
        <f>U7/SIN(RADIANS('Temperature regulation'!$K$2))</f>
        <v>24782.08047</v>
      </c>
      <c r="V19" s="2">
        <f>V7/SIN(RADIANS('Temperature regulation'!$K$2))</f>
        <v>33481.83011</v>
      </c>
      <c r="W19" s="2">
        <f>W7/SIN(RADIANS('Temperature regulation'!$K$2))</f>
        <v>20173.08082</v>
      </c>
      <c r="X19" s="2">
        <f>X7/SIN(RADIANS('Temperature regulation'!$K$2))</f>
        <v>24745.16087</v>
      </c>
      <c r="Y19" s="2">
        <f>Y7/SIN(RADIANS('Temperature regulation'!$K$2))</f>
        <v>23685.56744</v>
      </c>
      <c r="Z19" s="2">
        <f>Z7/SIN(RADIANS('Temperature regulation'!$K$2))</f>
        <v>23624.52153</v>
      </c>
      <c r="AA19" s="2">
        <f>AA7/SIN(RADIANS('Temperature regulation'!$K$4))</f>
        <v>10258.61267</v>
      </c>
    </row>
    <row r="20">
      <c r="B20" s="2"/>
      <c r="C20" s="2"/>
      <c r="D20" s="2"/>
      <c r="E20" s="2"/>
      <c r="F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B21" s="2"/>
      <c r="C21" s="2"/>
      <c r="D21" s="2"/>
      <c r="E21" s="2"/>
      <c r="F21" s="2"/>
      <c r="L21" s="2"/>
      <c r="M21" s="2"/>
      <c r="N21" s="2"/>
      <c r="O21" s="2" t="str">
        <f>O9/SIN(RADIANS('Temperature regulation'!$K$3))*2</f>
        <v>#REF!</v>
      </c>
      <c r="P21" s="2" t="str">
        <f>P9/SIN(RADIANS('Temperature regulation'!$K$3))*2</f>
        <v>#REF!</v>
      </c>
      <c r="Q21" s="2" t="str">
        <f>Q9/SIN(RADIANS('Temperature regulation'!$K$3))*2</f>
        <v>#REF!</v>
      </c>
      <c r="R21" s="2" t="str">
        <f>R9/SIN(RADIANS('Temperature regulation'!$K$3))*2</f>
        <v>#REF!</v>
      </c>
      <c r="S21" s="2" t="str">
        <f>S9/SIN(RADIANS('Temperature regulation'!$K$3))*2</f>
        <v>#REF!</v>
      </c>
      <c r="T21" s="2" t="str">
        <f>T9/SIN(RADIANS('Temperature regulation'!$K$3))*2</f>
        <v>#REF!</v>
      </c>
      <c r="U21" s="2">
        <f>U9/SIN(RADIANS('Temperature regulation'!$K$2))*2</f>
        <v>9247.43819</v>
      </c>
      <c r="V21" s="2">
        <f>V9/SIN(RADIANS('Temperature regulation'!$K$2))*2</f>
        <v>6411.920564</v>
      </c>
      <c r="W21" s="2">
        <f>W9/SIN(RADIANS('Temperature regulation'!$K$2))*2</f>
        <v>5995.212326</v>
      </c>
      <c r="X21" s="2">
        <f>X9/SIN(RADIANS('Temperature regulation'!$K$2))*2</f>
        <v>5410.037376</v>
      </c>
      <c r="Y21" s="2">
        <f>Y9/SIN(RADIANS('Temperature regulation'!$K$2))*2</f>
        <v>4916.256995</v>
      </c>
      <c r="Z21" s="2">
        <f>Z9/SIN(RADIANS('Temperature regulation'!$K$2))*2</f>
        <v>5074.843885</v>
      </c>
      <c r="AA21" s="2">
        <f>AA9/SIN(RADIANS('Temperature regulation'!$K$4))*2</f>
        <v>2369.241077</v>
      </c>
    </row>
    <row r="22" ht="15.75" customHeight="1">
      <c r="B22" s="2"/>
      <c r="C22" s="2"/>
      <c r="D22" s="2"/>
      <c r="E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5.75" customHeight="1">
      <c r="B23" s="2"/>
      <c r="C23" s="2"/>
      <c r="D23" s="2"/>
      <c r="E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.75" customHeight="1">
      <c r="B24" s="2"/>
      <c r="C24" s="2"/>
      <c r="D24" s="2"/>
      <c r="E24" s="2"/>
      <c r="F24" s="12"/>
      <c r="I24" s="2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5.75" customHeight="1">
      <c r="B25" s="2"/>
      <c r="C25" s="2"/>
      <c r="D25" s="2"/>
      <c r="E25" s="2"/>
      <c r="F25" s="2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5.75" customHeight="1">
      <c r="B26" s="2"/>
      <c r="C26" s="2"/>
      <c r="D26" s="2"/>
      <c r="E26" s="2"/>
      <c r="F26" s="2"/>
      <c r="G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5.75" customHeight="1">
      <c r="B27" s="2"/>
      <c r="C27" s="2"/>
      <c r="D27" s="2"/>
      <c r="E27" s="2"/>
      <c r="F27" s="2"/>
      <c r="G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5.75" customHeigh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5.7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2.0"/>
    <col customWidth="1" min="3" max="15" width="8.71"/>
    <col customWidth="1" min="16" max="16" width="9.57"/>
    <col customWidth="1" min="17" max="17" width="16.29"/>
    <col customWidth="1" min="18" max="18" width="8.71"/>
    <col customWidth="1" min="19" max="19" width="12.0"/>
    <col customWidth="1" min="20" max="20" width="11.0"/>
    <col customWidth="1" min="21" max="25" width="12.0"/>
    <col customWidth="1" min="26" max="26" width="11.0"/>
    <col customWidth="1" min="27" max="30" width="12.0"/>
    <col customWidth="1" min="31" max="31" width="17.0"/>
    <col customWidth="1" min="32" max="32" width="9.14"/>
    <col customWidth="1" min="33" max="68" width="8.71"/>
    <col customWidth="1" min="69" max="69" width="11.71"/>
    <col customWidth="1" min="70" max="70" width="8.71"/>
  </cols>
  <sheetData>
    <row r="1">
      <c r="A1" s="13" t="s">
        <v>136</v>
      </c>
      <c r="B1" s="13">
        <f>50*10^-9</f>
        <v>0.00000005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27">
        <f>(AJ4*AJ5+AL4*1.331+AN4*(1.165+ 1.25)/2+AP4*1.661+AS4*AS5)/8900</f>
        <v>1.132892135</v>
      </c>
      <c r="AP1" s="13"/>
      <c r="AQ1" s="13"/>
      <c r="AR1" s="13"/>
      <c r="AS1" s="14" t="s">
        <v>137</v>
      </c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</row>
    <row r="2">
      <c r="A2" s="13" t="s">
        <v>138</v>
      </c>
      <c r="B2" s="13">
        <f>6.09*10^18</f>
        <v>6.09E+18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>
        <f>AF5*AF4/8900</f>
        <v>0.000001570280899</v>
      </c>
      <c r="AG2" s="13"/>
      <c r="AH2" s="13">
        <f>AH5*AH4/8900</f>
        <v>0</v>
      </c>
      <c r="AI2" s="13"/>
      <c r="AJ2" s="13">
        <f>AJ5*AJ4/8900</f>
        <v>0.004516853933</v>
      </c>
      <c r="AK2" s="13"/>
      <c r="AL2" s="13">
        <f>AL5*AL4/8900</f>
        <v>0.2273168539</v>
      </c>
      <c r="AM2" s="13"/>
      <c r="AN2" s="13">
        <f>AN5*AN4/8900</f>
        <v>0.8954494382</v>
      </c>
      <c r="AO2" s="13"/>
      <c r="AP2" s="13">
        <f>AP5*AP4</f>
        <v>0</v>
      </c>
      <c r="AQ2" s="13"/>
      <c r="AR2" s="13"/>
      <c r="AS2" s="13">
        <f>AS5*AS4/8900</f>
        <v>0.005608988764</v>
      </c>
      <c r="AT2" s="14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</row>
    <row r="3">
      <c r="A3" s="13" t="s">
        <v>139</v>
      </c>
      <c r="B3" s="13">
        <v>1.51931819E11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4" t="s">
        <v>140</v>
      </c>
      <c r="O3" s="13">
        <v>683.002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>
        <f>(SUM(AF3:AT3)-AL3)/1000000</f>
        <v>0.95168618</v>
      </c>
      <c r="AF3" s="28">
        <f>1000000*AF4/8900</f>
        <v>0.7865168539</v>
      </c>
      <c r="AG3" s="13"/>
      <c r="AH3" s="28">
        <f>1000000*AH4/8900</f>
        <v>0.0002247191011</v>
      </c>
      <c r="AI3" s="13"/>
      <c r="AJ3" s="28">
        <f>1000000*AJ4/8900</f>
        <v>5617.977528</v>
      </c>
      <c r="AK3" s="13"/>
      <c r="AL3" s="28">
        <f>1000000*AL4/8900</f>
        <v>170786.5169</v>
      </c>
      <c r="AM3" s="14"/>
      <c r="AN3" s="28">
        <f>1000000*AN4/8900</f>
        <v>741573.0337</v>
      </c>
      <c r="AO3" s="14"/>
      <c r="AP3" s="13">
        <f>1000000*AP4/8900</f>
        <v>0</v>
      </c>
      <c r="AQ3" s="14"/>
      <c r="AR3" s="28">
        <f t="shared" ref="AR3:AS3" si="1">1000000*AR4/8900</f>
        <v>170786.5169</v>
      </c>
      <c r="AS3" s="28">
        <f t="shared" si="1"/>
        <v>33707.86517</v>
      </c>
      <c r="AT3" s="28"/>
      <c r="AU3" s="14" t="s">
        <v>141</v>
      </c>
      <c r="AV3" s="13"/>
      <c r="AW3" s="13"/>
      <c r="AX3" s="14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4" t="s">
        <v>142</v>
      </c>
      <c r="BP3" s="13"/>
      <c r="BQ3" s="13"/>
      <c r="BR3" s="13"/>
    </row>
    <row r="4">
      <c r="A4" s="13" t="s">
        <v>143</v>
      </c>
      <c r="B4" s="13">
        <f>6.02214076*10^23/0.024465</f>
        <v>2.46153E+25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>
        <f>'Výsledky'!AA21</f>
        <v>2369.241077</v>
      </c>
      <c r="S4" s="13" t="str">
        <f>'Výsledky'!O21</f>
        <v>#REF!</v>
      </c>
      <c r="T4" s="13" t="str">
        <f>'Výsledky'!P21</f>
        <v>#REF!</v>
      </c>
      <c r="U4" s="13" t="str">
        <f>'Výsledky'!Q21</f>
        <v>#REF!</v>
      </c>
      <c r="V4" s="13" t="str">
        <f>'Výsledky'!R21</f>
        <v>#REF!</v>
      </c>
      <c r="W4" s="13" t="str">
        <f>'Výsledky'!S21</f>
        <v>#REF!</v>
      </c>
      <c r="X4" s="13" t="str">
        <f>'Výsledky'!T21</f>
        <v>#REF!</v>
      </c>
      <c r="Y4" s="13">
        <f>'Výsledky'!U21</f>
        <v>9247.43819</v>
      </c>
      <c r="Z4" s="13">
        <f>'Výsledky'!V21</f>
        <v>6411.920564</v>
      </c>
      <c r="AA4" s="13">
        <f>'Výsledky'!W21</f>
        <v>5995.212326</v>
      </c>
      <c r="AB4" s="13">
        <f>'Výsledky'!X21</f>
        <v>5410.037376</v>
      </c>
      <c r="AC4" s="13">
        <f>'Výsledky'!Y21</f>
        <v>4916.256995</v>
      </c>
      <c r="AD4" s="13">
        <f>'Výsledky'!Z21</f>
        <v>5074.843885</v>
      </c>
      <c r="AE4" s="13"/>
      <c r="AF4" s="14">
        <v>0.007</v>
      </c>
      <c r="AG4" s="13"/>
      <c r="AH4" s="14">
        <v>2.0E-6</v>
      </c>
      <c r="AI4" s="13"/>
      <c r="AJ4" s="14">
        <v>50.0</v>
      </c>
      <c r="AK4" s="13"/>
      <c r="AL4" s="14">
        <v>1520.0</v>
      </c>
      <c r="AM4" s="14"/>
      <c r="AN4" s="14">
        <v>6600.0</v>
      </c>
      <c r="AP4" s="13">
        <v>0.0</v>
      </c>
      <c r="AQ4" s="14"/>
      <c r="AR4" s="14">
        <f>AL4</f>
        <v>1520</v>
      </c>
      <c r="AS4">
        <f>6900-AN4</f>
        <v>300</v>
      </c>
      <c r="AT4" s="14"/>
      <c r="AU4" s="14">
        <v>1.0</v>
      </c>
      <c r="AV4" s="13"/>
      <c r="AW4" s="13"/>
      <c r="AX4" s="14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4">
        <v>0.7</v>
      </c>
      <c r="BP4" s="13"/>
      <c r="BQ4" s="13"/>
      <c r="BR4" s="13"/>
    </row>
    <row r="5">
      <c r="A5" s="13" t="s">
        <v>144</v>
      </c>
      <c r="B5" s="14">
        <v>0.003</v>
      </c>
      <c r="C5" s="14">
        <v>100.0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 t="s">
        <v>145</v>
      </c>
      <c r="O5" s="13"/>
      <c r="P5" s="13"/>
      <c r="Q5" s="13"/>
      <c r="R5" s="13">
        <f t="shared" ref="R5:AD5" si="2">R6</f>
        <v>10258.61267</v>
      </c>
      <c r="S5" s="13" t="str">
        <f t="shared" si="2"/>
        <v>#REF!</v>
      </c>
      <c r="T5" s="13" t="str">
        <f t="shared" si="2"/>
        <v>#REF!</v>
      </c>
      <c r="U5" s="13" t="str">
        <f t="shared" si="2"/>
        <v>#REF!</v>
      </c>
      <c r="V5" s="13" t="str">
        <f t="shared" si="2"/>
        <v>#REF!</v>
      </c>
      <c r="W5" s="13" t="str">
        <f t="shared" si="2"/>
        <v>#REF!</v>
      </c>
      <c r="X5" s="13" t="str">
        <f t="shared" si="2"/>
        <v>#REF!</v>
      </c>
      <c r="Y5" s="13">
        <f t="shared" si="2"/>
        <v>24782.08047</v>
      </c>
      <c r="Z5" s="13">
        <f t="shared" si="2"/>
        <v>33481.83011</v>
      </c>
      <c r="AA5" s="13">
        <f t="shared" si="2"/>
        <v>20173.08082</v>
      </c>
      <c r="AB5" s="13">
        <f t="shared" si="2"/>
        <v>24745.16087</v>
      </c>
      <c r="AC5" s="13">
        <f t="shared" si="2"/>
        <v>23685.56744</v>
      </c>
      <c r="AD5" s="13">
        <f t="shared" si="2"/>
        <v>23624.52153</v>
      </c>
      <c r="AE5" s="13"/>
      <c r="AF5" s="13">
        <f>AL5*3/2</f>
        <v>1.9965</v>
      </c>
      <c r="AG5" s="13"/>
      <c r="AH5" s="13"/>
      <c r="AI5" s="13"/>
      <c r="AJ5" s="7">
        <v>0.804</v>
      </c>
      <c r="AK5" s="13"/>
      <c r="AL5" s="14">
        <v>1.331</v>
      </c>
      <c r="AM5" s="13"/>
      <c r="AN5" s="13">
        <f>(1.165+ 1.25)/2</f>
        <v>1.2075</v>
      </c>
      <c r="AO5" s="29"/>
      <c r="AP5" s="13">
        <v>1.661</v>
      </c>
      <c r="AQ5" s="13"/>
      <c r="AR5" s="13"/>
      <c r="AS5" s="5">
        <v>0.1664</v>
      </c>
      <c r="AT5" s="13"/>
      <c r="AU5" s="13"/>
      <c r="AV5" s="13"/>
      <c r="AW5" s="13"/>
      <c r="AX5" s="13"/>
      <c r="AY5" s="17"/>
      <c r="AZ5" s="13"/>
      <c r="BA5" s="13">
        <f t="shared" ref="BA5:BM5" si="3">BA6</f>
        <v>25229.78476</v>
      </c>
      <c r="BB5" s="13">
        <f t="shared" si="3"/>
        <v>19050.28125</v>
      </c>
      <c r="BC5" s="13">
        <f t="shared" si="3"/>
        <v>17431.48089</v>
      </c>
      <c r="BD5" s="13">
        <f t="shared" si="3"/>
        <v>15594.54186</v>
      </c>
      <c r="BE5" s="13">
        <f t="shared" si="3"/>
        <v>13918.78356</v>
      </c>
      <c r="BF5" s="13">
        <f t="shared" si="3"/>
        <v>14873.81951</v>
      </c>
      <c r="BG5" s="13">
        <f t="shared" si="3"/>
        <v>16681.36485</v>
      </c>
      <c r="BH5" s="13">
        <f t="shared" si="3"/>
        <v>36273.37341</v>
      </c>
      <c r="BI5" s="13">
        <f t="shared" si="3"/>
        <v>42956.07563</v>
      </c>
      <c r="BJ5" s="13">
        <f t="shared" si="3"/>
        <v>44530.4899</v>
      </c>
      <c r="BK5" s="13">
        <f t="shared" si="3"/>
        <v>44762.51119</v>
      </c>
      <c r="BL5" s="13">
        <f t="shared" si="3"/>
        <v>41511.44969</v>
      </c>
      <c r="BM5" s="13">
        <f t="shared" si="3"/>
        <v>43794.77344</v>
      </c>
      <c r="BN5" s="13"/>
      <c r="BO5" s="13"/>
      <c r="BP5" s="13"/>
      <c r="BQ5" s="13"/>
      <c r="BR5" s="13"/>
    </row>
    <row r="6">
      <c r="A6" s="13" t="s">
        <v>155</v>
      </c>
      <c r="B6" s="13">
        <f>B2/B3^2/4</f>
        <v>0.00006595683788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 t="s">
        <v>156</v>
      </c>
      <c r="O6" s="13"/>
      <c r="P6" s="13"/>
      <c r="Q6" s="13"/>
      <c r="R6" s="13">
        <f>'Výsledky'!AA19</f>
        <v>10258.61267</v>
      </c>
      <c r="S6" s="13" t="str">
        <f>'Výsledky'!O19</f>
        <v>#REF!</v>
      </c>
      <c r="T6" s="13" t="str">
        <f>'Výsledky'!P19</f>
        <v>#REF!</v>
      </c>
      <c r="U6" s="13" t="str">
        <f>'Výsledky'!Q19</f>
        <v>#REF!</v>
      </c>
      <c r="V6" s="13" t="str">
        <f>'Výsledky'!R19</f>
        <v>#REF!</v>
      </c>
      <c r="W6" s="13" t="str">
        <f>'Výsledky'!S19</f>
        <v>#REF!</v>
      </c>
      <c r="X6" s="13" t="str">
        <f>'Výsledky'!T19</f>
        <v>#REF!</v>
      </c>
      <c r="Y6" s="13">
        <f>'Výsledky'!U19</f>
        <v>24782.08047</v>
      </c>
      <c r="Z6" s="13">
        <f>'Výsledky'!V19</f>
        <v>33481.83011</v>
      </c>
      <c r="AA6" s="13">
        <f>'Výsledky'!W19</f>
        <v>20173.08082</v>
      </c>
      <c r="AB6" s="13">
        <f>'Výsledky'!X19</f>
        <v>24745.16087</v>
      </c>
      <c r="AC6" s="13">
        <f>'Výsledky'!Y19</f>
        <v>23685.56744</v>
      </c>
      <c r="AD6" s="13">
        <f>'Výsledky'!Z19</f>
        <v>23624.52153</v>
      </c>
      <c r="AE6" s="14" t="s">
        <v>158</v>
      </c>
      <c r="AF6" s="13">
        <f>AF2/$AO1*1000*1000</f>
        <v>1.386081561</v>
      </c>
      <c r="AG6" s="13"/>
      <c r="AH6" s="13">
        <f>AH2/$AO1</f>
        <v>0</v>
      </c>
      <c r="AI6" s="13"/>
      <c r="AJ6" s="13">
        <f>AJ2/$AO1</f>
        <v>0.003987011467</v>
      </c>
      <c r="AK6" s="13"/>
      <c r="AL6" s="13">
        <f>AL2/$AO1</f>
        <v>0.2006518069</v>
      </c>
      <c r="AM6" s="29">
        <v>4.3783766489937777E-20</v>
      </c>
      <c r="AN6" s="13">
        <f>AN2/$AO1</f>
        <v>0.7904101464</v>
      </c>
      <c r="AO6" s="32">
        <v>3.76416736434303E-20</v>
      </c>
      <c r="AP6" s="13">
        <f>AP2/$AO1</f>
        <v>0</v>
      </c>
      <c r="AQ6" s="32">
        <v>3.89758501028041E-20</v>
      </c>
      <c r="AR6" s="13"/>
      <c r="AS6" s="13">
        <f>AS2/$AO1</f>
        <v>0.004951035135</v>
      </c>
      <c r="AT6" s="13"/>
      <c r="AU6" s="13"/>
      <c r="AV6" s="13"/>
      <c r="AW6" s="13"/>
      <c r="AX6" s="13"/>
      <c r="AY6" s="13"/>
      <c r="AZ6" s="17"/>
      <c r="BA6" s="17">
        <f t="shared" ref="BA6:BM6" si="4">BA8*$O$3</f>
        <v>25229.78476</v>
      </c>
      <c r="BB6" s="17">
        <f t="shared" si="4"/>
        <v>19050.28125</v>
      </c>
      <c r="BC6" s="17">
        <f t="shared" si="4"/>
        <v>17431.48089</v>
      </c>
      <c r="BD6" s="17">
        <f t="shared" si="4"/>
        <v>15594.54186</v>
      </c>
      <c r="BE6" s="17">
        <f t="shared" si="4"/>
        <v>13918.78356</v>
      </c>
      <c r="BF6" s="17">
        <f t="shared" si="4"/>
        <v>14873.81951</v>
      </c>
      <c r="BG6" s="17">
        <f t="shared" si="4"/>
        <v>16681.36485</v>
      </c>
      <c r="BH6" s="17">
        <f t="shared" si="4"/>
        <v>36273.37341</v>
      </c>
      <c r="BI6" s="17">
        <f t="shared" si="4"/>
        <v>42956.07563</v>
      </c>
      <c r="BJ6" s="17">
        <f t="shared" si="4"/>
        <v>44530.4899</v>
      </c>
      <c r="BK6" s="17">
        <f t="shared" si="4"/>
        <v>44762.51119</v>
      </c>
      <c r="BL6" s="17">
        <f t="shared" si="4"/>
        <v>41511.44969</v>
      </c>
      <c r="BM6" s="17">
        <f t="shared" si="4"/>
        <v>43794.77344</v>
      </c>
      <c r="BN6" s="13"/>
      <c r="BO6" s="13"/>
      <c r="BP6" s="13"/>
      <c r="BQ6" s="13"/>
      <c r="BR6" s="13"/>
    </row>
    <row r="7">
      <c r="A7" s="13" t="s">
        <v>162</v>
      </c>
      <c r="B7" s="13">
        <v>5778.0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 t="s">
        <v>164</v>
      </c>
      <c r="O7" s="13"/>
      <c r="P7" s="13"/>
      <c r="Q7" s="13"/>
      <c r="R7" s="13">
        <f t="shared" ref="R7:AD7" si="5">R8*$B$6*$O$3</f>
        <v>42416.48109</v>
      </c>
      <c r="S7" s="13">
        <f t="shared" si="5"/>
        <v>22091.64792</v>
      </c>
      <c r="T7" s="13">
        <f t="shared" si="5"/>
        <v>19109.55554</v>
      </c>
      <c r="U7" s="13">
        <f t="shared" si="5"/>
        <v>19310.6257</v>
      </c>
      <c r="V7" s="13">
        <f t="shared" si="5"/>
        <v>19051.54743</v>
      </c>
      <c r="W7" s="13">
        <f t="shared" si="5"/>
        <v>17206.62206</v>
      </c>
      <c r="X7" s="13">
        <f t="shared" si="5"/>
        <v>17029.83065</v>
      </c>
      <c r="Y7" s="13">
        <f t="shared" si="5"/>
        <v>45211.65344</v>
      </c>
      <c r="Z7" s="13">
        <f t="shared" si="5"/>
        <v>50402.66506</v>
      </c>
      <c r="AA7" s="13">
        <f t="shared" si="5"/>
        <v>51589.01364</v>
      </c>
      <c r="AB7" s="13">
        <f t="shared" si="5"/>
        <v>52125.8573</v>
      </c>
      <c r="AC7" s="13">
        <f t="shared" si="5"/>
        <v>48397.81052</v>
      </c>
      <c r="AD7" s="13">
        <f t="shared" si="5"/>
        <v>48768.75647</v>
      </c>
      <c r="AE7" s="13"/>
      <c r="AF7" s="13">
        <f>AF8*$B$6*$O$3</f>
        <v>0.0000001273363853</v>
      </c>
      <c r="AG7" s="13"/>
      <c r="AH7" s="13"/>
      <c r="AI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7"/>
      <c r="AZ7" s="17"/>
      <c r="BA7" s="17">
        <f t="shared" ref="BA7:BM7" si="6">R7</f>
        <v>42416.48109</v>
      </c>
      <c r="BB7" s="17">
        <f t="shared" si="6"/>
        <v>22091.64792</v>
      </c>
      <c r="BC7" s="17">
        <f t="shared" si="6"/>
        <v>19109.55554</v>
      </c>
      <c r="BD7" s="17">
        <f t="shared" si="6"/>
        <v>19310.6257</v>
      </c>
      <c r="BE7" s="17">
        <f t="shared" si="6"/>
        <v>19051.54743</v>
      </c>
      <c r="BF7" s="17">
        <f t="shared" si="6"/>
        <v>17206.62206</v>
      </c>
      <c r="BG7" s="17">
        <f t="shared" si="6"/>
        <v>17029.83065</v>
      </c>
      <c r="BH7" s="17">
        <f t="shared" si="6"/>
        <v>45211.65344</v>
      </c>
      <c r="BI7" s="17">
        <f t="shared" si="6"/>
        <v>50402.66506</v>
      </c>
      <c r="BJ7" s="17">
        <f t="shared" si="6"/>
        <v>51589.01364</v>
      </c>
      <c r="BK7" s="17">
        <f t="shared" si="6"/>
        <v>52125.8573</v>
      </c>
      <c r="BL7" s="17">
        <f t="shared" si="6"/>
        <v>48397.81052</v>
      </c>
      <c r="BM7" s="17">
        <f t="shared" si="6"/>
        <v>48768.75647</v>
      </c>
      <c r="BN7" s="13"/>
      <c r="BO7" s="13"/>
      <c r="BP7" s="13"/>
      <c r="BQ7" s="13"/>
      <c r="BR7" s="13"/>
    </row>
    <row r="8">
      <c r="A8" s="13">
        <f>10^-9</f>
        <v>0.000000001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>
        <f>SUM(R43:R72)*$B1</f>
        <v>941570.4807</v>
      </c>
      <c r="S8" s="13">
        <f t="shared" ref="S8:AD8" si="7">SUM(S10:S72)*$B1</f>
        <v>490395.3136</v>
      </c>
      <c r="T8" s="13">
        <f t="shared" si="7"/>
        <v>424198.1638</v>
      </c>
      <c r="U8" s="13">
        <f t="shared" si="7"/>
        <v>428661.5639</v>
      </c>
      <c r="V8" s="13">
        <f t="shared" si="7"/>
        <v>422910.4868</v>
      </c>
      <c r="W8" s="13">
        <f t="shared" si="7"/>
        <v>381956.4232</v>
      </c>
      <c r="X8" s="13">
        <f t="shared" si="7"/>
        <v>378031.9682</v>
      </c>
      <c r="Y8" s="13">
        <f t="shared" si="7"/>
        <v>1003618.338</v>
      </c>
      <c r="Z8" s="13">
        <f t="shared" si="7"/>
        <v>1118849.568</v>
      </c>
      <c r="AA8" s="13">
        <f t="shared" si="7"/>
        <v>1145184.398</v>
      </c>
      <c r="AB8" s="13">
        <f t="shared" si="7"/>
        <v>1157101.373</v>
      </c>
      <c r="AC8" s="13">
        <f t="shared" si="7"/>
        <v>1074345.362</v>
      </c>
      <c r="AD8" s="13">
        <f t="shared" si="7"/>
        <v>1082579.702</v>
      </c>
      <c r="AE8" s="13"/>
      <c r="AF8" s="13">
        <f>SUM(AF10:AF72)*$B1</f>
        <v>0.000002826641401</v>
      </c>
      <c r="AG8" s="13"/>
      <c r="AH8" s="13"/>
      <c r="AI8" s="13"/>
      <c r="AJ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>
        <f t="shared" ref="BA8:BM8" si="8">SUM(BA10:BA72)*$B1</f>
        <v>36.93954742</v>
      </c>
      <c r="BB8" s="13">
        <f t="shared" si="8"/>
        <v>27.89198457</v>
      </c>
      <c r="BC8" s="13">
        <f t="shared" si="8"/>
        <v>25.52185921</v>
      </c>
      <c r="BD8" s="13">
        <f t="shared" si="8"/>
        <v>22.83235168</v>
      </c>
      <c r="BE8" s="13">
        <f t="shared" si="8"/>
        <v>20.3788328</v>
      </c>
      <c r="BF8" s="13">
        <f t="shared" si="8"/>
        <v>21.77712439</v>
      </c>
      <c r="BG8" s="13">
        <f t="shared" si="8"/>
        <v>24.42359591</v>
      </c>
      <c r="BH8" s="13">
        <f t="shared" si="8"/>
        <v>53.10873674</v>
      </c>
      <c r="BI8" s="13">
        <f t="shared" si="8"/>
        <v>62.89304516</v>
      </c>
      <c r="BJ8" s="13">
        <f t="shared" si="8"/>
        <v>65.19818375</v>
      </c>
      <c r="BK8" s="13">
        <f t="shared" si="8"/>
        <v>65.53789182</v>
      </c>
      <c r="BL8" s="13">
        <f t="shared" si="8"/>
        <v>60.77793285</v>
      </c>
      <c r="BM8" s="13">
        <f t="shared" si="8"/>
        <v>64.12100322</v>
      </c>
      <c r="BN8" s="13"/>
      <c r="BO8" s="13"/>
      <c r="BP8" s="13"/>
      <c r="BQ8" s="13"/>
      <c r="BR8" s="13"/>
    </row>
    <row r="9">
      <c r="A9" s="13" t="s">
        <v>76</v>
      </c>
      <c r="B9" s="13" t="s">
        <v>26</v>
      </c>
      <c r="C9" s="13" t="s">
        <v>77</v>
      </c>
      <c r="D9" s="13"/>
      <c r="E9" s="13"/>
      <c r="F9" s="13"/>
      <c r="G9" s="13"/>
      <c r="H9" s="13"/>
      <c r="I9" s="13" t="s">
        <v>78</v>
      </c>
      <c r="J9" s="13"/>
      <c r="K9" s="13"/>
      <c r="L9" s="13"/>
      <c r="M9" s="13"/>
      <c r="N9" s="13"/>
      <c r="O9" s="13" t="s">
        <v>170</v>
      </c>
      <c r="P9" s="14" t="s">
        <v>91</v>
      </c>
      <c r="Q9" s="13" t="s">
        <v>136</v>
      </c>
      <c r="R9" s="13" t="s">
        <v>26</v>
      </c>
      <c r="S9" s="13" t="s">
        <v>77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 t="s">
        <v>171</v>
      </c>
      <c r="AF9" s="13"/>
      <c r="AG9" s="14" t="s">
        <v>172</v>
      </c>
      <c r="AH9" s="14"/>
      <c r="AI9" s="14" t="s">
        <v>173</v>
      </c>
      <c r="AJ9" s="14"/>
      <c r="AK9" s="14" t="s">
        <v>174</v>
      </c>
      <c r="AL9" s="14"/>
      <c r="AM9" s="14" t="s">
        <v>83</v>
      </c>
      <c r="AN9" s="14"/>
      <c r="AO9" s="14" t="s">
        <v>84</v>
      </c>
      <c r="AP9" s="14"/>
      <c r="AQ9" s="14" t="s">
        <v>85</v>
      </c>
      <c r="AR9" s="14"/>
      <c r="AS9" s="14"/>
      <c r="AT9" s="14" t="s">
        <v>92</v>
      </c>
      <c r="AU9" s="14"/>
      <c r="AV9" s="14" t="s">
        <v>92</v>
      </c>
      <c r="AW9" s="14" t="s">
        <v>88</v>
      </c>
      <c r="AX9" s="14" t="s">
        <v>175</v>
      </c>
      <c r="AY9" s="14" t="s">
        <v>89</v>
      </c>
      <c r="AZ9" s="14" t="s">
        <v>90</v>
      </c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4" t="s">
        <v>176</v>
      </c>
      <c r="BP9" s="33" t="s">
        <v>177</v>
      </c>
      <c r="BQ9" s="14" t="s">
        <v>178</v>
      </c>
      <c r="BR9" s="13"/>
    </row>
    <row r="10">
      <c r="A10" s="13">
        <v>890.0</v>
      </c>
      <c r="B10" s="13">
        <v>0.0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3">
        <v>0.03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f t="shared" ref="O10:O72" si="11">2*6.62607004*POWER(10,-18)*9/POWER(A10*A$8,5)/(EXP(1.98644568*POWER(10,-2)/A10/A$8/1.38064852/B$7) - 1)</f>
        <v>13860855430393</v>
      </c>
      <c r="P10" s="13">
        <f t="shared" ref="P10:P72" si="12">O10*$B$6</f>
        <v>914218194.5</v>
      </c>
      <c r="Q10" s="13">
        <v>0.2</v>
      </c>
      <c r="R10" s="13">
        <f t="shared" ref="R10:AD10" si="9">B10*$O10*$Q10</f>
        <v>0</v>
      </c>
      <c r="S10" s="13">
        <f t="shared" si="9"/>
        <v>0</v>
      </c>
      <c r="T10" s="13">
        <f t="shared" si="9"/>
        <v>0</v>
      </c>
      <c r="U10" s="13">
        <f t="shared" si="9"/>
        <v>0</v>
      </c>
      <c r="V10" s="13">
        <f t="shared" si="9"/>
        <v>0</v>
      </c>
      <c r="W10" s="13">
        <f t="shared" si="9"/>
        <v>0</v>
      </c>
      <c r="X10" s="13">
        <f t="shared" si="9"/>
        <v>83165132582</v>
      </c>
      <c r="Y10" s="13">
        <f t="shared" si="9"/>
        <v>0</v>
      </c>
      <c r="Z10" s="13">
        <f t="shared" si="9"/>
        <v>0</v>
      </c>
      <c r="AA10" s="13">
        <f t="shared" si="9"/>
        <v>0</v>
      </c>
      <c r="AB10" s="13">
        <f t="shared" si="9"/>
        <v>0</v>
      </c>
      <c r="AC10" s="13">
        <f t="shared" si="9"/>
        <v>0</v>
      </c>
      <c r="AD10" s="13">
        <f t="shared" si="9"/>
        <v>0</v>
      </c>
      <c r="AE10" s="34">
        <v>5.3554967291703265E-27</v>
      </c>
      <c r="AF10" s="13">
        <f t="shared" ref="AF10:AF72" si="14">EXP(-AF$4*$B$4*AE10)</f>
        <v>0.9990776344</v>
      </c>
      <c r="AG10" s="35">
        <f t="shared" ref="AG10:AG56" si="15">AG11/1.195</f>
        <v>0</v>
      </c>
      <c r="AH10" s="13">
        <f t="shared" ref="AH10:AH72" si="16">EXP(-AH$4*$B$4*AG10)</f>
        <v>0.9999992606</v>
      </c>
      <c r="AI10" s="35">
        <v>0.0</v>
      </c>
      <c r="AJ10" s="15">
        <f t="shared" ref="AJ10:AJ72" si="17">EXP(-AJ$4*$B$4*AI10)</f>
        <v>1</v>
      </c>
      <c r="AK10" s="34">
        <v>0.0</v>
      </c>
      <c r="AL10" s="15">
        <f t="shared" ref="AL10:AL72" si="18">EXP(-AL$4*$B$4*AK10)</f>
        <v>1</v>
      </c>
      <c r="AM10" s="36">
        <f t="shared" ref="AM10:AM72" si="19">AM$6/$A10^4</f>
        <v>0</v>
      </c>
      <c r="AN10" s="15">
        <f t="shared" ref="AN10:AN72" si="20">EXP(-AN$4*$B$4*AM10)</f>
        <v>0.9887269038</v>
      </c>
      <c r="AO10" s="36">
        <f t="shared" ref="AO10:AO72" si="21">AO$6/$A10^4</f>
        <v>0</v>
      </c>
      <c r="AP10" s="15">
        <f t="shared" ref="AP10:AP72" si="22">EXP(-AP$4*$B$4*AO10)</f>
        <v>1</v>
      </c>
      <c r="AQ10" s="36">
        <f t="shared" ref="AQ10:AQ72" si="23">AQ$6/$A10^4</f>
        <v>0</v>
      </c>
      <c r="AR10" s="15">
        <f t="shared" ref="AR10:AR72" si="24">EXP(-AR$4*$B$4*AQ10)</f>
        <v>0.9976784383</v>
      </c>
      <c r="AS10" s="36"/>
      <c r="AT10" s="18">
        <f t="shared" ref="AT10:AT72" si="25">AF10*P10*AH10*AJ10*AL10*AN10*AP10*AR10</f>
        <v>900981169</v>
      </c>
      <c r="AU10" s="37">
        <f t="shared" ref="AU10:AU72" si="26">(AF10*AH10*AJ10*AL10*AN10*AP10*AR10)^AU$4</f>
        <v>0.9855209341</v>
      </c>
      <c r="AV10" s="13">
        <f t="shared" ref="AV10:AV72" si="27">AF10*P10*AH10*AJ10*AL10*AN10*AP10*AR10*BO$4^(1/AU$4)
</f>
        <v>630686818.3</v>
      </c>
      <c r="AW10" s="13"/>
      <c r="AX10" s="13"/>
      <c r="AY10" s="17"/>
      <c r="AZ10" s="17"/>
      <c r="BA10" s="17">
        <f t="shared" ref="BA10:BM10" si="10">B10*$AU10*$P10*$Q10</f>
        <v>0</v>
      </c>
      <c r="BB10" s="17">
        <f t="shared" si="10"/>
        <v>0</v>
      </c>
      <c r="BC10" s="17">
        <f t="shared" si="10"/>
        <v>0</v>
      </c>
      <c r="BD10" s="17">
        <f t="shared" si="10"/>
        <v>0</v>
      </c>
      <c r="BE10" s="17">
        <f t="shared" si="10"/>
        <v>0</v>
      </c>
      <c r="BF10" s="17">
        <f t="shared" si="10"/>
        <v>0</v>
      </c>
      <c r="BG10" s="17">
        <f t="shared" si="10"/>
        <v>5405887.014</v>
      </c>
      <c r="BH10" s="17">
        <f t="shared" si="10"/>
        <v>0</v>
      </c>
      <c r="BI10" s="17">
        <f t="shared" si="10"/>
        <v>0</v>
      </c>
      <c r="BJ10" s="17">
        <f t="shared" si="10"/>
        <v>0</v>
      </c>
      <c r="BK10" s="17">
        <f t="shared" si="10"/>
        <v>0</v>
      </c>
      <c r="BL10" s="17">
        <f t="shared" si="10"/>
        <v>0</v>
      </c>
      <c r="BM10" s="17">
        <f t="shared" si="10"/>
        <v>0</v>
      </c>
      <c r="BN10" s="17"/>
      <c r="BO10" s="17"/>
      <c r="BP10" s="17"/>
      <c r="BQ10" s="17" t="str">
        <f>SUM(BP10:BP66)</f>
        <v>#REF!</v>
      </c>
      <c r="BR10" s="17"/>
    </row>
    <row r="11">
      <c r="A11" s="13">
        <v>880.0</v>
      </c>
      <c r="B11" s="13">
        <v>0.0</v>
      </c>
      <c r="C11" s="13">
        <v>0.0</v>
      </c>
      <c r="D11" s="13">
        <v>0.0</v>
      </c>
      <c r="E11" s="13">
        <v>0.0</v>
      </c>
      <c r="F11" s="13">
        <v>0.0</v>
      </c>
      <c r="G11" s="13">
        <v>0.0</v>
      </c>
      <c r="H11" s="13">
        <v>0.2</v>
      </c>
      <c r="I11" s="13">
        <v>0.0</v>
      </c>
      <c r="J11" s="13">
        <v>0.0</v>
      </c>
      <c r="K11" s="13">
        <v>0.0</v>
      </c>
      <c r="L11" s="13">
        <v>0.0</v>
      </c>
      <c r="M11" s="13">
        <v>0.0</v>
      </c>
      <c r="N11" s="13">
        <v>0.0</v>
      </c>
      <c r="O11" s="13">
        <f t="shared" si="11"/>
        <v>14178742992418</v>
      </c>
      <c r="P11" s="13">
        <f t="shared" si="12"/>
        <v>935185052.9</v>
      </c>
      <c r="Q11" s="13">
        <v>0.2</v>
      </c>
      <c r="R11" s="13">
        <f t="shared" ref="R11:AD11" si="13">B11*$O11*$Q11</f>
        <v>0</v>
      </c>
      <c r="S11" s="13">
        <f t="shared" si="13"/>
        <v>0</v>
      </c>
      <c r="T11" s="13">
        <f t="shared" si="13"/>
        <v>0</v>
      </c>
      <c r="U11" s="13">
        <f t="shared" si="13"/>
        <v>0</v>
      </c>
      <c r="V11" s="13">
        <f t="shared" si="13"/>
        <v>0</v>
      </c>
      <c r="W11" s="13">
        <f t="shared" si="13"/>
        <v>0</v>
      </c>
      <c r="X11" s="13">
        <f t="shared" si="13"/>
        <v>567149719697</v>
      </c>
      <c r="Y11" s="13">
        <f t="shared" si="13"/>
        <v>0</v>
      </c>
      <c r="Z11" s="13">
        <f t="shared" si="13"/>
        <v>0</v>
      </c>
      <c r="AA11" s="13">
        <f t="shared" si="13"/>
        <v>0</v>
      </c>
      <c r="AB11" s="13">
        <f t="shared" si="13"/>
        <v>0</v>
      </c>
      <c r="AC11" s="13">
        <f t="shared" si="13"/>
        <v>0</v>
      </c>
      <c r="AD11" s="13">
        <f t="shared" si="13"/>
        <v>0</v>
      </c>
      <c r="AE11" s="34">
        <v>6.2659311731292814E-27</v>
      </c>
      <c r="AF11" s="13">
        <f t="shared" si="14"/>
        <v>0.9989209168</v>
      </c>
      <c r="AG11" s="35">
        <f t="shared" si="15"/>
        <v>0</v>
      </c>
      <c r="AH11" s="13">
        <f t="shared" si="16"/>
        <v>0.9999991165</v>
      </c>
      <c r="AI11" s="35">
        <v>0.0</v>
      </c>
      <c r="AJ11" s="15">
        <f t="shared" si="17"/>
        <v>1</v>
      </c>
      <c r="AK11" s="34">
        <v>0.0</v>
      </c>
      <c r="AL11" s="15">
        <f t="shared" si="18"/>
        <v>1</v>
      </c>
      <c r="AM11" s="36">
        <f t="shared" si="19"/>
        <v>0</v>
      </c>
      <c r="AN11" s="15">
        <f t="shared" si="20"/>
        <v>0.9882087744</v>
      </c>
      <c r="AO11" s="36">
        <f t="shared" si="21"/>
        <v>0</v>
      </c>
      <c r="AP11" s="15">
        <f t="shared" si="22"/>
        <v>1</v>
      </c>
      <c r="AQ11" s="36">
        <f t="shared" si="23"/>
        <v>0</v>
      </c>
      <c r="AR11" s="15">
        <f t="shared" si="24"/>
        <v>0.9975712308</v>
      </c>
      <c r="AS11" s="36"/>
      <c r="AT11" s="18">
        <f t="shared" si="25"/>
        <v>920917873.3</v>
      </c>
      <c r="AU11" s="37">
        <f t="shared" si="26"/>
        <v>0.9847440039</v>
      </c>
      <c r="AV11" s="13">
        <f t="shared" si="27"/>
        <v>644642511.3</v>
      </c>
      <c r="AW11" s="13"/>
      <c r="AX11" s="13"/>
      <c r="AY11" s="17"/>
      <c r="AZ11" s="17"/>
      <c r="BA11" s="17">
        <f t="shared" ref="BA11:BM11" si="28">B11*$AU11*$P11*$Q11</f>
        <v>0</v>
      </c>
      <c r="BB11" s="17">
        <f t="shared" si="28"/>
        <v>0</v>
      </c>
      <c r="BC11" s="17">
        <f t="shared" si="28"/>
        <v>0</v>
      </c>
      <c r="BD11" s="17">
        <f t="shared" si="28"/>
        <v>0</v>
      </c>
      <c r="BE11" s="17">
        <f t="shared" si="28"/>
        <v>0</v>
      </c>
      <c r="BF11" s="17">
        <f t="shared" si="28"/>
        <v>0</v>
      </c>
      <c r="BG11" s="17">
        <f t="shared" si="28"/>
        <v>36836714.93</v>
      </c>
      <c r="BH11" s="17">
        <f t="shared" si="28"/>
        <v>0</v>
      </c>
      <c r="BI11" s="17">
        <f t="shared" si="28"/>
        <v>0</v>
      </c>
      <c r="BJ11" s="17">
        <f t="shared" si="28"/>
        <v>0</v>
      </c>
      <c r="BK11" s="17">
        <f t="shared" si="28"/>
        <v>0</v>
      </c>
      <c r="BL11" s="17">
        <f t="shared" si="28"/>
        <v>0</v>
      </c>
      <c r="BM11" s="17">
        <f t="shared" si="28"/>
        <v>0</v>
      </c>
      <c r="BN11" s="17"/>
      <c r="BO11" s="17"/>
      <c r="BP11" s="17"/>
      <c r="BQ11" s="17"/>
      <c r="BR11" s="17"/>
    </row>
    <row r="12">
      <c r="A12" s="13">
        <v>870.0</v>
      </c>
      <c r="B12" s="13">
        <v>0.0</v>
      </c>
      <c r="C12" s="13">
        <v>0.0</v>
      </c>
      <c r="D12" s="13">
        <v>0.0</v>
      </c>
      <c r="E12" s="13">
        <v>0.0</v>
      </c>
      <c r="F12" s="13">
        <v>0.0</v>
      </c>
      <c r="G12" s="13">
        <v>0.0</v>
      </c>
      <c r="H12" s="13">
        <v>0.6</v>
      </c>
      <c r="I12" s="13">
        <v>0.0</v>
      </c>
      <c r="J12" s="13">
        <v>0.0</v>
      </c>
      <c r="K12" s="13">
        <v>0.0</v>
      </c>
      <c r="L12" s="13">
        <v>0.0</v>
      </c>
      <c r="M12" s="13">
        <v>0.0</v>
      </c>
      <c r="N12" s="13">
        <v>0.0</v>
      </c>
      <c r="O12" s="13">
        <f t="shared" si="11"/>
        <v>14503020364937</v>
      </c>
      <c r="P12" s="13">
        <f t="shared" si="12"/>
        <v>956573363</v>
      </c>
      <c r="Q12" s="13">
        <v>0.2</v>
      </c>
      <c r="R12" s="13">
        <f t="shared" ref="R12:AD12" si="29">B12*$O12*$Q12</f>
        <v>0</v>
      </c>
      <c r="S12" s="13">
        <f t="shared" si="29"/>
        <v>0</v>
      </c>
      <c r="T12" s="13">
        <f t="shared" si="29"/>
        <v>0</v>
      </c>
      <c r="U12" s="13">
        <f t="shared" si="29"/>
        <v>0</v>
      </c>
      <c r="V12" s="13">
        <f t="shared" si="29"/>
        <v>0</v>
      </c>
      <c r="W12" s="13">
        <f t="shared" si="29"/>
        <v>0</v>
      </c>
      <c r="X12" s="13">
        <f t="shared" si="29"/>
        <v>1740362443792</v>
      </c>
      <c r="Y12" s="13">
        <f t="shared" si="29"/>
        <v>0</v>
      </c>
      <c r="Z12" s="13">
        <f t="shared" si="29"/>
        <v>0</v>
      </c>
      <c r="AA12" s="13">
        <f t="shared" si="29"/>
        <v>0</v>
      </c>
      <c r="AB12" s="13">
        <f t="shared" si="29"/>
        <v>0</v>
      </c>
      <c r="AC12" s="13">
        <f t="shared" si="29"/>
        <v>0</v>
      </c>
      <c r="AD12" s="13">
        <f t="shared" si="29"/>
        <v>0</v>
      </c>
      <c r="AE12" s="34">
        <v>7.331139472561257E-27</v>
      </c>
      <c r="AF12" s="13">
        <f t="shared" si="14"/>
        <v>0.9987375885</v>
      </c>
      <c r="AG12" s="35">
        <f t="shared" si="15"/>
        <v>0</v>
      </c>
      <c r="AH12" s="13">
        <f t="shared" si="16"/>
        <v>0.9999989442</v>
      </c>
      <c r="AI12" s="35">
        <v>0.0</v>
      </c>
      <c r="AJ12" s="15">
        <f t="shared" si="17"/>
        <v>1</v>
      </c>
      <c r="AK12" s="34">
        <v>0.0</v>
      </c>
      <c r="AL12" s="15">
        <f t="shared" si="18"/>
        <v>1</v>
      </c>
      <c r="AM12" s="36">
        <f t="shared" si="19"/>
        <v>0</v>
      </c>
      <c r="AN12" s="15">
        <f t="shared" si="20"/>
        <v>0.9876606469</v>
      </c>
      <c r="AO12" s="36">
        <f t="shared" si="21"/>
        <v>0</v>
      </c>
      <c r="AP12" s="15">
        <f t="shared" si="22"/>
        <v>1</v>
      </c>
      <c r="AQ12" s="36">
        <f t="shared" si="23"/>
        <v>0</v>
      </c>
      <c r="AR12" s="15">
        <f t="shared" si="24"/>
        <v>0.9974577677</v>
      </c>
      <c r="AS12" s="36"/>
      <c r="AT12" s="18">
        <f t="shared" si="25"/>
        <v>941177392.1</v>
      </c>
      <c r="AU12" s="37">
        <f t="shared" si="26"/>
        <v>0.9839050809</v>
      </c>
      <c r="AV12" s="13">
        <f t="shared" si="27"/>
        <v>658824174.5</v>
      </c>
      <c r="AW12" s="13"/>
      <c r="AX12" s="13"/>
      <c r="AY12" s="17"/>
      <c r="AZ12" s="17"/>
      <c r="BA12" s="17">
        <f t="shared" ref="BA12:BM12" si="30">B12*$AU12*$P12*$Q12</f>
        <v>0</v>
      </c>
      <c r="BB12" s="17">
        <f t="shared" si="30"/>
        <v>0</v>
      </c>
      <c r="BC12" s="17">
        <f t="shared" si="30"/>
        <v>0</v>
      </c>
      <c r="BD12" s="17">
        <f t="shared" si="30"/>
        <v>0</v>
      </c>
      <c r="BE12" s="17">
        <f t="shared" si="30"/>
        <v>0</v>
      </c>
      <c r="BF12" s="17">
        <f t="shared" si="30"/>
        <v>0</v>
      </c>
      <c r="BG12" s="17">
        <f t="shared" si="30"/>
        <v>112941287.1</v>
      </c>
      <c r="BH12" s="17">
        <f t="shared" si="30"/>
        <v>0</v>
      </c>
      <c r="BI12" s="17">
        <f t="shared" si="30"/>
        <v>0</v>
      </c>
      <c r="BJ12" s="17">
        <f t="shared" si="30"/>
        <v>0</v>
      </c>
      <c r="BK12" s="17">
        <f t="shared" si="30"/>
        <v>0</v>
      </c>
      <c r="BL12" s="17">
        <f t="shared" si="30"/>
        <v>0</v>
      </c>
      <c r="BM12" s="17">
        <f t="shared" si="30"/>
        <v>0</v>
      </c>
      <c r="BN12" s="17"/>
      <c r="BO12" s="17"/>
      <c r="BP12" s="17"/>
      <c r="BQ12" s="17"/>
      <c r="BR12" s="17"/>
    </row>
    <row r="13">
      <c r="A13" s="13">
        <v>860.0</v>
      </c>
      <c r="B13" s="13">
        <v>0.0</v>
      </c>
      <c r="C13" s="13">
        <v>0.0</v>
      </c>
      <c r="D13" s="13">
        <v>0.0</v>
      </c>
      <c r="E13" s="13">
        <v>0.0</v>
      </c>
      <c r="F13" s="13">
        <v>0.0</v>
      </c>
      <c r="G13" s="13">
        <v>0.0</v>
      </c>
      <c r="H13" s="13">
        <v>1.0</v>
      </c>
      <c r="I13" s="13">
        <v>0.0</v>
      </c>
      <c r="J13" s="13">
        <v>0.0</v>
      </c>
      <c r="K13" s="13">
        <v>0.0</v>
      </c>
      <c r="L13" s="13">
        <v>0.0</v>
      </c>
      <c r="M13" s="13">
        <v>0.0</v>
      </c>
      <c r="N13" s="13">
        <v>0.0</v>
      </c>
      <c r="O13" s="13">
        <f t="shared" si="11"/>
        <v>14833645809924</v>
      </c>
      <c r="P13" s="13">
        <f t="shared" si="12"/>
        <v>978380371.8</v>
      </c>
      <c r="Q13" s="13">
        <v>0.2</v>
      </c>
      <c r="R13" s="13">
        <f t="shared" ref="R13:AD13" si="31">B13*$O13*$Q13</f>
        <v>0</v>
      </c>
      <c r="S13" s="13">
        <f t="shared" si="31"/>
        <v>0</v>
      </c>
      <c r="T13" s="13">
        <f t="shared" si="31"/>
        <v>0</v>
      </c>
      <c r="U13" s="13">
        <f t="shared" si="31"/>
        <v>0</v>
      </c>
      <c r="V13" s="13">
        <f t="shared" si="31"/>
        <v>0</v>
      </c>
      <c r="W13" s="13">
        <f t="shared" si="31"/>
        <v>0</v>
      </c>
      <c r="X13" s="13">
        <f t="shared" si="31"/>
        <v>2966729161985</v>
      </c>
      <c r="Y13" s="13">
        <f t="shared" si="31"/>
        <v>0</v>
      </c>
      <c r="Z13" s="13">
        <f t="shared" si="31"/>
        <v>0</v>
      </c>
      <c r="AA13" s="13">
        <f t="shared" si="31"/>
        <v>0</v>
      </c>
      <c r="AB13" s="13">
        <f t="shared" si="31"/>
        <v>0</v>
      </c>
      <c r="AC13" s="13">
        <f t="shared" si="31"/>
        <v>0</v>
      </c>
      <c r="AD13" s="13">
        <f t="shared" si="31"/>
        <v>0</v>
      </c>
      <c r="AE13" s="34">
        <v>8.57743318289667E-27</v>
      </c>
      <c r="AF13" s="13">
        <f t="shared" si="14"/>
        <v>0.9985231371</v>
      </c>
      <c r="AG13" s="35">
        <f t="shared" si="15"/>
        <v>0</v>
      </c>
      <c r="AH13" s="13">
        <f t="shared" si="16"/>
        <v>0.9999987383</v>
      </c>
      <c r="AI13" s="35">
        <v>0.0</v>
      </c>
      <c r="AJ13" s="15">
        <f t="shared" si="17"/>
        <v>1</v>
      </c>
      <c r="AK13" s="34">
        <v>0.0</v>
      </c>
      <c r="AL13" s="15">
        <f t="shared" si="18"/>
        <v>1</v>
      </c>
      <c r="AM13" s="36">
        <f t="shared" si="19"/>
        <v>0</v>
      </c>
      <c r="AN13" s="15">
        <f t="shared" si="20"/>
        <v>0.987080424</v>
      </c>
      <c r="AO13" s="36">
        <f t="shared" si="21"/>
        <v>0</v>
      </c>
      <c r="AP13" s="15">
        <f t="shared" si="22"/>
        <v>1</v>
      </c>
      <c r="AQ13" s="36">
        <f t="shared" si="23"/>
        <v>0</v>
      </c>
      <c r="AR13" s="15">
        <f t="shared" si="24"/>
        <v>0.9973376062</v>
      </c>
      <c r="AS13" s="36"/>
      <c r="AT13" s="18">
        <f t="shared" si="25"/>
        <v>961745249.9</v>
      </c>
      <c r="AU13" s="37">
        <f t="shared" si="26"/>
        <v>0.9829972857</v>
      </c>
      <c r="AV13" s="13">
        <f t="shared" si="27"/>
        <v>673221674.9</v>
      </c>
      <c r="AW13" s="13" t="str">
        <f>X5</f>
        <v>#REF!</v>
      </c>
      <c r="AX13" s="13">
        <f>BG5</f>
        <v>16681.36485</v>
      </c>
      <c r="AY13" s="17">
        <f>AX13*$BO$4</f>
        <v>11676.9554</v>
      </c>
      <c r="AZ13" s="17" t="str">
        <f>X4</f>
        <v>#REF!</v>
      </c>
      <c r="BA13" s="17">
        <f t="shared" ref="BA13:BM13" si="32">B13*$AU13*$P13*$Q13</f>
        <v>0</v>
      </c>
      <c r="BB13" s="17">
        <f t="shared" si="32"/>
        <v>0</v>
      </c>
      <c r="BC13" s="17">
        <f t="shared" si="32"/>
        <v>0</v>
      </c>
      <c r="BD13" s="17">
        <f t="shared" si="32"/>
        <v>0</v>
      </c>
      <c r="BE13" s="17">
        <f t="shared" si="32"/>
        <v>0</v>
      </c>
      <c r="BF13" s="17">
        <f t="shared" si="32"/>
        <v>0</v>
      </c>
      <c r="BG13" s="17">
        <f t="shared" si="32"/>
        <v>192349050</v>
      </c>
      <c r="BH13" s="17">
        <f t="shared" si="32"/>
        <v>0</v>
      </c>
      <c r="BI13" s="17">
        <f t="shared" si="32"/>
        <v>0</v>
      </c>
      <c r="BJ13" s="17">
        <f t="shared" si="32"/>
        <v>0</v>
      </c>
      <c r="BK13" s="17">
        <f t="shared" si="32"/>
        <v>0</v>
      </c>
      <c r="BL13" s="17">
        <f t="shared" si="32"/>
        <v>0</v>
      </c>
      <c r="BM13" s="17">
        <f t="shared" si="32"/>
        <v>0</v>
      </c>
      <c r="BN13" s="17"/>
      <c r="BO13" s="17">
        <f>AX13*$BO$4</f>
        <v>11676.9554</v>
      </c>
      <c r="BP13" s="17" t="str">
        <f>(BO13-AW13)^2</f>
        <v>#REF!</v>
      </c>
      <c r="BQ13" s="17"/>
      <c r="BR13" s="17"/>
    </row>
    <row r="14">
      <c r="A14" s="13">
        <v>850.0</v>
      </c>
      <c r="B14" s="13">
        <v>0.0</v>
      </c>
      <c r="C14" s="13">
        <v>0.0</v>
      </c>
      <c r="D14" s="13">
        <v>0.0</v>
      </c>
      <c r="E14" s="13">
        <v>0.0</v>
      </c>
      <c r="F14" s="13">
        <v>0.0</v>
      </c>
      <c r="G14" s="13">
        <v>0.01</v>
      </c>
      <c r="H14" s="13">
        <v>0.55</v>
      </c>
      <c r="I14" s="13">
        <v>0.0</v>
      </c>
      <c r="J14" s="13">
        <v>0.0</v>
      </c>
      <c r="K14" s="13">
        <v>0.0</v>
      </c>
      <c r="L14" s="13">
        <v>0.0</v>
      </c>
      <c r="M14" s="13">
        <v>0.0</v>
      </c>
      <c r="N14" s="13">
        <v>0.0</v>
      </c>
      <c r="O14" s="13">
        <f t="shared" si="11"/>
        <v>15170555271604</v>
      </c>
      <c r="P14" s="13">
        <f t="shared" si="12"/>
        <v>1000601855</v>
      </c>
      <c r="Q14" s="13">
        <v>0.2</v>
      </c>
      <c r="R14" s="13">
        <f t="shared" ref="R14:AD14" si="33">B14*$O14*$Q14</f>
        <v>0</v>
      </c>
      <c r="S14" s="13">
        <f t="shared" si="33"/>
        <v>0</v>
      </c>
      <c r="T14" s="13">
        <f t="shared" si="33"/>
        <v>0</v>
      </c>
      <c r="U14" s="13">
        <f t="shared" si="33"/>
        <v>0</v>
      </c>
      <c r="V14" s="13">
        <f t="shared" si="33"/>
        <v>0</v>
      </c>
      <c r="W14" s="13">
        <f t="shared" si="33"/>
        <v>30341110543</v>
      </c>
      <c r="X14" s="13">
        <f t="shared" si="33"/>
        <v>1668761079876</v>
      </c>
      <c r="Y14" s="13">
        <f t="shared" si="33"/>
        <v>0</v>
      </c>
      <c r="Z14" s="13">
        <f t="shared" si="33"/>
        <v>0</v>
      </c>
      <c r="AA14" s="13">
        <f t="shared" si="33"/>
        <v>0</v>
      </c>
      <c r="AB14" s="13">
        <f t="shared" si="33"/>
        <v>0</v>
      </c>
      <c r="AC14" s="13">
        <f t="shared" si="33"/>
        <v>0</v>
      </c>
      <c r="AD14" s="13">
        <f t="shared" si="33"/>
        <v>0</v>
      </c>
      <c r="AE14" s="34">
        <v>1.0035596823989104E-26</v>
      </c>
      <c r="AF14" s="13">
        <f t="shared" si="14"/>
        <v>0.9982722874</v>
      </c>
      <c r="AG14" s="35">
        <f t="shared" si="15"/>
        <v>0</v>
      </c>
      <c r="AH14" s="13">
        <f t="shared" si="16"/>
        <v>0.9999984923</v>
      </c>
      <c r="AI14" s="35">
        <v>0.0</v>
      </c>
      <c r="AJ14" s="15">
        <f t="shared" si="17"/>
        <v>1</v>
      </c>
      <c r="AK14" s="34">
        <v>0.0</v>
      </c>
      <c r="AL14" s="15">
        <f t="shared" si="18"/>
        <v>1</v>
      </c>
      <c r="AM14" s="36">
        <f t="shared" si="19"/>
        <v>0</v>
      </c>
      <c r="AN14" s="15">
        <f t="shared" si="20"/>
        <v>0.9864658365</v>
      </c>
      <c r="AO14" s="36">
        <f t="shared" si="21"/>
        <v>0</v>
      </c>
      <c r="AP14" s="15">
        <f t="shared" si="22"/>
        <v>1</v>
      </c>
      <c r="AQ14" s="36">
        <f t="shared" si="23"/>
        <v>0</v>
      </c>
      <c r="AR14" s="15">
        <f t="shared" si="24"/>
        <v>0.9972102668</v>
      </c>
      <c r="AS14" s="36"/>
      <c r="AT14" s="18">
        <f t="shared" si="25"/>
        <v>982603833.5</v>
      </c>
      <c r="AU14" s="37">
        <f t="shared" si="26"/>
        <v>0.9820128046</v>
      </c>
      <c r="AV14" s="13">
        <f t="shared" si="27"/>
        <v>687822683.4</v>
      </c>
      <c r="AW14" s="13"/>
      <c r="AX14" s="13"/>
      <c r="AY14" s="17"/>
      <c r="AZ14" s="17"/>
      <c r="BA14" s="17">
        <f t="shared" ref="BA14:BM14" si="34">B14*$AU14*$P14*$Q14</f>
        <v>0</v>
      </c>
      <c r="BB14" s="17">
        <f t="shared" si="34"/>
        <v>0</v>
      </c>
      <c r="BC14" s="17">
        <f t="shared" si="34"/>
        <v>0</v>
      </c>
      <c r="BD14" s="17">
        <f t="shared" si="34"/>
        <v>0</v>
      </c>
      <c r="BE14" s="17">
        <f t="shared" si="34"/>
        <v>0</v>
      </c>
      <c r="BF14" s="17">
        <f t="shared" si="34"/>
        <v>1965207.667</v>
      </c>
      <c r="BG14" s="17">
        <f t="shared" si="34"/>
        <v>108086421.7</v>
      </c>
      <c r="BH14" s="17">
        <f t="shared" si="34"/>
        <v>0</v>
      </c>
      <c r="BI14" s="17">
        <f t="shared" si="34"/>
        <v>0</v>
      </c>
      <c r="BJ14" s="17">
        <f t="shared" si="34"/>
        <v>0</v>
      </c>
      <c r="BK14" s="17">
        <f t="shared" si="34"/>
        <v>0</v>
      </c>
      <c r="BL14" s="17">
        <f t="shared" si="34"/>
        <v>0</v>
      </c>
      <c r="BM14" s="17">
        <f t="shared" si="34"/>
        <v>0</v>
      </c>
      <c r="BN14" s="17"/>
      <c r="BO14" s="17"/>
      <c r="BP14" s="17"/>
      <c r="BQ14" s="17"/>
      <c r="BR14" s="17"/>
    </row>
    <row r="15">
      <c r="A15" s="13">
        <v>840.0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0.03</v>
      </c>
      <c r="H15" s="13">
        <v>0.09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0.0</v>
      </c>
      <c r="O15" s="13">
        <f t="shared" si="11"/>
        <v>15513659859585</v>
      </c>
      <c r="P15" s="13">
        <f t="shared" si="12"/>
        <v>1023231948</v>
      </c>
      <c r="Q15" s="13">
        <v>0.2</v>
      </c>
      <c r="R15" s="13">
        <f t="shared" ref="R15:AD15" si="35">B15*$O15*$Q15</f>
        <v>0</v>
      </c>
      <c r="S15" s="13">
        <f t="shared" si="35"/>
        <v>0</v>
      </c>
      <c r="T15" s="13">
        <f t="shared" si="35"/>
        <v>0</v>
      </c>
      <c r="U15" s="13">
        <f t="shared" si="35"/>
        <v>0</v>
      </c>
      <c r="V15" s="13">
        <f t="shared" si="35"/>
        <v>0</v>
      </c>
      <c r="W15" s="13">
        <f t="shared" si="35"/>
        <v>93081959158</v>
      </c>
      <c r="X15" s="13">
        <f t="shared" si="35"/>
        <v>279245877473</v>
      </c>
      <c r="Y15" s="13">
        <f t="shared" si="35"/>
        <v>0</v>
      </c>
      <c r="Z15" s="13">
        <f t="shared" si="35"/>
        <v>0</v>
      </c>
      <c r="AA15" s="13">
        <f t="shared" si="35"/>
        <v>0</v>
      </c>
      <c r="AB15" s="13">
        <f t="shared" si="35"/>
        <v>0</v>
      </c>
      <c r="AC15" s="13">
        <f t="shared" si="35"/>
        <v>0</v>
      </c>
      <c r="AD15" s="13">
        <f t="shared" si="35"/>
        <v>0</v>
      </c>
      <c r="AE15" s="34">
        <v>1.1741648284067252E-26</v>
      </c>
      <c r="AF15" s="13">
        <f t="shared" si="14"/>
        <v>0.9979788733</v>
      </c>
      <c r="AG15" s="35">
        <f t="shared" si="15"/>
        <v>0</v>
      </c>
      <c r="AH15" s="13">
        <f t="shared" si="16"/>
        <v>0.9999981982</v>
      </c>
      <c r="AI15" s="35">
        <f>2E-26/2000</f>
        <v>0</v>
      </c>
      <c r="AJ15" s="15">
        <f t="shared" si="17"/>
        <v>0.987767764</v>
      </c>
      <c r="AK15" s="34">
        <v>0.0</v>
      </c>
      <c r="AL15" s="15">
        <f t="shared" si="18"/>
        <v>1</v>
      </c>
      <c r="AM15" s="36">
        <f t="shared" si="19"/>
        <v>0</v>
      </c>
      <c r="AN15" s="15">
        <f t="shared" si="20"/>
        <v>0.9858144274</v>
      </c>
      <c r="AO15" s="36">
        <f t="shared" si="21"/>
        <v>0</v>
      </c>
      <c r="AP15" s="15">
        <f t="shared" si="22"/>
        <v>1</v>
      </c>
      <c r="AQ15" s="36">
        <f t="shared" si="23"/>
        <v>0</v>
      </c>
      <c r="AR15" s="15">
        <f t="shared" si="24"/>
        <v>0.9970752292</v>
      </c>
      <c r="AS15" s="36"/>
      <c r="AT15" s="18">
        <f t="shared" si="25"/>
        <v>991454075.3</v>
      </c>
      <c r="AU15" s="37">
        <f t="shared" si="26"/>
        <v>0.9689436271</v>
      </c>
      <c r="AV15" s="13">
        <f t="shared" si="27"/>
        <v>694017852.7</v>
      </c>
      <c r="AW15" s="13"/>
      <c r="AX15" s="13"/>
      <c r="AY15" s="17"/>
      <c r="AZ15" s="17"/>
      <c r="BA15" s="17">
        <f t="shared" ref="BA15:BM15" si="36">B15*$AU15*$P15*$Q15</f>
        <v>0</v>
      </c>
      <c r="BB15" s="17">
        <f t="shared" si="36"/>
        <v>0</v>
      </c>
      <c r="BC15" s="17">
        <f t="shared" si="36"/>
        <v>0</v>
      </c>
      <c r="BD15" s="17">
        <f t="shared" si="36"/>
        <v>0</v>
      </c>
      <c r="BE15" s="17">
        <f t="shared" si="36"/>
        <v>0</v>
      </c>
      <c r="BF15" s="17">
        <f t="shared" si="36"/>
        <v>5948724.452</v>
      </c>
      <c r="BG15" s="17">
        <f t="shared" si="36"/>
        <v>17846173.36</v>
      </c>
      <c r="BH15" s="17">
        <f t="shared" si="36"/>
        <v>0</v>
      </c>
      <c r="BI15" s="17">
        <f t="shared" si="36"/>
        <v>0</v>
      </c>
      <c r="BJ15" s="17">
        <f t="shared" si="36"/>
        <v>0</v>
      </c>
      <c r="BK15" s="17">
        <f t="shared" si="36"/>
        <v>0</v>
      </c>
      <c r="BL15" s="17">
        <f t="shared" si="36"/>
        <v>0</v>
      </c>
      <c r="BM15" s="17">
        <f t="shared" si="36"/>
        <v>0</v>
      </c>
      <c r="BN15" s="17"/>
      <c r="BO15" s="17"/>
      <c r="BP15" s="17"/>
      <c r="BQ15" s="17"/>
      <c r="BR15" s="17"/>
    </row>
    <row r="16">
      <c r="A16" s="13">
        <v>830.0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0.18</v>
      </c>
      <c r="H16" s="13">
        <v>0.06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3">
        <f t="shared" si="11"/>
        <v>15862843109549</v>
      </c>
      <c r="P16" s="13">
        <f t="shared" si="12"/>
        <v>1046262971</v>
      </c>
      <c r="Q16" s="13">
        <v>0.2</v>
      </c>
      <c r="R16" s="13">
        <f t="shared" ref="R16:AD16" si="37">B16*$O16*$Q16</f>
        <v>0</v>
      </c>
      <c r="S16" s="13">
        <f t="shared" si="37"/>
        <v>0</v>
      </c>
      <c r="T16" s="13">
        <f t="shared" si="37"/>
        <v>0</v>
      </c>
      <c r="U16" s="13">
        <f t="shared" si="37"/>
        <v>0</v>
      </c>
      <c r="V16" s="13">
        <f t="shared" si="37"/>
        <v>0</v>
      </c>
      <c r="W16" s="13">
        <f t="shared" si="37"/>
        <v>571062351944</v>
      </c>
      <c r="X16" s="13">
        <f t="shared" si="37"/>
        <v>190354117315</v>
      </c>
      <c r="Y16" s="13">
        <f t="shared" si="37"/>
        <v>0</v>
      </c>
      <c r="Z16" s="13">
        <f t="shared" si="37"/>
        <v>0</v>
      </c>
      <c r="AA16" s="13">
        <f t="shared" si="37"/>
        <v>0</v>
      </c>
      <c r="AB16" s="13">
        <f t="shared" si="37"/>
        <v>0</v>
      </c>
      <c r="AC16" s="13">
        <f t="shared" si="37"/>
        <v>0</v>
      </c>
      <c r="AD16" s="13">
        <f t="shared" si="37"/>
        <v>0</v>
      </c>
      <c r="AE16" s="34">
        <v>1.3737728492358684E-26</v>
      </c>
      <c r="AF16" s="13">
        <f t="shared" si="14"/>
        <v>0.9976356882</v>
      </c>
      <c r="AG16" s="35">
        <f t="shared" si="15"/>
        <v>0</v>
      </c>
      <c r="AH16" s="13">
        <f t="shared" si="16"/>
        <v>0.9999978469</v>
      </c>
      <c r="AI16" s="35">
        <f>5E-26/2000</f>
        <v>0</v>
      </c>
      <c r="AJ16" s="15">
        <f t="shared" si="17"/>
        <v>0.9696993889</v>
      </c>
      <c r="AK16" s="34">
        <v>0.0</v>
      </c>
      <c r="AL16" s="15">
        <f t="shared" si="18"/>
        <v>1</v>
      </c>
      <c r="AM16" s="36">
        <f t="shared" si="19"/>
        <v>0</v>
      </c>
      <c r="AN16" s="15">
        <f t="shared" si="20"/>
        <v>0.9851235338</v>
      </c>
      <c r="AO16" s="36">
        <f t="shared" si="21"/>
        <v>0</v>
      </c>
      <c r="AP16" s="15">
        <f t="shared" si="22"/>
        <v>1</v>
      </c>
      <c r="AQ16" s="36">
        <f t="shared" si="23"/>
        <v>0</v>
      </c>
      <c r="AR16" s="15">
        <f t="shared" si="24"/>
        <v>0.9969319289</v>
      </c>
      <c r="AS16" s="36"/>
      <c r="AT16" s="18">
        <f t="shared" si="25"/>
        <v>994043107.6</v>
      </c>
      <c r="AU16" s="37">
        <f t="shared" si="26"/>
        <v>0.9500891601</v>
      </c>
      <c r="AV16" s="13">
        <f t="shared" si="27"/>
        <v>695830175.3</v>
      </c>
      <c r="AW16" s="13"/>
      <c r="AX16" s="13"/>
      <c r="AY16" s="17"/>
      <c r="AZ16" s="17"/>
      <c r="BA16" s="17">
        <f t="shared" ref="BA16:BM16" si="38">B16*$AU16*$P16*$Q16</f>
        <v>0</v>
      </c>
      <c r="BB16" s="17">
        <f t="shared" si="38"/>
        <v>0</v>
      </c>
      <c r="BC16" s="17">
        <f t="shared" si="38"/>
        <v>0</v>
      </c>
      <c r="BD16" s="17">
        <f t="shared" si="38"/>
        <v>0</v>
      </c>
      <c r="BE16" s="17">
        <f t="shared" si="38"/>
        <v>0</v>
      </c>
      <c r="BF16" s="17">
        <f t="shared" si="38"/>
        <v>35785551.87</v>
      </c>
      <c r="BG16" s="17">
        <f t="shared" si="38"/>
        <v>11928517.29</v>
      </c>
      <c r="BH16" s="17">
        <f t="shared" si="38"/>
        <v>0</v>
      </c>
      <c r="BI16" s="17">
        <f t="shared" si="38"/>
        <v>0</v>
      </c>
      <c r="BJ16" s="17">
        <f t="shared" si="38"/>
        <v>0</v>
      </c>
      <c r="BK16" s="17">
        <f t="shared" si="38"/>
        <v>0</v>
      </c>
      <c r="BL16" s="17">
        <f t="shared" si="38"/>
        <v>0</v>
      </c>
      <c r="BM16" s="17">
        <f t="shared" si="38"/>
        <v>0</v>
      </c>
      <c r="BN16" s="17"/>
      <c r="BO16" s="17"/>
      <c r="BP16" s="17"/>
      <c r="BQ16" s="17"/>
      <c r="BR16" s="17"/>
    </row>
    <row r="17">
      <c r="A17" s="13">
        <v>820.0</v>
      </c>
      <c r="B17" s="13">
        <v>0.0</v>
      </c>
      <c r="C17" s="13">
        <v>0.0</v>
      </c>
      <c r="D17" s="13">
        <v>0.0</v>
      </c>
      <c r="E17" s="13">
        <v>0.0</v>
      </c>
      <c r="F17" s="13">
        <v>0.0</v>
      </c>
      <c r="G17" s="13">
        <v>0.4</v>
      </c>
      <c r="H17" s="13">
        <v>0.02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3">
        <v>0.0</v>
      </c>
      <c r="O17" s="13">
        <f t="shared" si="11"/>
        <v>16217958005833</v>
      </c>
      <c r="P17" s="13">
        <f t="shared" si="12"/>
        <v>1069685227</v>
      </c>
      <c r="Q17" s="13">
        <v>0.2</v>
      </c>
      <c r="R17" s="13">
        <f t="shared" ref="R17:AD17" si="39">B17*$O17*$Q17</f>
        <v>0</v>
      </c>
      <c r="S17" s="13">
        <f t="shared" si="39"/>
        <v>0</v>
      </c>
      <c r="T17" s="13">
        <f t="shared" si="39"/>
        <v>0</v>
      </c>
      <c r="U17" s="13">
        <f t="shared" si="39"/>
        <v>0</v>
      </c>
      <c r="V17" s="13">
        <f t="shared" si="39"/>
        <v>0</v>
      </c>
      <c r="W17" s="13">
        <f t="shared" si="39"/>
        <v>1297436640467</v>
      </c>
      <c r="X17" s="13">
        <f t="shared" si="39"/>
        <v>64871832023</v>
      </c>
      <c r="Y17" s="13">
        <f t="shared" si="39"/>
        <v>0</v>
      </c>
      <c r="Z17" s="13">
        <f t="shared" si="39"/>
        <v>0</v>
      </c>
      <c r="AA17" s="13">
        <f t="shared" si="39"/>
        <v>0</v>
      </c>
      <c r="AB17" s="13">
        <f t="shared" si="39"/>
        <v>0</v>
      </c>
      <c r="AC17" s="13">
        <f t="shared" si="39"/>
        <v>0</v>
      </c>
      <c r="AD17" s="13">
        <f t="shared" si="39"/>
        <v>0</v>
      </c>
      <c r="AE17" s="34">
        <v>1.6073142336059658E-26</v>
      </c>
      <c r="AF17" s="13">
        <f t="shared" si="14"/>
        <v>0.9972343115</v>
      </c>
      <c r="AG17" s="35">
        <f t="shared" si="15"/>
        <v>0</v>
      </c>
      <c r="AH17" s="13">
        <f t="shared" si="16"/>
        <v>0.999997427</v>
      </c>
      <c r="AI17" s="35">
        <f>5E-25/2000</f>
        <v>0</v>
      </c>
      <c r="AJ17" s="15">
        <f t="shared" si="17"/>
        <v>0.7351419721</v>
      </c>
      <c r="AK17" s="34">
        <v>0.0</v>
      </c>
      <c r="AL17" s="15">
        <f t="shared" si="18"/>
        <v>1</v>
      </c>
      <c r="AM17" s="36">
        <f t="shared" si="19"/>
        <v>0</v>
      </c>
      <c r="AN17" s="15">
        <f t="shared" si="20"/>
        <v>0.9843902675</v>
      </c>
      <c r="AO17" s="36">
        <f t="shared" si="21"/>
        <v>0</v>
      </c>
      <c r="AP17" s="15">
        <f t="shared" si="22"/>
        <v>1</v>
      </c>
      <c r="AQ17" s="36">
        <f t="shared" si="23"/>
        <v>0</v>
      </c>
      <c r="AR17" s="15">
        <f t="shared" si="24"/>
        <v>0.9967797525</v>
      </c>
      <c r="AS17" s="36"/>
      <c r="AT17" s="18">
        <f t="shared" si="25"/>
        <v>769466702.5</v>
      </c>
      <c r="AU17" s="37">
        <f t="shared" si="26"/>
        <v>0.7193393749</v>
      </c>
      <c r="AV17" s="13">
        <f t="shared" si="27"/>
        <v>538626691.7</v>
      </c>
      <c r="AW17" s="13"/>
      <c r="AX17" s="13"/>
      <c r="AY17" s="17"/>
      <c r="AZ17" s="17"/>
      <c r="BA17" s="17">
        <f t="shared" ref="BA17:BM17" si="40">B17*$AU17*$P17*$Q17</f>
        <v>0</v>
      </c>
      <c r="BB17" s="17">
        <f t="shared" si="40"/>
        <v>0</v>
      </c>
      <c r="BC17" s="17">
        <f t="shared" si="40"/>
        <v>0</v>
      </c>
      <c r="BD17" s="17">
        <f t="shared" si="40"/>
        <v>0</v>
      </c>
      <c r="BE17" s="17">
        <f t="shared" si="40"/>
        <v>0</v>
      </c>
      <c r="BF17" s="17">
        <f t="shared" si="40"/>
        <v>61557336.2</v>
      </c>
      <c r="BG17" s="17">
        <f t="shared" si="40"/>
        <v>3077866.81</v>
      </c>
      <c r="BH17" s="17">
        <f t="shared" si="40"/>
        <v>0</v>
      </c>
      <c r="BI17" s="17">
        <f t="shared" si="40"/>
        <v>0</v>
      </c>
      <c r="BJ17" s="17">
        <f t="shared" si="40"/>
        <v>0</v>
      </c>
      <c r="BK17" s="17">
        <f t="shared" si="40"/>
        <v>0</v>
      </c>
      <c r="BL17" s="17">
        <f t="shared" si="40"/>
        <v>0</v>
      </c>
      <c r="BM17" s="17">
        <f t="shared" si="40"/>
        <v>0</v>
      </c>
      <c r="BN17" s="17"/>
      <c r="BO17" s="17"/>
      <c r="BP17" s="17"/>
      <c r="BQ17" s="17"/>
      <c r="BR17" s="17"/>
    </row>
    <row r="18">
      <c r="A18" s="13">
        <v>810.0</v>
      </c>
      <c r="B18" s="13">
        <v>0.0</v>
      </c>
      <c r="C18" s="13">
        <v>0.0</v>
      </c>
      <c r="D18" s="13">
        <v>0.0</v>
      </c>
      <c r="E18" s="13">
        <v>0.0</v>
      </c>
      <c r="F18" s="13">
        <v>0.0</v>
      </c>
      <c r="G18" s="13">
        <v>0.95</v>
      </c>
      <c r="H18" s="13">
        <v>0.0</v>
      </c>
      <c r="I18" s="13">
        <v>0.0</v>
      </c>
      <c r="J18" s="13">
        <v>0.0</v>
      </c>
      <c r="K18" s="13">
        <v>0.0</v>
      </c>
      <c r="L18" s="13">
        <v>0.0</v>
      </c>
      <c r="M18" s="13">
        <v>0.0</v>
      </c>
      <c r="N18" s="13">
        <v>0.0</v>
      </c>
      <c r="O18" s="13">
        <f t="shared" si="11"/>
        <v>16578823749795</v>
      </c>
      <c r="P18" s="13">
        <f t="shared" si="12"/>
        <v>1093486790</v>
      </c>
      <c r="Q18" s="13">
        <v>0.2</v>
      </c>
      <c r="R18" s="13">
        <f t="shared" ref="R18:AD18" si="41">B18*$O18*$Q18</f>
        <v>0</v>
      </c>
      <c r="S18" s="13">
        <f t="shared" si="41"/>
        <v>0</v>
      </c>
      <c r="T18" s="13">
        <f t="shared" si="41"/>
        <v>0</v>
      </c>
      <c r="U18" s="13">
        <f t="shared" si="41"/>
        <v>0</v>
      </c>
      <c r="V18" s="13">
        <f t="shared" si="41"/>
        <v>0</v>
      </c>
      <c r="W18" s="13">
        <f t="shared" si="41"/>
        <v>3149976512461</v>
      </c>
      <c r="X18" s="13">
        <f t="shared" si="41"/>
        <v>0</v>
      </c>
      <c r="Y18" s="13">
        <f t="shared" si="41"/>
        <v>0</v>
      </c>
      <c r="Z18" s="13">
        <f t="shared" si="41"/>
        <v>0</v>
      </c>
      <c r="AA18" s="13">
        <f t="shared" si="41"/>
        <v>0</v>
      </c>
      <c r="AB18" s="13">
        <f t="shared" si="41"/>
        <v>0</v>
      </c>
      <c r="AC18" s="13">
        <f t="shared" si="41"/>
        <v>0</v>
      </c>
      <c r="AD18" s="13">
        <f t="shared" si="41"/>
        <v>0</v>
      </c>
      <c r="AE18" s="34">
        <v>1.8805576533189798E-26</v>
      </c>
      <c r="AF18" s="13">
        <f t="shared" si="14"/>
        <v>0.9967649058</v>
      </c>
      <c r="AG18" s="35">
        <f t="shared" si="15"/>
        <v>0</v>
      </c>
      <c r="AH18" s="13">
        <f t="shared" si="16"/>
        <v>0.9999969253</v>
      </c>
      <c r="AI18" s="35">
        <f>2E-25/2000</f>
        <v>0</v>
      </c>
      <c r="AJ18" s="15">
        <f t="shared" si="17"/>
        <v>0.8841958814</v>
      </c>
      <c r="AK18" s="34">
        <v>0.0</v>
      </c>
      <c r="AL18" s="15">
        <f t="shared" si="18"/>
        <v>1</v>
      </c>
      <c r="AM18" s="36">
        <f t="shared" si="19"/>
        <v>0</v>
      </c>
      <c r="AN18" s="15">
        <f t="shared" si="20"/>
        <v>0.9836114927</v>
      </c>
      <c r="AO18" s="36">
        <f t="shared" si="21"/>
        <v>0</v>
      </c>
      <c r="AP18" s="15">
        <f t="shared" si="22"/>
        <v>1</v>
      </c>
      <c r="AQ18" s="36">
        <f t="shared" si="23"/>
        <v>0</v>
      </c>
      <c r="AR18" s="15">
        <f t="shared" si="24"/>
        <v>0.996618033</v>
      </c>
      <c r="AS18" s="36"/>
      <c r="AT18" s="18">
        <f t="shared" si="25"/>
        <v>944725782.2</v>
      </c>
      <c r="AU18" s="37">
        <f t="shared" si="26"/>
        <v>0.8639571969</v>
      </c>
      <c r="AV18" s="13">
        <f t="shared" si="27"/>
        <v>661308047.6</v>
      </c>
      <c r="AW18" s="13" t="str">
        <f>W5</f>
        <v>#REF!</v>
      </c>
      <c r="AX18" s="13">
        <f>BF5</f>
        <v>14873.81951</v>
      </c>
      <c r="AY18" s="17">
        <f>AX18*$BO$4</f>
        <v>10411.67366</v>
      </c>
      <c r="AZ18" s="17" t="str">
        <f>W4</f>
        <v>#REF!</v>
      </c>
      <c r="BA18" s="17">
        <f t="shared" ref="BA18:BM18" si="42">B18*$AU18*$P18*$Q18</f>
        <v>0</v>
      </c>
      <c r="BB18" s="17">
        <f t="shared" si="42"/>
        <v>0</v>
      </c>
      <c r="BC18" s="17">
        <f t="shared" si="42"/>
        <v>0</v>
      </c>
      <c r="BD18" s="17">
        <f t="shared" si="42"/>
        <v>0</v>
      </c>
      <c r="BE18" s="17">
        <f t="shared" si="42"/>
        <v>0</v>
      </c>
      <c r="BF18" s="17">
        <f t="shared" si="42"/>
        <v>179497898.6</v>
      </c>
      <c r="BG18" s="17">
        <f t="shared" si="42"/>
        <v>0</v>
      </c>
      <c r="BH18" s="17">
        <f t="shared" si="42"/>
        <v>0</v>
      </c>
      <c r="BI18" s="17">
        <f t="shared" si="42"/>
        <v>0</v>
      </c>
      <c r="BJ18" s="17">
        <f t="shared" si="42"/>
        <v>0</v>
      </c>
      <c r="BK18" s="17">
        <f t="shared" si="42"/>
        <v>0</v>
      </c>
      <c r="BL18" s="17">
        <f t="shared" si="42"/>
        <v>0</v>
      </c>
      <c r="BM18" s="17">
        <f t="shared" si="42"/>
        <v>0</v>
      </c>
      <c r="BN18" s="17"/>
      <c r="BO18" s="17">
        <f>AX18*$BO$4</f>
        <v>10411.67366</v>
      </c>
      <c r="BP18" s="17" t="str">
        <f>(BO18-AW18)^2</f>
        <v>#REF!</v>
      </c>
      <c r="BQ18" s="17"/>
      <c r="BR18" s="17"/>
    </row>
    <row r="19">
      <c r="A19" s="13">
        <v>800.0</v>
      </c>
      <c r="B19" s="13">
        <v>0.0</v>
      </c>
      <c r="C19" s="13">
        <v>0.0</v>
      </c>
      <c r="D19" s="13">
        <v>0.0</v>
      </c>
      <c r="E19" s="13">
        <v>0.0</v>
      </c>
      <c r="F19" s="13">
        <v>0.0</v>
      </c>
      <c r="G19" s="13">
        <v>0.55</v>
      </c>
      <c r="H19" s="13">
        <v>0.0</v>
      </c>
      <c r="I19" s="13">
        <v>0.0</v>
      </c>
      <c r="J19" s="13">
        <v>0.0</v>
      </c>
      <c r="K19" s="13">
        <v>0.0</v>
      </c>
      <c r="L19" s="13">
        <v>0.0</v>
      </c>
      <c r="M19" s="13">
        <v>0.0</v>
      </c>
      <c r="N19" s="13">
        <v>0.0</v>
      </c>
      <c r="O19" s="13">
        <f t="shared" si="11"/>
        <v>16945222257544</v>
      </c>
      <c r="P19" s="13">
        <f t="shared" si="12"/>
        <v>1117653277</v>
      </c>
      <c r="Q19" s="13">
        <v>0.2</v>
      </c>
      <c r="R19" s="13">
        <f t="shared" ref="R19:AD19" si="43">B19*$O19*$Q19</f>
        <v>0</v>
      </c>
      <c r="S19" s="13">
        <f t="shared" si="43"/>
        <v>0</v>
      </c>
      <c r="T19" s="13">
        <f t="shared" si="43"/>
        <v>0</v>
      </c>
      <c r="U19" s="13">
        <f t="shared" si="43"/>
        <v>0</v>
      </c>
      <c r="V19" s="13">
        <f t="shared" si="43"/>
        <v>0</v>
      </c>
      <c r="W19" s="13">
        <f t="shared" si="43"/>
        <v>1863974448330</v>
      </c>
      <c r="X19" s="13">
        <f t="shared" si="43"/>
        <v>0</v>
      </c>
      <c r="Y19" s="13">
        <f t="shared" si="43"/>
        <v>0</v>
      </c>
      <c r="Z19" s="13">
        <f t="shared" si="43"/>
        <v>0</v>
      </c>
      <c r="AA19" s="13">
        <f t="shared" si="43"/>
        <v>0</v>
      </c>
      <c r="AB19" s="13">
        <f t="shared" si="43"/>
        <v>0</v>
      </c>
      <c r="AC19" s="13">
        <f t="shared" si="43"/>
        <v>0</v>
      </c>
      <c r="AD19" s="13">
        <f t="shared" si="43"/>
        <v>0</v>
      </c>
      <c r="AE19" s="34">
        <v>2.2002524543832062E-26</v>
      </c>
      <c r="AF19" s="13">
        <f t="shared" si="14"/>
        <v>0.9962159815</v>
      </c>
      <c r="AG19" s="35">
        <f t="shared" si="15"/>
        <v>0</v>
      </c>
      <c r="AH19" s="13">
        <f t="shared" si="16"/>
        <v>0.9999963258</v>
      </c>
      <c r="AI19" s="35">
        <f>1E-25/2000</f>
        <v>0</v>
      </c>
      <c r="AJ19" s="15">
        <f t="shared" si="17"/>
        <v>0.9403169048</v>
      </c>
      <c r="AK19" s="34">
        <v>0.0</v>
      </c>
      <c r="AL19" s="15">
        <f t="shared" si="18"/>
        <v>1</v>
      </c>
      <c r="AM19" s="36">
        <f t="shared" si="19"/>
        <v>0</v>
      </c>
      <c r="AN19" s="15">
        <f t="shared" si="20"/>
        <v>0.9827838023</v>
      </c>
      <c r="AO19" s="36">
        <f t="shared" si="21"/>
        <v>0</v>
      </c>
      <c r="AP19" s="15">
        <f t="shared" si="22"/>
        <v>1</v>
      </c>
      <c r="AQ19" s="36">
        <f t="shared" si="23"/>
        <v>0</v>
      </c>
      <c r="AR19" s="15">
        <f t="shared" si="24"/>
        <v>0.996446044</v>
      </c>
      <c r="AS19" s="36"/>
      <c r="AT19" s="18">
        <f t="shared" si="25"/>
        <v>1025285997</v>
      </c>
      <c r="AU19" s="37">
        <f t="shared" si="26"/>
        <v>0.917356051</v>
      </c>
      <c r="AV19" s="13">
        <f t="shared" si="27"/>
        <v>717700197.8</v>
      </c>
      <c r="AW19" s="13"/>
      <c r="AX19" s="13"/>
      <c r="AY19" s="17"/>
      <c r="AZ19" s="17"/>
      <c r="BA19" s="17">
        <f t="shared" ref="BA19:BM19" si="44">B19*$AU19*$P19*$Q19</f>
        <v>0</v>
      </c>
      <c r="BB19" s="17">
        <f t="shared" si="44"/>
        <v>0</v>
      </c>
      <c r="BC19" s="17">
        <f t="shared" si="44"/>
        <v>0</v>
      </c>
      <c r="BD19" s="17">
        <f t="shared" si="44"/>
        <v>0</v>
      </c>
      <c r="BE19" s="17">
        <f t="shared" si="44"/>
        <v>0</v>
      </c>
      <c r="BF19" s="17">
        <f t="shared" si="44"/>
        <v>112781459.7</v>
      </c>
      <c r="BG19" s="17">
        <f t="shared" si="44"/>
        <v>0</v>
      </c>
      <c r="BH19" s="17">
        <f t="shared" si="44"/>
        <v>0</v>
      </c>
      <c r="BI19" s="17">
        <f t="shared" si="44"/>
        <v>0</v>
      </c>
      <c r="BJ19" s="17">
        <f t="shared" si="44"/>
        <v>0</v>
      </c>
      <c r="BK19" s="17">
        <f t="shared" si="44"/>
        <v>0</v>
      </c>
      <c r="BL19" s="17">
        <f t="shared" si="44"/>
        <v>0</v>
      </c>
      <c r="BM19" s="17">
        <f t="shared" si="44"/>
        <v>0</v>
      </c>
      <c r="BN19" s="17"/>
      <c r="BO19" s="17"/>
      <c r="BP19" s="17"/>
      <c r="BQ19" s="17"/>
      <c r="BR19" s="17"/>
    </row>
    <row r="20">
      <c r="A20" s="13">
        <v>790.0</v>
      </c>
      <c r="B20" s="13">
        <v>0.0</v>
      </c>
      <c r="C20" s="13">
        <v>0.0</v>
      </c>
      <c r="D20" s="13">
        <v>0.0</v>
      </c>
      <c r="E20" s="13">
        <v>0.0</v>
      </c>
      <c r="F20" s="13">
        <v>0.03</v>
      </c>
      <c r="G20" s="13">
        <v>0.1</v>
      </c>
      <c r="H20" s="13">
        <v>0.0</v>
      </c>
      <c r="I20" s="13">
        <v>0.0</v>
      </c>
      <c r="J20" s="13">
        <v>0.0</v>
      </c>
      <c r="K20" s="13">
        <v>0.0</v>
      </c>
      <c r="L20" s="13">
        <v>0.0</v>
      </c>
      <c r="M20" s="13">
        <v>0.0</v>
      </c>
      <c r="N20" s="13">
        <v>0.0</v>
      </c>
      <c r="O20" s="13">
        <f t="shared" si="11"/>
        <v>17316894370429</v>
      </c>
      <c r="P20" s="13">
        <f t="shared" si="12"/>
        <v>1142167595</v>
      </c>
      <c r="Q20" s="13">
        <v>0.2</v>
      </c>
      <c r="R20" s="13">
        <f t="shared" ref="R20:AD20" si="45">B20*$O20*$Q20</f>
        <v>0</v>
      </c>
      <c r="S20" s="13">
        <f t="shared" si="45"/>
        <v>0</v>
      </c>
      <c r="T20" s="13">
        <f t="shared" si="45"/>
        <v>0</v>
      </c>
      <c r="U20" s="13">
        <f t="shared" si="45"/>
        <v>0</v>
      </c>
      <c r="V20" s="13">
        <f t="shared" si="45"/>
        <v>103901366223</v>
      </c>
      <c r="W20" s="13">
        <f t="shared" si="45"/>
        <v>346337887409</v>
      </c>
      <c r="X20" s="13">
        <f t="shared" si="45"/>
        <v>0</v>
      </c>
      <c r="Y20" s="13">
        <f t="shared" si="45"/>
        <v>0</v>
      </c>
      <c r="Z20" s="13">
        <f t="shared" si="45"/>
        <v>0</v>
      </c>
      <c r="AA20" s="13">
        <f t="shared" si="45"/>
        <v>0</v>
      </c>
      <c r="AB20" s="13">
        <f t="shared" si="45"/>
        <v>0</v>
      </c>
      <c r="AC20" s="13">
        <f t="shared" si="45"/>
        <v>0</v>
      </c>
      <c r="AD20" s="13">
        <f t="shared" si="45"/>
        <v>0</v>
      </c>
      <c r="AE20" s="34">
        <v>2.574295371628351E-26</v>
      </c>
      <c r="AF20" s="13">
        <f t="shared" si="14"/>
        <v>0.9955741239</v>
      </c>
      <c r="AG20" s="35">
        <f t="shared" si="15"/>
        <v>0</v>
      </c>
      <c r="AH20" s="13">
        <f t="shared" si="16"/>
        <v>0.9999956093</v>
      </c>
      <c r="AI20" s="35">
        <v>0.0</v>
      </c>
      <c r="AJ20" s="15">
        <f t="shared" si="17"/>
        <v>1</v>
      </c>
      <c r="AK20" s="34">
        <v>0.0</v>
      </c>
      <c r="AL20" s="15">
        <f t="shared" si="18"/>
        <v>1</v>
      </c>
      <c r="AM20" s="36">
        <f t="shared" si="19"/>
        <v>0</v>
      </c>
      <c r="AN20" s="15">
        <f t="shared" si="20"/>
        <v>0.9819034908</v>
      </c>
      <c r="AO20" s="36">
        <f t="shared" si="21"/>
        <v>0</v>
      </c>
      <c r="AP20" s="15">
        <f t="shared" si="22"/>
        <v>1</v>
      </c>
      <c r="AQ20" s="36">
        <f t="shared" si="23"/>
        <v>0</v>
      </c>
      <c r="AR20" s="15">
        <f t="shared" si="24"/>
        <v>0.9962629943</v>
      </c>
      <c r="AS20" s="36"/>
      <c r="AT20" s="18">
        <f t="shared" si="25"/>
        <v>1112357355</v>
      </c>
      <c r="AU20" s="37">
        <f t="shared" si="26"/>
        <v>0.9739002927</v>
      </c>
      <c r="AV20" s="13">
        <f t="shared" si="27"/>
        <v>778650148.3</v>
      </c>
      <c r="AW20" s="13"/>
      <c r="AX20" s="13"/>
      <c r="AY20" s="17"/>
      <c r="AZ20" s="17"/>
      <c r="BA20" s="17">
        <f t="shared" ref="BA20:BM20" si="46">B20*$AU20*$P20*$Q20</f>
        <v>0</v>
      </c>
      <c r="BB20" s="17">
        <f t="shared" si="46"/>
        <v>0</v>
      </c>
      <c r="BC20" s="17">
        <f t="shared" si="46"/>
        <v>0</v>
      </c>
      <c r="BD20" s="17">
        <f t="shared" si="46"/>
        <v>0</v>
      </c>
      <c r="BE20" s="17">
        <f t="shared" si="46"/>
        <v>6674144.128</v>
      </c>
      <c r="BF20" s="17">
        <f t="shared" si="46"/>
        <v>22247147.09</v>
      </c>
      <c r="BG20" s="17">
        <f t="shared" si="46"/>
        <v>0</v>
      </c>
      <c r="BH20" s="17">
        <f t="shared" si="46"/>
        <v>0</v>
      </c>
      <c r="BI20" s="17">
        <f t="shared" si="46"/>
        <v>0</v>
      </c>
      <c r="BJ20" s="17">
        <f t="shared" si="46"/>
        <v>0</v>
      </c>
      <c r="BK20" s="17">
        <f t="shared" si="46"/>
        <v>0</v>
      </c>
      <c r="BL20" s="17">
        <f t="shared" si="46"/>
        <v>0</v>
      </c>
      <c r="BM20" s="17">
        <f t="shared" si="46"/>
        <v>0</v>
      </c>
      <c r="BN20" s="17"/>
      <c r="BO20" s="17"/>
      <c r="BP20" s="17"/>
      <c r="BQ20" s="17"/>
      <c r="BR20" s="17"/>
    </row>
    <row r="21" ht="15.75" customHeight="1">
      <c r="A21" s="13">
        <v>780.0</v>
      </c>
      <c r="B21" s="13">
        <v>0.0</v>
      </c>
      <c r="C21" s="13">
        <v>0.0</v>
      </c>
      <c r="D21" s="13">
        <v>0.0</v>
      </c>
      <c r="E21" s="13">
        <v>0.0</v>
      </c>
      <c r="F21" s="13">
        <v>0.15</v>
      </c>
      <c r="G21" s="13">
        <v>0.04</v>
      </c>
      <c r="H21" s="13">
        <v>0.0</v>
      </c>
      <c r="I21" s="13">
        <v>0.0</v>
      </c>
      <c r="J21" s="13">
        <v>0.0</v>
      </c>
      <c r="K21" s="13">
        <v>0.0</v>
      </c>
      <c r="L21" s="13">
        <v>0.0</v>
      </c>
      <c r="M21" s="13">
        <v>0.0</v>
      </c>
      <c r="N21" s="13">
        <v>0.0</v>
      </c>
      <c r="O21" s="13">
        <f t="shared" si="11"/>
        <v>17693535761836</v>
      </c>
      <c r="P21" s="13">
        <f t="shared" si="12"/>
        <v>1167009670</v>
      </c>
      <c r="Q21" s="13">
        <v>0.2</v>
      </c>
      <c r="R21" s="13">
        <f t="shared" ref="R21:AD21" si="47">B21*$O21*$Q21</f>
        <v>0</v>
      </c>
      <c r="S21" s="13">
        <f t="shared" si="47"/>
        <v>0</v>
      </c>
      <c r="T21" s="13">
        <f t="shared" si="47"/>
        <v>0</v>
      </c>
      <c r="U21" s="13">
        <f t="shared" si="47"/>
        <v>0</v>
      </c>
      <c r="V21" s="13">
        <f t="shared" si="47"/>
        <v>530806072855</v>
      </c>
      <c r="W21" s="13">
        <f t="shared" si="47"/>
        <v>141548286095</v>
      </c>
      <c r="X21" s="13">
        <f t="shared" si="47"/>
        <v>0</v>
      </c>
      <c r="Y21" s="13">
        <f t="shared" si="47"/>
        <v>0</v>
      </c>
      <c r="Z21" s="13">
        <f t="shared" si="47"/>
        <v>0</v>
      </c>
      <c r="AA21" s="13">
        <f t="shared" si="47"/>
        <v>0</v>
      </c>
      <c r="AB21" s="13">
        <f t="shared" si="47"/>
        <v>0</v>
      </c>
      <c r="AC21" s="13">
        <f t="shared" si="47"/>
        <v>0</v>
      </c>
      <c r="AD21" s="13">
        <f t="shared" si="47"/>
        <v>0</v>
      </c>
      <c r="AE21" s="34">
        <v>3.0119255848051704E-26</v>
      </c>
      <c r="AF21" s="13">
        <f t="shared" si="14"/>
        <v>0.9948236754</v>
      </c>
      <c r="AG21" s="35">
        <f t="shared" si="15"/>
        <v>0</v>
      </c>
      <c r="AH21" s="13">
        <f t="shared" si="16"/>
        <v>0.9999947531</v>
      </c>
      <c r="AI21" s="35">
        <v>0.0</v>
      </c>
      <c r="AJ21" s="15">
        <f t="shared" si="17"/>
        <v>1</v>
      </c>
      <c r="AK21" s="34">
        <v>0.0</v>
      </c>
      <c r="AL21" s="15">
        <f t="shared" si="18"/>
        <v>1</v>
      </c>
      <c r="AM21" s="36">
        <f t="shared" si="19"/>
        <v>0</v>
      </c>
      <c r="AN21" s="15">
        <f t="shared" si="20"/>
        <v>0.9809665243</v>
      </c>
      <c r="AO21" s="36">
        <f t="shared" si="21"/>
        <v>0</v>
      </c>
      <c r="AP21" s="15">
        <f t="shared" si="22"/>
        <v>1</v>
      </c>
      <c r="AQ21" s="36">
        <f t="shared" si="23"/>
        <v>0</v>
      </c>
      <c r="AR21" s="15">
        <f t="shared" si="24"/>
        <v>0.9960680206</v>
      </c>
      <c r="AS21" s="36"/>
      <c r="AT21" s="18">
        <f t="shared" si="25"/>
        <v>1134387605</v>
      </c>
      <c r="AU21" s="37">
        <f t="shared" si="26"/>
        <v>0.9720464485</v>
      </c>
      <c r="AV21" s="13">
        <f t="shared" si="27"/>
        <v>794071323.4</v>
      </c>
      <c r="AW21" s="13"/>
      <c r="AX21" s="13"/>
      <c r="AY21" s="17"/>
      <c r="AZ21" s="17"/>
      <c r="BA21" s="17">
        <f t="shared" ref="BA21:BM21" si="48">B21*$AU21*$P21*$Q21</f>
        <v>0</v>
      </c>
      <c r="BB21" s="17">
        <f t="shared" si="48"/>
        <v>0</v>
      </c>
      <c r="BC21" s="17">
        <f t="shared" si="48"/>
        <v>0</v>
      </c>
      <c r="BD21" s="17">
        <f t="shared" si="48"/>
        <v>0</v>
      </c>
      <c r="BE21" s="17">
        <f t="shared" si="48"/>
        <v>34031628.15</v>
      </c>
      <c r="BF21" s="17">
        <f t="shared" si="48"/>
        <v>9075100.839</v>
      </c>
      <c r="BG21" s="17">
        <f t="shared" si="48"/>
        <v>0</v>
      </c>
      <c r="BH21" s="17">
        <f t="shared" si="48"/>
        <v>0</v>
      </c>
      <c r="BI21" s="17">
        <f t="shared" si="48"/>
        <v>0</v>
      </c>
      <c r="BJ21" s="17">
        <f t="shared" si="48"/>
        <v>0</v>
      </c>
      <c r="BK21" s="17">
        <f t="shared" si="48"/>
        <v>0</v>
      </c>
      <c r="BL21" s="17">
        <f t="shared" si="48"/>
        <v>0</v>
      </c>
      <c r="BM21" s="17">
        <f t="shared" si="48"/>
        <v>0</v>
      </c>
      <c r="BN21" s="17"/>
      <c r="BO21" s="17"/>
      <c r="BP21" s="17"/>
      <c r="BQ21" s="17"/>
      <c r="BR21" s="17"/>
    </row>
    <row r="22" ht="15.75" customHeight="1">
      <c r="A22" s="13">
        <v>770.0</v>
      </c>
      <c r="B22" s="13">
        <v>0.0</v>
      </c>
      <c r="C22" s="13">
        <v>0.0</v>
      </c>
      <c r="D22" s="13">
        <v>0.0</v>
      </c>
      <c r="E22" s="13">
        <v>0.0</v>
      </c>
      <c r="F22" s="13">
        <v>0.5</v>
      </c>
      <c r="G22" s="13">
        <v>0.03</v>
      </c>
      <c r="H22" s="13">
        <v>0.0</v>
      </c>
      <c r="I22" s="13">
        <v>0.0</v>
      </c>
      <c r="J22" s="13">
        <v>0.0</v>
      </c>
      <c r="K22" s="13">
        <v>0.0</v>
      </c>
      <c r="L22" s="13">
        <v>0.0</v>
      </c>
      <c r="M22" s="13">
        <v>0.0</v>
      </c>
      <c r="N22" s="13">
        <v>0.0</v>
      </c>
      <c r="O22" s="13">
        <f t="shared" si="11"/>
        <v>18074792524159</v>
      </c>
      <c r="P22" s="13">
        <f t="shared" si="12"/>
        <v>1192156160</v>
      </c>
      <c r="Q22" s="13">
        <v>0.2</v>
      </c>
      <c r="R22" s="13">
        <f t="shared" ref="R22:AD22" si="49">B22*$O22*$Q22</f>
        <v>0</v>
      </c>
      <c r="S22" s="13">
        <f t="shared" si="49"/>
        <v>0</v>
      </c>
      <c r="T22" s="13">
        <f t="shared" si="49"/>
        <v>0</v>
      </c>
      <c r="U22" s="13">
        <f t="shared" si="49"/>
        <v>0</v>
      </c>
      <c r="V22" s="13">
        <f t="shared" si="49"/>
        <v>1807479252416</v>
      </c>
      <c r="W22" s="13">
        <f t="shared" si="49"/>
        <v>108448755145</v>
      </c>
      <c r="X22" s="13">
        <f t="shared" si="49"/>
        <v>0</v>
      </c>
      <c r="Y22" s="13">
        <f t="shared" si="49"/>
        <v>0</v>
      </c>
      <c r="Z22" s="13">
        <f t="shared" si="49"/>
        <v>0</v>
      </c>
      <c r="AA22" s="13">
        <f t="shared" si="49"/>
        <v>0</v>
      </c>
      <c r="AB22" s="13">
        <f t="shared" si="49"/>
        <v>0</v>
      </c>
      <c r="AC22" s="13">
        <f t="shared" si="49"/>
        <v>0</v>
      </c>
      <c r="AD22" s="13">
        <f t="shared" si="49"/>
        <v>0</v>
      </c>
      <c r="AE22" s="34">
        <v>3.523952934222049E-26</v>
      </c>
      <c r="AF22" s="13">
        <f t="shared" si="14"/>
        <v>0.9939463687</v>
      </c>
      <c r="AG22" s="35">
        <f t="shared" si="15"/>
        <v>0</v>
      </c>
      <c r="AH22" s="13">
        <f t="shared" si="16"/>
        <v>0.99999373</v>
      </c>
      <c r="AI22" s="35">
        <v>0.0</v>
      </c>
      <c r="AJ22" s="15">
        <f t="shared" si="17"/>
        <v>1</v>
      </c>
      <c r="AK22" s="34">
        <v>6.999999999999999E-30</v>
      </c>
      <c r="AL22" s="15">
        <f t="shared" si="18"/>
        <v>0.7695824968</v>
      </c>
      <c r="AM22" s="36">
        <f t="shared" si="19"/>
        <v>0</v>
      </c>
      <c r="AN22" s="15">
        <f t="shared" si="20"/>
        <v>0.9799685077</v>
      </c>
      <c r="AO22" s="36">
        <f t="shared" si="21"/>
        <v>0</v>
      </c>
      <c r="AP22" s="15">
        <f t="shared" si="22"/>
        <v>1</v>
      </c>
      <c r="AQ22" s="36">
        <f t="shared" si="23"/>
        <v>0</v>
      </c>
      <c r="AR22" s="15">
        <f t="shared" si="24"/>
        <v>0.99586018</v>
      </c>
      <c r="AS22" s="36"/>
      <c r="AT22" s="18">
        <f t="shared" si="25"/>
        <v>889936550.2</v>
      </c>
      <c r="AU22" s="37">
        <f t="shared" si="26"/>
        <v>0.7464932698</v>
      </c>
      <c r="AV22" s="13">
        <f t="shared" si="27"/>
        <v>622955585.1</v>
      </c>
      <c r="AW22" s="13"/>
      <c r="AX22" s="13"/>
      <c r="AY22" s="17"/>
      <c r="AZ22" s="17"/>
      <c r="BA22" s="17">
        <f t="shared" ref="BA22:BM22" si="50">B22*$AU22*$P22*$Q22</f>
        <v>0</v>
      </c>
      <c r="BB22" s="17">
        <f t="shared" si="50"/>
        <v>0</v>
      </c>
      <c r="BC22" s="17">
        <f t="shared" si="50"/>
        <v>0</v>
      </c>
      <c r="BD22" s="17">
        <f t="shared" si="50"/>
        <v>0</v>
      </c>
      <c r="BE22" s="17">
        <f t="shared" si="50"/>
        <v>88993655.02</v>
      </c>
      <c r="BF22" s="17">
        <f t="shared" si="50"/>
        <v>5339619.301</v>
      </c>
      <c r="BG22" s="17">
        <f t="shared" si="50"/>
        <v>0</v>
      </c>
      <c r="BH22" s="17">
        <f t="shared" si="50"/>
        <v>0</v>
      </c>
      <c r="BI22" s="17">
        <f t="shared" si="50"/>
        <v>0</v>
      </c>
      <c r="BJ22" s="17">
        <f t="shared" si="50"/>
        <v>0</v>
      </c>
      <c r="BK22" s="17">
        <f t="shared" si="50"/>
        <v>0</v>
      </c>
      <c r="BL22" s="17">
        <f t="shared" si="50"/>
        <v>0</v>
      </c>
      <c r="BM22" s="17">
        <f t="shared" si="50"/>
        <v>0</v>
      </c>
      <c r="BN22" s="17"/>
      <c r="BO22" s="17"/>
      <c r="BP22" s="17"/>
      <c r="BQ22" s="17"/>
      <c r="BR22" s="17"/>
    </row>
    <row r="23" ht="15.75" customHeight="1">
      <c r="A23" s="13">
        <v>760.0</v>
      </c>
      <c r="B23" s="13">
        <v>0.0</v>
      </c>
      <c r="C23" s="13">
        <v>0.0</v>
      </c>
      <c r="D23" s="13">
        <v>0.0</v>
      </c>
      <c r="E23" s="13">
        <v>0.02</v>
      </c>
      <c r="F23" s="13">
        <v>0.95</v>
      </c>
      <c r="G23" s="13">
        <v>0.01</v>
      </c>
      <c r="H23" s="13">
        <v>0.0</v>
      </c>
      <c r="I23" s="13">
        <v>0.0</v>
      </c>
      <c r="J23" s="13">
        <v>0.0</v>
      </c>
      <c r="K23" s="13">
        <v>0.0</v>
      </c>
      <c r="L23" s="13">
        <v>0.0</v>
      </c>
      <c r="M23" s="13">
        <v>0.0</v>
      </c>
      <c r="N23" s="13">
        <v>0.0</v>
      </c>
      <c r="O23" s="13">
        <f t="shared" si="11"/>
        <v>18460256420612</v>
      </c>
      <c r="P23" s="13">
        <f t="shared" si="12"/>
        <v>1217580140</v>
      </c>
      <c r="Q23" s="13">
        <v>0.2</v>
      </c>
      <c r="R23" s="13">
        <f t="shared" ref="R23:AD23" si="51">B23*$O23*$Q23</f>
        <v>0</v>
      </c>
      <c r="S23" s="13">
        <f t="shared" si="51"/>
        <v>0</v>
      </c>
      <c r="T23" s="13">
        <f t="shared" si="51"/>
        <v>0</v>
      </c>
      <c r="U23" s="13">
        <f t="shared" si="51"/>
        <v>73841025682</v>
      </c>
      <c r="V23" s="13">
        <f t="shared" si="51"/>
        <v>3507448719916</v>
      </c>
      <c r="W23" s="13">
        <f t="shared" si="51"/>
        <v>36920512841</v>
      </c>
      <c r="X23" s="13">
        <f t="shared" si="51"/>
        <v>0</v>
      </c>
      <c r="Y23" s="13">
        <f t="shared" si="51"/>
        <v>0</v>
      </c>
      <c r="Z23" s="13">
        <f t="shared" si="51"/>
        <v>0</v>
      </c>
      <c r="AA23" s="13">
        <f t="shared" si="51"/>
        <v>0</v>
      </c>
      <c r="AB23" s="13">
        <f t="shared" si="51"/>
        <v>0</v>
      </c>
      <c r="AC23" s="13">
        <f t="shared" si="51"/>
        <v>0</v>
      </c>
      <c r="AD23" s="13">
        <f t="shared" si="51"/>
        <v>0</v>
      </c>
      <c r="AE23" s="34">
        <v>4.1230249330397977E-26</v>
      </c>
      <c r="AF23" s="13">
        <f t="shared" si="14"/>
        <v>0.992920902</v>
      </c>
      <c r="AG23" s="35">
        <f t="shared" si="15"/>
        <v>0</v>
      </c>
      <c r="AH23" s="13">
        <f t="shared" si="16"/>
        <v>0.9999925073</v>
      </c>
      <c r="AI23" s="35">
        <v>0.0</v>
      </c>
      <c r="AJ23" s="15">
        <f t="shared" si="17"/>
        <v>1</v>
      </c>
      <c r="AK23" s="34">
        <v>1.5E-29</v>
      </c>
      <c r="AL23" s="15">
        <f t="shared" si="18"/>
        <v>0.5705071655</v>
      </c>
      <c r="AM23" s="36">
        <f t="shared" si="19"/>
        <v>0</v>
      </c>
      <c r="AN23" s="15">
        <f t="shared" si="20"/>
        <v>0.9789046474</v>
      </c>
      <c r="AO23" s="36">
        <f t="shared" si="21"/>
        <v>0</v>
      </c>
      <c r="AP23" s="15">
        <f t="shared" si="22"/>
        <v>1</v>
      </c>
      <c r="AQ23" s="36">
        <f t="shared" si="23"/>
        <v>0</v>
      </c>
      <c r="AR23" s="15">
        <f t="shared" si="24"/>
        <v>0.9956384418</v>
      </c>
      <c r="AS23" s="36"/>
      <c r="AT23" s="18">
        <f t="shared" si="25"/>
        <v>672221045.6</v>
      </c>
      <c r="AU23" s="37">
        <f t="shared" si="26"/>
        <v>0.5520959349</v>
      </c>
      <c r="AV23" s="13">
        <f t="shared" si="27"/>
        <v>470554731.9</v>
      </c>
      <c r="AW23" s="13" t="str">
        <f>V5</f>
        <v>#REF!</v>
      </c>
      <c r="AX23" s="13">
        <f>BE5</f>
        <v>13918.78356</v>
      </c>
      <c r="AY23" s="17">
        <f>AX23*$BO$4</f>
        <v>9743.148494</v>
      </c>
      <c r="AZ23" s="17" t="str">
        <f>V4</f>
        <v>#REF!</v>
      </c>
      <c r="BA23" s="17">
        <f t="shared" ref="BA23:BM23" si="52">B23*$AU23*$P23*$Q23</f>
        <v>0</v>
      </c>
      <c r="BB23" s="17">
        <f t="shared" si="52"/>
        <v>0</v>
      </c>
      <c r="BC23" s="17">
        <f t="shared" si="52"/>
        <v>0</v>
      </c>
      <c r="BD23" s="17">
        <f t="shared" si="52"/>
        <v>2688884.182</v>
      </c>
      <c r="BE23" s="17">
        <f t="shared" si="52"/>
        <v>127721998.7</v>
      </c>
      <c r="BF23" s="17">
        <f t="shared" si="52"/>
        <v>1344442.091</v>
      </c>
      <c r="BG23" s="17">
        <f t="shared" si="52"/>
        <v>0</v>
      </c>
      <c r="BH23" s="17">
        <f t="shared" si="52"/>
        <v>0</v>
      </c>
      <c r="BI23" s="17">
        <f t="shared" si="52"/>
        <v>0</v>
      </c>
      <c r="BJ23" s="17">
        <f t="shared" si="52"/>
        <v>0</v>
      </c>
      <c r="BK23" s="17">
        <f t="shared" si="52"/>
        <v>0</v>
      </c>
      <c r="BL23" s="17">
        <f t="shared" si="52"/>
        <v>0</v>
      </c>
      <c r="BM23" s="17">
        <f t="shared" si="52"/>
        <v>0</v>
      </c>
      <c r="BN23" s="17"/>
      <c r="BO23" s="17">
        <f>AX23*$BO$4</f>
        <v>9743.148494</v>
      </c>
      <c r="BP23" s="17" t="str">
        <f>(BO23-AW23)^2</f>
        <v>#REF!</v>
      </c>
      <c r="BQ23" s="17"/>
      <c r="BR23" s="17"/>
    </row>
    <row r="24" ht="15.75" customHeight="1">
      <c r="A24" s="13">
        <v>750.0</v>
      </c>
      <c r="B24" s="13">
        <v>0.0</v>
      </c>
      <c r="C24" s="13">
        <v>0.0</v>
      </c>
      <c r="D24" s="13">
        <v>0.0</v>
      </c>
      <c r="E24" s="13">
        <v>0.1</v>
      </c>
      <c r="F24" s="13">
        <v>0.47</v>
      </c>
      <c r="G24" s="13">
        <v>0.0</v>
      </c>
      <c r="H24" s="13">
        <v>0.0</v>
      </c>
      <c r="I24" s="13">
        <v>0.0</v>
      </c>
      <c r="J24" s="13">
        <v>0.0</v>
      </c>
      <c r="K24" s="13">
        <v>0.0</v>
      </c>
      <c r="L24" s="13">
        <v>0.0</v>
      </c>
      <c r="M24" s="13">
        <v>0.0</v>
      </c>
      <c r="N24" s="13">
        <v>0.0</v>
      </c>
      <c r="O24" s="13">
        <f t="shared" si="11"/>
        <v>18849459787737</v>
      </c>
      <c r="P24" s="13">
        <f t="shared" si="12"/>
        <v>1243250763</v>
      </c>
      <c r="Q24" s="13">
        <v>0.2</v>
      </c>
      <c r="R24" s="13">
        <f t="shared" ref="R24:AD24" si="53">B24*$O24*$Q24</f>
        <v>0</v>
      </c>
      <c r="S24" s="13">
        <f t="shared" si="53"/>
        <v>0</v>
      </c>
      <c r="T24" s="13">
        <f t="shared" si="53"/>
        <v>0</v>
      </c>
      <c r="U24" s="13">
        <f t="shared" si="53"/>
        <v>376989195755</v>
      </c>
      <c r="V24" s="13">
        <f t="shared" si="53"/>
        <v>1771849220047</v>
      </c>
      <c r="W24" s="13">
        <f t="shared" si="53"/>
        <v>0</v>
      </c>
      <c r="X24" s="13">
        <f t="shared" si="53"/>
        <v>0</v>
      </c>
      <c r="Y24" s="13">
        <f t="shared" si="53"/>
        <v>0</v>
      </c>
      <c r="Z24" s="13">
        <f t="shared" si="53"/>
        <v>0</v>
      </c>
      <c r="AA24" s="13">
        <f t="shared" si="53"/>
        <v>0</v>
      </c>
      <c r="AB24" s="13">
        <f t="shared" si="53"/>
        <v>0</v>
      </c>
      <c r="AC24" s="13">
        <f t="shared" si="53"/>
        <v>0</v>
      </c>
      <c r="AD24" s="13">
        <f t="shared" si="53"/>
        <v>0</v>
      </c>
      <c r="AE24" s="34">
        <v>4.8239391716565625E-26</v>
      </c>
      <c r="AF24" s="13">
        <f t="shared" si="14"/>
        <v>0.991722449</v>
      </c>
      <c r="AG24" s="35">
        <f t="shared" si="15"/>
        <v>0</v>
      </c>
      <c r="AH24" s="13">
        <f t="shared" si="16"/>
        <v>0.9999910462</v>
      </c>
      <c r="AI24" s="35">
        <f>1E-26/2000</f>
        <v>0</v>
      </c>
      <c r="AJ24" s="15">
        <f t="shared" si="17"/>
        <v>0.9938650633</v>
      </c>
      <c r="AK24" s="34">
        <v>0.0</v>
      </c>
      <c r="AL24" s="15">
        <f t="shared" si="18"/>
        <v>1</v>
      </c>
      <c r="AM24" s="36">
        <f t="shared" si="19"/>
        <v>0</v>
      </c>
      <c r="AN24" s="15">
        <f t="shared" si="20"/>
        <v>0.9777697105</v>
      </c>
      <c r="AO24" s="36">
        <f t="shared" si="21"/>
        <v>0</v>
      </c>
      <c r="AP24" s="15">
        <f t="shared" si="22"/>
        <v>1</v>
      </c>
      <c r="AQ24" s="36">
        <f t="shared" si="23"/>
        <v>0</v>
      </c>
      <c r="AR24" s="15">
        <f t="shared" si="24"/>
        <v>0.995401678</v>
      </c>
      <c r="AS24" s="36"/>
      <c r="AT24" s="18">
        <f t="shared" si="25"/>
        <v>1192634484</v>
      </c>
      <c r="AU24" s="37">
        <f t="shared" si="26"/>
        <v>0.9592871522</v>
      </c>
      <c r="AV24" s="13">
        <f t="shared" si="27"/>
        <v>834844139</v>
      </c>
      <c r="AW24" s="13"/>
      <c r="AX24" s="13"/>
      <c r="AY24" s="17"/>
      <c r="AZ24" s="17"/>
      <c r="BA24" s="17">
        <f t="shared" ref="BA24:BM24" si="54">B24*$AU24*$P24*$Q24</f>
        <v>0</v>
      </c>
      <c r="BB24" s="17">
        <f t="shared" si="54"/>
        <v>0</v>
      </c>
      <c r="BC24" s="17">
        <f t="shared" si="54"/>
        <v>0</v>
      </c>
      <c r="BD24" s="17">
        <f t="shared" si="54"/>
        <v>23852689.68</v>
      </c>
      <c r="BE24" s="17">
        <f t="shared" si="54"/>
        <v>112107641.5</v>
      </c>
      <c r="BF24" s="17">
        <f t="shared" si="54"/>
        <v>0</v>
      </c>
      <c r="BG24" s="17">
        <f t="shared" si="54"/>
        <v>0</v>
      </c>
      <c r="BH24" s="17">
        <f t="shared" si="54"/>
        <v>0</v>
      </c>
      <c r="BI24" s="17">
        <f t="shared" si="54"/>
        <v>0</v>
      </c>
      <c r="BJ24" s="17">
        <f t="shared" si="54"/>
        <v>0</v>
      </c>
      <c r="BK24" s="17">
        <f t="shared" si="54"/>
        <v>0</v>
      </c>
      <c r="BL24" s="17">
        <f t="shared" si="54"/>
        <v>0</v>
      </c>
      <c r="BM24" s="17">
        <f t="shared" si="54"/>
        <v>0</v>
      </c>
      <c r="BN24" s="17"/>
      <c r="BO24" s="17"/>
      <c r="BP24" s="17"/>
      <c r="BQ24" s="17"/>
      <c r="BR24" s="17"/>
    </row>
    <row r="25" ht="15.75" customHeight="1">
      <c r="A25" s="13">
        <v>740.0</v>
      </c>
      <c r="B25" s="13">
        <v>0.0</v>
      </c>
      <c r="C25" s="13">
        <v>0.0</v>
      </c>
      <c r="D25" s="13">
        <v>0.0</v>
      </c>
      <c r="E25" s="13">
        <v>0.5</v>
      </c>
      <c r="F25" s="13">
        <v>0.13</v>
      </c>
      <c r="G25" s="13">
        <v>0.0</v>
      </c>
      <c r="H25" s="13">
        <v>0.0</v>
      </c>
      <c r="I25" s="13">
        <v>0.0</v>
      </c>
      <c r="J25" s="13">
        <v>0.0</v>
      </c>
      <c r="K25" s="13">
        <v>0.0</v>
      </c>
      <c r="L25" s="13">
        <v>0.0</v>
      </c>
      <c r="M25" s="13">
        <v>0.0</v>
      </c>
      <c r="N25" s="13">
        <v>0.0</v>
      </c>
      <c r="O25" s="13">
        <f t="shared" si="11"/>
        <v>19241870076260</v>
      </c>
      <c r="P25" s="13">
        <f t="shared" si="12"/>
        <v>1269132905</v>
      </c>
      <c r="Q25" s="13">
        <v>0.2</v>
      </c>
      <c r="R25" s="13">
        <f t="shared" ref="R25:AD25" si="55">B25*$O25*$Q25</f>
        <v>0</v>
      </c>
      <c r="S25" s="13">
        <f t="shared" si="55"/>
        <v>0</v>
      </c>
      <c r="T25" s="13">
        <f t="shared" si="55"/>
        <v>0</v>
      </c>
      <c r="U25" s="13">
        <f t="shared" si="55"/>
        <v>1924187007626</v>
      </c>
      <c r="V25" s="13">
        <f t="shared" si="55"/>
        <v>500288621983</v>
      </c>
      <c r="W25" s="13">
        <f t="shared" si="55"/>
        <v>0</v>
      </c>
      <c r="X25" s="13">
        <f t="shared" si="55"/>
        <v>0</v>
      </c>
      <c r="Y25" s="13">
        <f t="shared" si="55"/>
        <v>0</v>
      </c>
      <c r="Z25" s="13">
        <f t="shared" si="55"/>
        <v>0</v>
      </c>
      <c r="AA25" s="13">
        <f t="shared" si="55"/>
        <v>0</v>
      </c>
      <c r="AB25" s="13">
        <f t="shared" si="55"/>
        <v>0</v>
      </c>
      <c r="AC25" s="13">
        <f t="shared" si="55"/>
        <v>0</v>
      </c>
      <c r="AD25" s="13">
        <f t="shared" si="55"/>
        <v>0</v>
      </c>
      <c r="AE25" s="34">
        <v>5.644008830838178E-26</v>
      </c>
      <c r="AF25" s="13">
        <f t="shared" si="14"/>
        <v>0.990322095</v>
      </c>
      <c r="AG25" s="35">
        <f t="shared" si="15"/>
        <v>0</v>
      </c>
      <c r="AH25" s="13">
        <f t="shared" si="16"/>
        <v>0.9999893002</v>
      </c>
      <c r="AI25" s="35">
        <f>3E-25/2000</f>
        <v>0</v>
      </c>
      <c r="AJ25" s="15">
        <f t="shared" si="17"/>
        <v>0.8314243344</v>
      </c>
      <c r="AK25" s="34">
        <v>0.0</v>
      </c>
      <c r="AL25" s="15">
        <f t="shared" si="18"/>
        <v>1</v>
      </c>
      <c r="AM25" s="36">
        <f t="shared" si="19"/>
        <v>0</v>
      </c>
      <c r="AN25" s="15">
        <f t="shared" si="20"/>
        <v>0.9765579787</v>
      </c>
      <c r="AO25" s="36">
        <f t="shared" si="21"/>
        <v>0</v>
      </c>
      <c r="AP25" s="15">
        <f t="shared" si="22"/>
        <v>1</v>
      </c>
      <c r="AQ25" s="36">
        <f t="shared" si="23"/>
        <v>0</v>
      </c>
      <c r="AR25" s="15">
        <f t="shared" si="24"/>
        <v>0.9951486524</v>
      </c>
      <c r="AS25" s="36"/>
      <c r="AT25" s="18">
        <f t="shared" si="25"/>
        <v>1015518056</v>
      </c>
      <c r="AU25" s="37">
        <f t="shared" si="26"/>
        <v>0.8001668316</v>
      </c>
      <c r="AV25" s="13">
        <f t="shared" si="27"/>
        <v>710862638.9</v>
      </c>
      <c r="AW25" s="13" t="str">
        <f>U5</f>
        <v>#REF!</v>
      </c>
      <c r="AX25" s="13">
        <f>BD5</f>
        <v>15594.54186</v>
      </c>
      <c r="AY25" s="17">
        <f>AX25*$BO$4</f>
        <v>10916.1793</v>
      </c>
      <c r="AZ25" s="17" t="str">
        <f>U4</f>
        <v>#REF!</v>
      </c>
      <c r="BA25" s="17">
        <f t="shared" ref="BA25:BM25" si="56">B25*$AU25*$P25*$Q25</f>
        <v>0</v>
      </c>
      <c r="BB25" s="17">
        <f t="shared" si="56"/>
        <v>0</v>
      </c>
      <c r="BC25" s="17">
        <f t="shared" si="56"/>
        <v>0</v>
      </c>
      <c r="BD25" s="17">
        <f t="shared" si="56"/>
        <v>101551805.6</v>
      </c>
      <c r="BE25" s="17">
        <f t="shared" si="56"/>
        <v>26403469.44</v>
      </c>
      <c r="BF25" s="17">
        <f t="shared" si="56"/>
        <v>0</v>
      </c>
      <c r="BG25" s="17">
        <f t="shared" si="56"/>
        <v>0</v>
      </c>
      <c r="BH25" s="17">
        <f t="shared" si="56"/>
        <v>0</v>
      </c>
      <c r="BI25" s="17">
        <f t="shared" si="56"/>
        <v>0</v>
      </c>
      <c r="BJ25" s="17">
        <f t="shared" si="56"/>
        <v>0</v>
      </c>
      <c r="BK25" s="17">
        <f t="shared" si="56"/>
        <v>0</v>
      </c>
      <c r="BL25" s="17">
        <f t="shared" si="56"/>
        <v>0</v>
      </c>
      <c r="BM25" s="17">
        <f t="shared" si="56"/>
        <v>0</v>
      </c>
      <c r="BN25" s="17"/>
      <c r="BO25" s="17">
        <f>AX25*$BO$4</f>
        <v>10916.1793</v>
      </c>
      <c r="BP25" s="17" t="str">
        <f>(BO25-AW25)^2</f>
        <v>#REF!</v>
      </c>
      <c r="BQ25" s="17"/>
      <c r="BR25" s="17"/>
    </row>
    <row r="26" ht="15.75" customHeight="1">
      <c r="A26" s="13">
        <v>730.0</v>
      </c>
      <c r="B26" s="13">
        <v>0.0</v>
      </c>
      <c r="C26" s="13">
        <v>0.0</v>
      </c>
      <c r="D26" s="13">
        <v>0.0</v>
      </c>
      <c r="E26" s="13">
        <v>0.9</v>
      </c>
      <c r="F26" s="13">
        <v>0.05</v>
      </c>
      <c r="G26" s="13">
        <v>0.0</v>
      </c>
      <c r="H26" s="13">
        <v>0.0</v>
      </c>
      <c r="I26" s="13">
        <v>0.0</v>
      </c>
      <c r="J26" s="13">
        <v>0.0</v>
      </c>
      <c r="K26" s="13">
        <v>0.0</v>
      </c>
      <c r="L26" s="13">
        <v>0.0</v>
      </c>
      <c r="M26" s="13">
        <v>0.0</v>
      </c>
      <c r="N26" s="13">
        <v>0.0</v>
      </c>
      <c r="O26" s="13">
        <f t="shared" si="11"/>
        <v>19636884020415</v>
      </c>
      <c r="P26" s="13">
        <f t="shared" si="12"/>
        <v>1295186776</v>
      </c>
      <c r="Q26" s="13">
        <v>0.2</v>
      </c>
      <c r="R26" s="13">
        <f t="shared" ref="R26:AD26" si="57">B26*$O26*$Q26</f>
        <v>0</v>
      </c>
      <c r="S26" s="13">
        <f t="shared" si="57"/>
        <v>0</v>
      </c>
      <c r="T26" s="13">
        <f t="shared" si="57"/>
        <v>0</v>
      </c>
      <c r="U26" s="13">
        <f t="shared" si="57"/>
        <v>3534639123675</v>
      </c>
      <c r="V26" s="13">
        <f t="shared" si="57"/>
        <v>196368840204</v>
      </c>
      <c r="W26" s="13">
        <f t="shared" si="57"/>
        <v>0</v>
      </c>
      <c r="X26" s="13">
        <f t="shared" si="57"/>
        <v>0</v>
      </c>
      <c r="Y26" s="13">
        <f t="shared" si="57"/>
        <v>0</v>
      </c>
      <c r="Z26" s="13">
        <f t="shared" si="57"/>
        <v>0</v>
      </c>
      <c r="AA26" s="13">
        <f t="shared" si="57"/>
        <v>0</v>
      </c>
      <c r="AB26" s="13">
        <f t="shared" si="57"/>
        <v>0</v>
      </c>
      <c r="AC26" s="13">
        <f t="shared" si="57"/>
        <v>0</v>
      </c>
      <c r="AD26" s="13">
        <f t="shared" si="57"/>
        <v>0</v>
      </c>
      <c r="AE26" s="34">
        <v>6.603490332080668E-26</v>
      </c>
      <c r="AF26" s="13">
        <f t="shared" si="14"/>
        <v>0.9886861909</v>
      </c>
      <c r="AG26" s="35">
        <f t="shared" si="15"/>
        <v>0</v>
      </c>
      <c r="AH26" s="13">
        <f t="shared" si="16"/>
        <v>0.9999872138</v>
      </c>
      <c r="AI26" s="35">
        <f>5E-25/2000</f>
        <v>0</v>
      </c>
      <c r="AJ26" s="15">
        <f t="shared" si="17"/>
        <v>0.7351419721</v>
      </c>
      <c r="AK26" s="34">
        <v>0.0</v>
      </c>
      <c r="AL26" s="15">
        <f t="shared" si="18"/>
        <v>1</v>
      </c>
      <c r="AM26" s="36">
        <f t="shared" si="19"/>
        <v>0</v>
      </c>
      <c r="AN26" s="15">
        <f t="shared" si="20"/>
        <v>0.9752631972</v>
      </c>
      <c r="AO26" s="36">
        <f t="shared" si="21"/>
        <v>0</v>
      </c>
      <c r="AP26" s="15">
        <f t="shared" si="22"/>
        <v>1</v>
      </c>
      <c r="AQ26" s="36">
        <f t="shared" si="23"/>
        <v>0</v>
      </c>
      <c r="AR26" s="15">
        <f t="shared" si="24"/>
        <v>0.9948780089</v>
      </c>
      <c r="AS26" s="36"/>
      <c r="AT26" s="18">
        <f t="shared" si="25"/>
        <v>913373070.5</v>
      </c>
      <c r="AU26" s="37">
        <f t="shared" si="26"/>
        <v>0.7052056797</v>
      </c>
      <c r="AV26" s="13">
        <f t="shared" si="27"/>
        <v>639361149.4</v>
      </c>
      <c r="AW26" s="13"/>
      <c r="AX26" s="13"/>
      <c r="AY26" s="17"/>
      <c r="AZ26" s="17"/>
      <c r="BA26" s="17">
        <f t="shared" ref="BA26:BM26" si="58">B26*$AU26*$P26*$Q26</f>
        <v>0</v>
      </c>
      <c r="BB26" s="17">
        <f t="shared" si="58"/>
        <v>0</v>
      </c>
      <c r="BC26" s="17">
        <f t="shared" si="58"/>
        <v>0</v>
      </c>
      <c r="BD26" s="17">
        <f t="shared" si="58"/>
        <v>164407152.7</v>
      </c>
      <c r="BE26" s="17">
        <f t="shared" si="58"/>
        <v>9133730.705</v>
      </c>
      <c r="BF26" s="17">
        <f t="shared" si="58"/>
        <v>0</v>
      </c>
      <c r="BG26" s="17">
        <f t="shared" si="58"/>
        <v>0</v>
      </c>
      <c r="BH26" s="17">
        <f t="shared" si="58"/>
        <v>0</v>
      </c>
      <c r="BI26" s="17">
        <f t="shared" si="58"/>
        <v>0</v>
      </c>
      <c r="BJ26" s="17">
        <f t="shared" si="58"/>
        <v>0</v>
      </c>
      <c r="BK26" s="17">
        <f t="shared" si="58"/>
        <v>0</v>
      </c>
      <c r="BL26" s="17">
        <f t="shared" si="58"/>
        <v>0</v>
      </c>
      <c r="BM26" s="17">
        <f t="shared" si="58"/>
        <v>0</v>
      </c>
      <c r="BN26" s="17"/>
      <c r="BO26" s="17"/>
      <c r="BP26" s="17"/>
      <c r="BQ26" s="17"/>
      <c r="BR26" s="17"/>
    </row>
    <row r="27" ht="15.75" customHeight="1">
      <c r="A27" s="13">
        <v>720.0</v>
      </c>
      <c r="B27" s="13">
        <v>0.0</v>
      </c>
      <c r="C27" s="13">
        <v>0.0</v>
      </c>
      <c r="D27" s="13">
        <v>0.0</v>
      </c>
      <c r="E27" s="13">
        <v>0.45</v>
      </c>
      <c r="F27" s="13">
        <v>0.01</v>
      </c>
      <c r="G27" s="13">
        <v>0.0</v>
      </c>
      <c r="H27" s="13">
        <v>0.0</v>
      </c>
      <c r="I27" s="13">
        <v>0.0</v>
      </c>
      <c r="J27" s="13">
        <v>0.0</v>
      </c>
      <c r="K27" s="13">
        <v>0.0</v>
      </c>
      <c r="L27" s="13">
        <v>0.0</v>
      </c>
      <c r="M27" s="13">
        <v>0.0</v>
      </c>
      <c r="N27" s="13">
        <v>0.0</v>
      </c>
      <c r="O27" s="13">
        <f t="shared" si="11"/>
        <v>20033821429172</v>
      </c>
      <c r="P27" s="13">
        <f t="shared" si="12"/>
        <v>1321367512</v>
      </c>
      <c r="Q27" s="13">
        <v>0.2</v>
      </c>
      <c r="R27" s="13">
        <f t="shared" ref="R27:AD27" si="59">B27*$O27*$Q27</f>
        <v>0</v>
      </c>
      <c r="S27" s="13">
        <f t="shared" si="59"/>
        <v>0</v>
      </c>
      <c r="T27" s="13">
        <f t="shared" si="59"/>
        <v>0</v>
      </c>
      <c r="U27" s="13">
        <f t="shared" si="59"/>
        <v>1803043928625</v>
      </c>
      <c r="V27" s="13">
        <f t="shared" si="59"/>
        <v>40067642858</v>
      </c>
      <c r="W27" s="13">
        <f t="shared" si="59"/>
        <v>0</v>
      </c>
      <c r="X27" s="13">
        <f t="shared" si="59"/>
        <v>0</v>
      </c>
      <c r="Y27" s="13">
        <f t="shared" si="59"/>
        <v>0</v>
      </c>
      <c r="Z27" s="13">
        <f t="shared" si="59"/>
        <v>0</v>
      </c>
      <c r="AA27" s="13">
        <f t="shared" si="59"/>
        <v>0</v>
      </c>
      <c r="AB27" s="13">
        <f t="shared" si="59"/>
        <v>0</v>
      </c>
      <c r="AC27" s="13">
        <f t="shared" si="59"/>
        <v>0</v>
      </c>
      <c r="AD27" s="13">
        <f t="shared" si="59"/>
        <v>0</v>
      </c>
      <c r="AE27" s="34">
        <v>7.726083688534381E-26</v>
      </c>
      <c r="AF27" s="13">
        <f t="shared" si="14"/>
        <v>0.9867756133</v>
      </c>
      <c r="AG27" s="35">
        <f t="shared" si="15"/>
        <v>0</v>
      </c>
      <c r="AH27" s="13">
        <f t="shared" si="16"/>
        <v>0.9999847205</v>
      </c>
      <c r="AI27" s="35">
        <f>1E-26/2000</f>
        <v>0</v>
      </c>
      <c r="AJ27" s="15">
        <f t="shared" si="17"/>
        <v>0.9938650633</v>
      </c>
      <c r="AK27" s="34">
        <v>0.0</v>
      </c>
      <c r="AL27" s="15">
        <f t="shared" si="18"/>
        <v>1</v>
      </c>
      <c r="AM27" s="36">
        <f t="shared" si="19"/>
        <v>0</v>
      </c>
      <c r="AN27" s="15">
        <f t="shared" si="20"/>
        <v>0.9738785175</v>
      </c>
      <c r="AO27" s="36">
        <f t="shared" si="21"/>
        <v>0</v>
      </c>
      <c r="AP27" s="15">
        <f t="shared" si="22"/>
        <v>1</v>
      </c>
      <c r="AQ27" s="36">
        <f t="shared" si="23"/>
        <v>0</v>
      </c>
      <c r="AR27" s="15">
        <f t="shared" si="24"/>
        <v>0.9945882581</v>
      </c>
      <c r="AS27" s="36"/>
      <c r="AT27" s="18">
        <f t="shared" si="25"/>
        <v>1255194232</v>
      </c>
      <c r="AU27" s="37">
        <f t="shared" si="26"/>
        <v>0.9499206094</v>
      </c>
      <c r="AV27" s="13">
        <f t="shared" si="27"/>
        <v>878635962.7</v>
      </c>
      <c r="AW27" s="13"/>
      <c r="AX27" s="13"/>
      <c r="AY27" s="17"/>
      <c r="AZ27" s="17"/>
      <c r="BA27" s="17">
        <f t="shared" ref="BA27:BM27" si="60">B27*$AU27*$P27*$Q27</f>
        <v>0</v>
      </c>
      <c r="BB27" s="17">
        <f t="shared" si="60"/>
        <v>0</v>
      </c>
      <c r="BC27" s="17">
        <f t="shared" si="60"/>
        <v>0</v>
      </c>
      <c r="BD27" s="17">
        <f t="shared" si="60"/>
        <v>112967480.9</v>
      </c>
      <c r="BE27" s="17">
        <f t="shared" si="60"/>
        <v>2510388.465</v>
      </c>
      <c r="BF27" s="17">
        <f t="shared" si="60"/>
        <v>0</v>
      </c>
      <c r="BG27" s="17">
        <f t="shared" si="60"/>
        <v>0</v>
      </c>
      <c r="BH27" s="17">
        <f t="shared" si="60"/>
        <v>0</v>
      </c>
      <c r="BI27" s="17">
        <f t="shared" si="60"/>
        <v>0</v>
      </c>
      <c r="BJ27" s="17">
        <f t="shared" si="60"/>
        <v>0</v>
      </c>
      <c r="BK27" s="17">
        <f t="shared" si="60"/>
        <v>0</v>
      </c>
      <c r="BL27" s="17">
        <f t="shared" si="60"/>
        <v>0</v>
      </c>
      <c r="BM27" s="17">
        <f t="shared" si="60"/>
        <v>0</v>
      </c>
      <c r="BN27" s="17"/>
      <c r="BO27" s="17"/>
      <c r="BP27" s="17"/>
      <c r="BQ27" s="17"/>
      <c r="BR27" s="17"/>
    </row>
    <row r="28" ht="15.75" customHeight="1">
      <c r="A28" s="13">
        <v>710.0</v>
      </c>
      <c r="B28" s="13">
        <v>0.0</v>
      </c>
      <c r="C28" s="13">
        <v>0.0</v>
      </c>
      <c r="D28" s="13">
        <v>0.01</v>
      </c>
      <c r="E28" s="13">
        <v>0.18</v>
      </c>
      <c r="F28" s="13">
        <v>0.0</v>
      </c>
      <c r="G28" s="13">
        <v>0.0</v>
      </c>
      <c r="H28" s="13">
        <v>0.0</v>
      </c>
      <c r="I28" s="13">
        <v>0.0</v>
      </c>
      <c r="J28" s="13">
        <v>0.0</v>
      </c>
      <c r="K28" s="13">
        <v>0.0</v>
      </c>
      <c r="L28" s="13">
        <v>0.0</v>
      </c>
      <c r="M28" s="13">
        <v>0.0</v>
      </c>
      <c r="N28" s="13">
        <v>0.01</v>
      </c>
      <c r="O28" s="13">
        <f t="shared" si="11"/>
        <v>20431918597145</v>
      </c>
      <c r="P28" s="13">
        <f t="shared" si="12"/>
        <v>1347624742</v>
      </c>
      <c r="Q28" s="13">
        <v>0.2</v>
      </c>
      <c r="R28" s="13">
        <f t="shared" ref="R28:AD28" si="61">B28*$O28*$Q28</f>
        <v>0</v>
      </c>
      <c r="S28" s="13">
        <f t="shared" si="61"/>
        <v>0</v>
      </c>
      <c r="T28" s="13">
        <f t="shared" si="61"/>
        <v>40863837194</v>
      </c>
      <c r="U28" s="13">
        <f t="shared" si="61"/>
        <v>735549069497</v>
      </c>
      <c r="V28" s="13">
        <f t="shared" si="61"/>
        <v>0</v>
      </c>
      <c r="W28" s="13">
        <f t="shared" si="61"/>
        <v>0</v>
      </c>
      <c r="X28" s="13">
        <f t="shared" si="61"/>
        <v>0</v>
      </c>
      <c r="Y28" s="13">
        <f t="shared" si="61"/>
        <v>0</v>
      </c>
      <c r="Z28" s="13">
        <f t="shared" si="61"/>
        <v>0</v>
      </c>
      <c r="AA28" s="13">
        <f t="shared" si="61"/>
        <v>0</v>
      </c>
      <c r="AB28" s="13">
        <f t="shared" si="61"/>
        <v>0</v>
      </c>
      <c r="AC28" s="13">
        <f t="shared" si="61"/>
        <v>0</v>
      </c>
      <c r="AD28" s="13">
        <f t="shared" si="61"/>
        <v>40863837194</v>
      </c>
      <c r="AE28" s="34">
        <v>9.039517915585226E-26</v>
      </c>
      <c r="AF28" s="13">
        <f t="shared" si="14"/>
        <v>0.9845449238</v>
      </c>
      <c r="AG28" s="35">
        <f t="shared" si="15"/>
        <v>0</v>
      </c>
      <c r="AH28" s="13">
        <f t="shared" si="16"/>
        <v>0.999981741</v>
      </c>
      <c r="AI28" s="35">
        <f>8E-26/2000</f>
        <v>0</v>
      </c>
      <c r="AJ28" s="15">
        <f t="shared" si="17"/>
        <v>0.9519615228</v>
      </c>
      <c r="AK28" s="34">
        <v>0.0</v>
      </c>
      <c r="AL28" s="15">
        <f t="shared" si="18"/>
        <v>1</v>
      </c>
      <c r="AM28" s="36">
        <f t="shared" si="19"/>
        <v>0</v>
      </c>
      <c r="AN28" s="15">
        <f t="shared" si="20"/>
        <v>0.9723964335</v>
      </c>
      <c r="AO28" s="36">
        <f t="shared" si="21"/>
        <v>0</v>
      </c>
      <c r="AP28" s="15">
        <f t="shared" si="22"/>
        <v>1</v>
      </c>
      <c r="AQ28" s="36">
        <f t="shared" si="23"/>
        <v>0</v>
      </c>
      <c r="AR28" s="15">
        <f t="shared" si="24"/>
        <v>0.9942777618</v>
      </c>
      <c r="AS28" s="36"/>
      <c r="AT28" s="18">
        <f t="shared" si="25"/>
        <v>1221144512</v>
      </c>
      <c r="AU28" s="37">
        <f t="shared" si="26"/>
        <v>0.9061458084</v>
      </c>
      <c r="AV28" s="13">
        <f t="shared" si="27"/>
        <v>854801158.2</v>
      </c>
      <c r="AW28" s="13"/>
      <c r="AX28" s="13"/>
      <c r="AY28" s="17"/>
      <c r="AZ28" s="17"/>
      <c r="BA28" s="17">
        <f t="shared" ref="BA28:BM28" si="62">B28*$AU28*$P28*$Q28</f>
        <v>0</v>
      </c>
      <c r="BB28" s="17">
        <f t="shared" si="62"/>
        <v>0</v>
      </c>
      <c r="BC28" s="17">
        <f t="shared" si="62"/>
        <v>2442289.023</v>
      </c>
      <c r="BD28" s="17">
        <f t="shared" si="62"/>
        <v>43961202.42</v>
      </c>
      <c r="BE28" s="17">
        <f t="shared" si="62"/>
        <v>0</v>
      </c>
      <c r="BF28" s="17">
        <f t="shared" si="62"/>
        <v>0</v>
      </c>
      <c r="BG28" s="17">
        <f t="shared" si="62"/>
        <v>0</v>
      </c>
      <c r="BH28" s="17">
        <f t="shared" si="62"/>
        <v>0</v>
      </c>
      <c r="BI28" s="17">
        <f t="shared" si="62"/>
        <v>0</v>
      </c>
      <c r="BJ28" s="17">
        <f t="shared" si="62"/>
        <v>0</v>
      </c>
      <c r="BK28" s="17">
        <f t="shared" si="62"/>
        <v>0</v>
      </c>
      <c r="BL28" s="17">
        <f t="shared" si="62"/>
        <v>0</v>
      </c>
      <c r="BM28" s="17">
        <f t="shared" si="62"/>
        <v>2442289.023</v>
      </c>
      <c r="BN28" s="17"/>
      <c r="BO28" s="17"/>
      <c r="BP28" s="17"/>
      <c r="BQ28" s="17"/>
      <c r="BR28" s="17"/>
    </row>
    <row r="29" ht="15.75" customHeight="1">
      <c r="A29" s="13">
        <v>700.0</v>
      </c>
      <c r="B29" s="13">
        <v>0.0</v>
      </c>
      <c r="C29" s="13">
        <v>0.0</v>
      </c>
      <c r="D29" s="13">
        <v>0.1</v>
      </c>
      <c r="E29" s="13">
        <v>0.03</v>
      </c>
      <c r="F29" s="13">
        <v>0.0</v>
      </c>
      <c r="G29" s="13">
        <v>0.0</v>
      </c>
      <c r="H29" s="13">
        <v>0.0</v>
      </c>
      <c r="I29" s="13">
        <v>0.0</v>
      </c>
      <c r="J29" s="13">
        <v>0.0</v>
      </c>
      <c r="K29" s="13">
        <v>0.0</v>
      </c>
      <c r="L29" s="13">
        <v>0.0</v>
      </c>
      <c r="M29" s="13">
        <v>0.0</v>
      </c>
      <c r="N29" s="13">
        <v>0.06</v>
      </c>
      <c r="O29" s="13">
        <f t="shared" si="11"/>
        <v>20830321338513</v>
      </c>
      <c r="P29" s="13">
        <f t="shared" si="12"/>
        <v>1373902127</v>
      </c>
      <c r="Q29" s="13">
        <v>0.2</v>
      </c>
      <c r="R29" s="13">
        <f t="shared" ref="R29:AD29" si="63">B29*$O29*$Q29</f>
        <v>0</v>
      </c>
      <c r="S29" s="13">
        <f t="shared" si="63"/>
        <v>0</v>
      </c>
      <c r="T29" s="13">
        <f t="shared" si="63"/>
        <v>416606426770</v>
      </c>
      <c r="U29" s="13">
        <f t="shared" si="63"/>
        <v>124981928031</v>
      </c>
      <c r="V29" s="13">
        <f t="shared" si="63"/>
        <v>0</v>
      </c>
      <c r="W29" s="13">
        <f t="shared" si="63"/>
        <v>0</v>
      </c>
      <c r="X29" s="13">
        <f t="shared" si="63"/>
        <v>0</v>
      </c>
      <c r="Y29" s="13">
        <f t="shared" si="63"/>
        <v>0</v>
      </c>
      <c r="Z29" s="13">
        <f t="shared" si="63"/>
        <v>0</v>
      </c>
      <c r="AA29" s="13">
        <f t="shared" si="63"/>
        <v>0</v>
      </c>
      <c r="AB29" s="13">
        <f t="shared" si="63"/>
        <v>0</v>
      </c>
      <c r="AC29" s="13">
        <f t="shared" si="63"/>
        <v>0</v>
      </c>
      <c r="AD29" s="13">
        <f t="shared" si="63"/>
        <v>249963856062</v>
      </c>
      <c r="AE29" s="34">
        <v>1.0576235961234714E-25</v>
      </c>
      <c r="AF29" s="13">
        <f t="shared" si="14"/>
        <v>0.9819414177</v>
      </c>
      <c r="AG29" s="35">
        <f t="shared" si="15"/>
        <v>0</v>
      </c>
      <c r="AH29" s="13">
        <f t="shared" si="16"/>
        <v>0.9999781806</v>
      </c>
      <c r="AI29" s="35">
        <f>1.1E-25/2000</f>
        <v>0</v>
      </c>
      <c r="AJ29" s="15">
        <f t="shared" si="17"/>
        <v>0.93454812</v>
      </c>
      <c r="AK29" s="34">
        <v>3.0E-31</v>
      </c>
      <c r="AL29" s="15">
        <f t="shared" si="18"/>
        <v>0.9888381697</v>
      </c>
      <c r="AM29" s="36">
        <f t="shared" si="19"/>
        <v>0</v>
      </c>
      <c r="AN29" s="15">
        <f t="shared" si="20"/>
        <v>0.9708087098</v>
      </c>
      <c r="AO29" s="36">
        <f t="shared" si="21"/>
        <v>0</v>
      </c>
      <c r="AP29" s="15">
        <f t="shared" si="22"/>
        <v>1</v>
      </c>
      <c r="AQ29" s="36">
        <f t="shared" si="23"/>
        <v>0</v>
      </c>
      <c r="AR29" s="15">
        <f t="shared" si="24"/>
        <v>0.9939447164</v>
      </c>
      <c r="AS29" s="36"/>
      <c r="AT29" s="18">
        <f t="shared" si="25"/>
        <v>1202969682</v>
      </c>
      <c r="AU29" s="37">
        <f t="shared" si="26"/>
        <v>0.875586156</v>
      </c>
      <c r="AV29" s="13">
        <f t="shared" si="27"/>
        <v>842078777.7</v>
      </c>
      <c r="AW29" s="13"/>
      <c r="AX29" s="13"/>
      <c r="AY29" s="17"/>
      <c r="AZ29" s="17"/>
      <c r="BA29" s="17">
        <f t="shared" ref="BA29:BM29" si="64">B29*$AU29*$P29*$Q29</f>
        <v>0</v>
      </c>
      <c r="BB29" s="17">
        <f t="shared" si="64"/>
        <v>0</v>
      </c>
      <c r="BC29" s="17">
        <f t="shared" si="64"/>
        <v>24059393.65</v>
      </c>
      <c r="BD29" s="17">
        <f t="shared" si="64"/>
        <v>7217818.095</v>
      </c>
      <c r="BE29" s="17">
        <f t="shared" si="64"/>
        <v>0</v>
      </c>
      <c r="BF29" s="17">
        <f t="shared" si="64"/>
        <v>0</v>
      </c>
      <c r="BG29" s="17">
        <f t="shared" si="64"/>
        <v>0</v>
      </c>
      <c r="BH29" s="17">
        <f t="shared" si="64"/>
        <v>0</v>
      </c>
      <c r="BI29" s="17">
        <f t="shared" si="64"/>
        <v>0</v>
      </c>
      <c r="BJ29" s="17">
        <f t="shared" si="64"/>
        <v>0</v>
      </c>
      <c r="BK29" s="17">
        <f t="shared" si="64"/>
        <v>0</v>
      </c>
      <c r="BL29" s="17">
        <f t="shared" si="64"/>
        <v>0</v>
      </c>
      <c r="BM29" s="17">
        <f t="shared" si="64"/>
        <v>14435636.19</v>
      </c>
      <c r="BN29" s="17"/>
      <c r="BO29" s="17"/>
      <c r="BP29" s="17"/>
      <c r="BQ29" s="17"/>
      <c r="BR29" s="17"/>
    </row>
    <row r="30" ht="15.75" customHeight="1">
      <c r="A30" s="13">
        <v>690.0</v>
      </c>
      <c r="B30" s="13">
        <v>0.0</v>
      </c>
      <c r="C30" s="13">
        <v>0.0</v>
      </c>
      <c r="D30" s="13">
        <v>0.35</v>
      </c>
      <c r="E30" s="13">
        <v>0.0</v>
      </c>
      <c r="F30" s="13">
        <v>0.0</v>
      </c>
      <c r="G30" s="13">
        <v>0.0</v>
      </c>
      <c r="H30" s="13">
        <v>0.0</v>
      </c>
      <c r="I30" s="13">
        <v>0.0</v>
      </c>
      <c r="J30" s="13">
        <v>0.0</v>
      </c>
      <c r="K30" s="13">
        <v>0.0</v>
      </c>
      <c r="L30" s="13">
        <v>0.0</v>
      </c>
      <c r="M30" s="13">
        <v>0.0</v>
      </c>
      <c r="N30" s="13">
        <v>0.2</v>
      </c>
      <c r="O30" s="13">
        <f t="shared" si="11"/>
        <v>21228077654277</v>
      </c>
      <c r="P30" s="13">
        <f t="shared" si="12"/>
        <v>1400136876</v>
      </c>
      <c r="Q30" s="13">
        <v>0.2</v>
      </c>
      <c r="R30" s="13">
        <f t="shared" ref="R30:AD30" si="65">B30*$O30*$Q30</f>
        <v>0</v>
      </c>
      <c r="S30" s="13">
        <f t="shared" si="65"/>
        <v>0</v>
      </c>
      <c r="T30" s="13">
        <f t="shared" si="65"/>
        <v>1485965435799</v>
      </c>
      <c r="U30" s="13">
        <f t="shared" si="65"/>
        <v>0</v>
      </c>
      <c r="V30" s="13">
        <f t="shared" si="65"/>
        <v>0</v>
      </c>
      <c r="W30" s="13">
        <f t="shared" si="65"/>
        <v>0</v>
      </c>
      <c r="X30" s="13">
        <f t="shared" si="65"/>
        <v>0</v>
      </c>
      <c r="Y30" s="13">
        <f t="shared" si="65"/>
        <v>0</v>
      </c>
      <c r="Z30" s="13">
        <f t="shared" si="65"/>
        <v>0</v>
      </c>
      <c r="AA30" s="13">
        <f t="shared" si="65"/>
        <v>0</v>
      </c>
      <c r="AB30" s="13">
        <f t="shared" si="65"/>
        <v>0</v>
      </c>
      <c r="AC30" s="13">
        <f t="shared" si="65"/>
        <v>0</v>
      </c>
      <c r="AD30" s="13">
        <f t="shared" si="65"/>
        <v>849123106171</v>
      </c>
      <c r="AE30" s="34">
        <v>1.2374196074644615E-25</v>
      </c>
      <c r="AF30" s="13">
        <f t="shared" si="14"/>
        <v>0.978904054</v>
      </c>
      <c r="AG30" s="35">
        <f t="shared" si="15"/>
        <v>0</v>
      </c>
      <c r="AH30" s="13">
        <f t="shared" si="16"/>
        <v>0.9999739259</v>
      </c>
      <c r="AI30" s="35">
        <f>1E-26/2000</f>
        <v>0</v>
      </c>
      <c r="AJ30" s="15">
        <f t="shared" si="17"/>
        <v>0.9938650633</v>
      </c>
      <c r="AK30" s="34">
        <v>3.0000000000000003E-30</v>
      </c>
      <c r="AL30" s="15">
        <f t="shared" si="18"/>
        <v>0.8938244302</v>
      </c>
      <c r="AM30" s="36">
        <f t="shared" si="19"/>
        <v>0</v>
      </c>
      <c r="AN30" s="15">
        <f t="shared" si="20"/>
        <v>0.9691063016</v>
      </c>
      <c r="AO30" s="36">
        <f t="shared" si="21"/>
        <v>0</v>
      </c>
      <c r="AP30" s="15">
        <f t="shared" si="22"/>
        <v>1</v>
      </c>
      <c r="AQ30" s="36">
        <f t="shared" si="23"/>
        <v>0</v>
      </c>
      <c r="AR30" s="15">
        <f t="shared" si="24"/>
        <v>0.993587133</v>
      </c>
      <c r="AS30" s="36"/>
      <c r="AT30" s="18">
        <f t="shared" si="25"/>
        <v>1172347384</v>
      </c>
      <c r="AU30" s="37">
        <f t="shared" si="26"/>
        <v>0.8373091256</v>
      </c>
      <c r="AV30" s="13">
        <f t="shared" si="27"/>
        <v>820643168.5</v>
      </c>
      <c r="AW30" s="13"/>
      <c r="AX30" s="13"/>
      <c r="AY30" s="17"/>
      <c r="AZ30" s="17"/>
      <c r="BA30" s="17">
        <f t="shared" ref="BA30:BM30" si="66">B30*$AU30*$P30*$Q30</f>
        <v>0</v>
      </c>
      <c r="BB30" s="17">
        <f t="shared" si="66"/>
        <v>0</v>
      </c>
      <c r="BC30" s="17">
        <f t="shared" si="66"/>
        <v>82064316.85</v>
      </c>
      <c r="BD30" s="17">
        <f t="shared" si="66"/>
        <v>0</v>
      </c>
      <c r="BE30" s="17">
        <f t="shared" si="66"/>
        <v>0</v>
      </c>
      <c r="BF30" s="17">
        <f t="shared" si="66"/>
        <v>0</v>
      </c>
      <c r="BG30" s="17">
        <f t="shared" si="66"/>
        <v>0</v>
      </c>
      <c r="BH30" s="17">
        <f t="shared" si="66"/>
        <v>0</v>
      </c>
      <c r="BI30" s="17">
        <f t="shared" si="66"/>
        <v>0</v>
      </c>
      <c r="BJ30" s="17">
        <f t="shared" si="66"/>
        <v>0</v>
      </c>
      <c r="BK30" s="17">
        <f t="shared" si="66"/>
        <v>0</v>
      </c>
      <c r="BL30" s="17">
        <f t="shared" si="66"/>
        <v>0</v>
      </c>
      <c r="BM30" s="17">
        <f t="shared" si="66"/>
        <v>46893895.34</v>
      </c>
      <c r="BN30" s="17"/>
      <c r="BO30" s="17"/>
      <c r="BP30" s="17"/>
      <c r="BQ30" s="17"/>
      <c r="BR30" s="17"/>
    </row>
    <row r="31" ht="15.75" customHeight="1">
      <c r="A31" s="13">
        <v>680.0</v>
      </c>
      <c r="B31" s="13">
        <v>0.0</v>
      </c>
      <c r="C31" s="13">
        <v>0.0</v>
      </c>
      <c r="D31" s="13">
        <v>1.0</v>
      </c>
      <c r="E31" s="13">
        <v>0.0</v>
      </c>
      <c r="F31" s="13">
        <v>0.0</v>
      </c>
      <c r="G31" s="13">
        <v>0.0</v>
      </c>
      <c r="H31" s="13">
        <v>0.0</v>
      </c>
      <c r="I31" s="13">
        <v>0.0</v>
      </c>
      <c r="J31" s="13">
        <v>0.0</v>
      </c>
      <c r="K31" s="13">
        <v>0.0</v>
      </c>
      <c r="L31" s="13">
        <v>0.0</v>
      </c>
      <c r="M31" s="13">
        <v>0.0</v>
      </c>
      <c r="N31" s="13">
        <v>0.3</v>
      </c>
      <c r="O31" s="13">
        <f t="shared" si="11"/>
        <v>21624130051952</v>
      </c>
      <c r="P31" s="13">
        <f t="shared" si="12"/>
        <v>1426259240</v>
      </c>
      <c r="Q31" s="13">
        <v>0.2</v>
      </c>
      <c r="R31" s="13">
        <f t="shared" ref="R31:AD31" si="67">B31*$O31*$Q31</f>
        <v>0</v>
      </c>
      <c r="S31" s="13">
        <f t="shared" si="67"/>
        <v>0</v>
      </c>
      <c r="T31" s="13">
        <f t="shared" si="67"/>
        <v>4324826010390</v>
      </c>
      <c r="U31" s="13">
        <f t="shared" si="67"/>
        <v>0</v>
      </c>
      <c r="V31" s="13">
        <f t="shared" si="67"/>
        <v>0</v>
      </c>
      <c r="W31" s="13">
        <f t="shared" si="67"/>
        <v>0</v>
      </c>
      <c r="X31" s="13">
        <f t="shared" si="67"/>
        <v>0</v>
      </c>
      <c r="Y31" s="13">
        <f t="shared" si="67"/>
        <v>0</v>
      </c>
      <c r="Z31" s="13">
        <f t="shared" si="67"/>
        <v>0</v>
      </c>
      <c r="AA31" s="13">
        <f t="shared" si="67"/>
        <v>0</v>
      </c>
      <c r="AB31" s="13">
        <f t="shared" si="67"/>
        <v>0</v>
      </c>
      <c r="AC31" s="13">
        <f t="shared" si="67"/>
        <v>0</v>
      </c>
      <c r="AD31" s="13">
        <f t="shared" si="67"/>
        <v>1297447803117</v>
      </c>
      <c r="AE31" s="34">
        <v>1.4477809407334198E-25</v>
      </c>
      <c r="AF31" s="13">
        <f t="shared" si="14"/>
        <v>0.9753622631</v>
      </c>
      <c r="AG31" s="35">
        <f t="shared" si="15"/>
        <v>0</v>
      </c>
      <c r="AH31" s="13">
        <f t="shared" si="16"/>
        <v>0.9999688415</v>
      </c>
      <c r="AI31" s="35">
        <v>0.0</v>
      </c>
      <c r="AJ31" s="15">
        <f t="shared" si="17"/>
        <v>1</v>
      </c>
      <c r="AK31" s="34">
        <v>0.0</v>
      </c>
      <c r="AL31" s="15">
        <f t="shared" si="18"/>
        <v>1</v>
      </c>
      <c r="AM31" s="36">
        <f t="shared" si="19"/>
        <v>0</v>
      </c>
      <c r="AN31" s="15">
        <f t="shared" si="20"/>
        <v>0.9672792649</v>
      </c>
      <c r="AO31" s="36">
        <f t="shared" si="21"/>
        <v>0</v>
      </c>
      <c r="AP31" s="15">
        <f t="shared" si="22"/>
        <v>1</v>
      </c>
      <c r="AQ31" s="36">
        <f t="shared" si="23"/>
        <v>0</v>
      </c>
      <c r="AR31" s="15">
        <f t="shared" si="24"/>
        <v>0.993202816</v>
      </c>
      <c r="AS31" s="36"/>
      <c r="AT31" s="18">
        <f t="shared" si="25"/>
        <v>1336413050</v>
      </c>
      <c r="AU31" s="37">
        <f t="shared" si="26"/>
        <v>0.9370057086</v>
      </c>
      <c r="AV31" s="13">
        <f t="shared" si="27"/>
        <v>935489135</v>
      </c>
      <c r="AW31" s="13" t="str">
        <f>T5</f>
        <v>#REF!</v>
      </c>
      <c r="AX31" s="13">
        <f>BC5</f>
        <v>17431.48089</v>
      </c>
      <c r="AY31" s="17">
        <f>AX31*$BO$4</f>
        <v>12202.03662</v>
      </c>
      <c r="AZ31" s="17" t="str">
        <f>T4</f>
        <v>#REF!</v>
      </c>
      <c r="BA31" s="17">
        <f t="shared" ref="BA31:BM31" si="68">B31*$AU31*$P31*$Q31</f>
        <v>0</v>
      </c>
      <c r="BB31" s="17">
        <f t="shared" si="68"/>
        <v>0</v>
      </c>
      <c r="BC31" s="17">
        <f t="shared" si="68"/>
        <v>267282610</v>
      </c>
      <c r="BD31" s="17">
        <f t="shared" si="68"/>
        <v>0</v>
      </c>
      <c r="BE31" s="17">
        <f t="shared" si="68"/>
        <v>0</v>
      </c>
      <c r="BF31" s="17">
        <f t="shared" si="68"/>
        <v>0</v>
      </c>
      <c r="BG31" s="17">
        <f t="shared" si="68"/>
        <v>0</v>
      </c>
      <c r="BH31" s="17">
        <f t="shared" si="68"/>
        <v>0</v>
      </c>
      <c r="BI31" s="17">
        <f t="shared" si="68"/>
        <v>0</v>
      </c>
      <c r="BJ31" s="17">
        <f t="shared" si="68"/>
        <v>0</v>
      </c>
      <c r="BK31" s="17">
        <f t="shared" si="68"/>
        <v>0</v>
      </c>
      <c r="BL31" s="17">
        <f t="shared" si="68"/>
        <v>0</v>
      </c>
      <c r="BM31" s="17">
        <f t="shared" si="68"/>
        <v>80184783</v>
      </c>
      <c r="BN31" s="17"/>
      <c r="BO31" s="17">
        <f>AX31*$BO$4</f>
        <v>12202.03662</v>
      </c>
      <c r="BP31" s="17" t="str">
        <f>(BO31-AW31)^2</f>
        <v>#REF!</v>
      </c>
      <c r="BQ31" s="17"/>
      <c r="BR31" s="17"/>
    </row>
    <row r="32" ht="15.75" customHeight="1">
      <c r="A32" s="13">
        <v>670.0</v>
      </c>
      <c r="B32" s="13">
        <v>0.0</v>
      </c>
      <c r="C32" s="13">
        <v>0.0</v>
      </c>
      <c r="D32" s="13">
        <v>0.35</v>
      </c>
      <c r="E32" s="13">
        <v>0.0</v>
      </c>
      <c r="F32" s="13">
        <v>0.0</v>
      </c>
      <c r="G32" s="13">
        <v>0.0</v>
      </c>
      <c r="H32" s="13">
        <v>0.0</v>
      </c>
      <c r="I32" s="13">
        <v>0.0</v>
      </c>
      <c r="J32" s="13">
        <v>0.0</v>
      </c>
      <c r="K32" s="13">
        <v>0.0</v>
      </c>
      <c r="L32" s="13">
        <v>0.0</v>
      </c>
      <c r="M32" s="13">
        <v>0.0</v>
      </c>
      <c r="N32" s="13">
        <v>0.6</v>
      </c>
      <c r="O32" s="13">
        <f t="shared" si="11"/>
        <v>22017307547542</v>
      </c>
      <c r="P32" s="13">
        <f t="shared" si="12"/>
        <v>1452191984</v>
      </c>
      <c r="Q32" s="13">
        <v>0.2</v>
      </c>
      <c r="R32" s="13">
        <f t="shared" ref="R32:AD32" si="69">B32*$O32*$Q32</f>
        <v>0</v>
      </c>
      <c r="S32" s="13">
        <f t="shared" si="69"/>
        <v>0</v>
      </c>
      <c r="T32" s="13">
        <f t="shared" si="69"/>
        <v>1541211528328</v>
      </c>
      <c r="U32" s="13">
        <f t="shared" si="69"/>
        <v>0</v>
      </c>
      <c r="V32" s="13">
        <f t="shared" si="69"/>
        <v>0</v>
      </c>
      <c r="W32" s="13">
        <f t="shared" si="69"/>
        <v>0</v>
      </c>
      <c r="X32" s="13">
        <f t="shared" si="69"/>
        <v>0</v>
      </c>
      <c r="Y32" s="13">
        <f t="shared" si="69"/>
        <v>0</v>
      </c>
      <c r="Z32" s="13">
        <f t="shared" si="69"/>
        <v>0</v>
      </c>
      <c r="AA32" s="13">
        <f t="shared" si="69"/>
        <v>0</v>
      </c>
      <c r="AB32" s="13">
        <f t="shared" si="69"/>
        <v>0</v>
      </c>
      <c r="AC32" s="13">
        <f t="shared" si="69"/>
        <v>0</v>
      </c>
      <c r="AD32" s="13">
        <f t="shared" si="69"/>
        <v>2642076905705</v>
      </c>
      <c r="AE32" s="34">
        <v>1.693903700658101E-25</v>
      </c>
      <c r="AF32" s="13">
        <f t="shared" si="14"/>
        <v>0.971234632</v>
      </c>
      <c r="AG32" s="35">
        <f t="shared" si="15"/>
        <v>0</v>
      </c>
      <c r="AH32" s="13">
        <f t="shared" si="16"/>
        <v>0.9999627657</v>
      </c>
      <c r="AI32" s="35">
        <v>0.0</v>
      </c>
      <c r="AJ32" s="15">
        <f t="shared" si="17"/>
        <v>1</v>
      </c>
      <c r="AK32" s="34">
        <v>0.0</v>
      </c>
      <c r="AL32" s="15">
        <f t="shared" si="18"/>
        <v>1</v>
      </c>
      <c r="AM32" s="36">
        <f t="shared" si="19"/>
        <v>0</v>
      </c>
      <c r="AN32" s="15">
        <f t="shared" si="20"/>
        <v>0.9653166552</v>
      </c>
      <c r="AO32" s="36">
        <f t="shared" si="21"/>
        <v>0</v>
      </c>
      <c r="AP32" s="15">
        <f t="shared" si="22"/>
        <v>1</v>
      </c>
      <c r="AQ32" s="36">
        <f t="shared" si="23"/>
        <v>0</v>
      </c>
      <c r="AR32" s="15">
        <f t="shared" si="24"/>
        <v>0.9927893377</v>
      </c>
      <c r="AS32" s="36"/>
      <c r="AT32" s="18">
        <f t="shared" si="25"/>
        <v>1351633440</v>
      </c>
      <c r="AU32" s="37">
        <f t="shared" si="26"/>
        <v>0.9307539602</v>
      </c>
      <c r="AV32" s="13">
        <f t="shared" si="27"/>
        <v>946143408.3</v>
      </c>
      <c r="AW32" s="13"/>
      <c r="AX32" s="13"/>
      <c r="AY32" s="17"/>
      <c r="AZ32" s="17"/>
      <c r="BA32" s="17">
        <f t="shared" ref="BA32:BM32" si="70">B32*$AU32*$P32*$Q32</f>
        <v>0</v>
      </c>
      <c r="BB32" s="17">
        <f t="shared" si="70"/>
        <v>0</v>
      </c>
      <c r="BC32" s="17">
        <f t="shared" si="70"/>
        <v>94614340.83</v>
      </c>
      <c r="BD32" s="17">
        <f t="shared" si="70"/>
        <v>0</v>
      </c>
      <c r="BE32" s="17">
        <f t="shared" si="70"/>
        <v>0</v>
      </c>
      <c r="BF32" s="17">
        <f t="shared" si="70"/>
        <v>0</v>
      </c>
      <c r="BG32" s="17">
        <f t="shared" si="70"/>
        <v>0</v>
      </c>
      <c r="BH32" s="17">
        <f t="shared" si="70"/>
        <v>0</v>
      </c>
      <c r="BI32" s="17">
        <f t="shared" si="70"/>
        <v>0</v>
      </c>
      <c r="BJ32" s="17">
        <f t="shared" si="70"/>
        <v>0</v>
      </c>
      <c r="BK32" s="17">
        <f t="shared" si="70"/>
        <v>0</v>
      </c>
      <c r="BL32" s="17">
        <f t="shared" si="70"/>
        <v>0</v>
      </c>
      <c r="BM32" s="17">
        <f t="shared" si="70"/>
        <v>162196012.9</v>
      </c>
      <c r="BN32" s="17"/>
      <c r="BO32" s="17"/>
      <c r="BP32" s="17"/>
      <c r="BQ32" s="17"/>
      <c r="BR32" s="17"/>
    </row>
    <row r="33" ht="15.75" customHeight="1">
      <c r="A33" s="13">
        <v>660.0</v>
      </c>
      <c r="B33" s="13">
        <v>0.0</v>
      </c>
      <c r="C33" s="13">
        <v>0.0</v>
      </c>
      <c r="D33" s="13">
        <v>0.12</v>
      </c>
      <c r="E33" s="13">
        <v>0.0</v>
      </c>
      <c r="F33" s="13">
        <v>0.0</v>
      </c>
      <c r="G33" s="13">
        <v>0.0</v>
      </c>
      <c r="H33" s="13">
        <v>0.0</v>
      </c>
      <c r="I33" s="13">
        <v>0.0</v>
      </c>
      <c r="J33" s="13">
        <v>0.0</v>
      </c>
      <c r="K33" s="13">
        <v>0.0</v>
      </c>
      <c r="L33" s="13">
        <v>0.0</v>
      </c>
      <c r="M33" s="13">
        <v>0.0</v>
      </c>
      <c r="N33" s="13">
        <v>0.85</v>
      </c>
      <c r="O33" s="13">
        <f t="shared" si="11"/>
        <v>22406317392853</v>
      </c>
      <c r="P33" s="13">
        <f t="shared" si="12"/>
        <v>1477849844</v>
      </c>
      <c r="Q33" s="13">
        <v>0.2</v>
      </c>
      <c r="R33" s="13">
        <f t="shared" ref="R33:AD33" si="71">B33*$O33*$Q33</f>
        <v>0</v>
      </c>
      <c r="S33" s="13">
        <f t="shared" si="71"/>
        <v>0</v>
      </c>
      <c r="T33" s="13">
        <f t="shared" si="71"/>
        <v>537751617428</v>
      </c>
      <c r="U33" s="13">
        <f t="shared" si="71"/>
        <v>0</v>
      </c>
      <c r="V33" s="13">
        <f t="shared" si="71"/>
        <v>0</v>
      </c>
      <c r="W33" s="13">
        <f t="shared" si="71"/>
        <v>0</v>
      </c>
      <c r="X33" s="13">
        <f t="shared" si="71"/>
        <v>0</v>
      </c>
      <c r="Y33" s="13">
        <f t="shared" si="71"/>
        <v>0</v>
      </c>
      <c r="Z33" s="13">
        <f t="shared" si="71"/>
        <v>0</v>
      </c>
      <c r="AA33" s="13">
        <f t="shared" si="71"/>
        <v>0</v>
      </c>
      <c r="AB33" s="13">
        <f t="shared" si="71"/>
        <v>0</v>
      </c>
      <c r="AC33" s="13">
        <f t="shared" si="71"/>
        <v>0</v>
      </c>
      <c r="AD33" s="13">
        <f t="shared" si="71"/>
        <v>3809073956785</v>
      </c>
      <c r="AE33" s="34">
        <v>1.9818673297699782E-25</v>
      </c>
      <c r="AF33" s="13">
        <f t="shared" si="14"/>
        <v>0.9664274726</v>
      </c>
      <c r="AG33" s="35">
        <f t="shared" si="15"/>
        <v>0</v>
      </c>
      <c r="AH33" s="13">
        <f t="shared" si="16"/>
        <v>0.9999555052</v>
      </c>
      <c r="AI33" s="35">
        <f>4E-26/2000</f>
        <v>0</v>
      </c>
      <c r="AJ33" s="15">
        <f t="shared" si="17"/>
        <v>0.9756851556</v>
      </c>
      <c r="AK33" s="34">
        <v>0.0</v>
      </c>
      <c r="AL33" s="15">
        <f t="shared" si="18"/>
        <v>1</v>
      </c>
      <c r="AM33" s="36">
        <f t="shared" si="19"/>
        <v>0</v>
      </c>
      <c r="AN33" s="15">
        <f t="shared" si="20"/>
        <v>0.9632064148</v>
      </c>
      <c r="AO33" s="36">
        <f t="shared" si="21"/>
        <v>0</v>
      </c>
      <c r="AP33" s="15">
        <f t="shared" si="22"/>
        <v>1</v>
      </c>
      <c r="AQ33" s="36">
        <f t="shared" si="23"/>
        <v>0</v>
      </c>
      <c r="AR33" s="15">
        <f t="shared" si="24"/>
        <v>0.9923440107</v>
      </c>
      <c r="AS33" s="36"/>
      <c r="AT33" s="18">
        <f t="shared" si="25"/>
        <v>1331899848</v>
      </c>
      <c r="AU33" s="37">
        <f t="shared" si="26"/>
        <v>0.9012416613</v>
      </c>
      <c r="AV33" s="13">
        <f t="shared" si="27"/>
        <v>932329893.9</v>
      </c>
      <c r="AW33" s="13"/>
      <c r="AX33" s="13"/>
      <c r="AY33" s="17"/>
      <c r="AZ33" s="17"/>
      <c r="BA33" s="17">
        <f t="shared" ref="BA33:BM33" si="72">B33*$AU33*$P33*$Q33</f>
        <v>0</v>
      </c>
      <c r="BB33" s="17">
        <f t="shared" si="72"/>
        <v>0</v>
      </c>
      <c r="BC33" s="17">
        <f t="shared" si="72"/>
        <v>31965596.36</v>
      </c>
      <c r="BD33" s="17">
        <f t="shared" si="72"/>
        <v>0</v>
      </c>
      <c r="BE33" s="17">
        <f t="shared" si="72"/>
        <v>0</v>
      </c>
      <c r="BF33" s="17">
        <f t="shared" si="72"/>
        <v>0</v>
      </c>
      <c r="BG33" s="17">
        <f t="shared" si="72"/>
        <v>0</v>
      </c>
      <c r="BH33" s="17">
        <f t="shared" si="72"/>
        <v>0</v>
      </c>
      <c r="BI33" s="17">
        <f t="shared" si="72"/>
        <v>0</v>
      </c>
      <c r="BJ33" s="17">
        <f t="shared" si="72"/>
        <v>0</v>
      </c>
      <c r="BK33" s="17">
        <f t="shared" si="72"/>
        <v>0</v>
      </c>
      <c r="BL33" s="17">
        <f t="shared" si="72"/>
        <v>0</v>
      </c>
      <c r="BM33" s="17">
        <f t="shared" si="72"/>
        <v>226422974.2</v>
      </c>
      <c r="BN33" s="17"/>
      <c r="BO33" s="17"/>
      <c r="BP33" s="17"/>
      <c r="BQ33" s="17"/>
      <c r="BR33" s="17"/>
    </row>
    <row r="34" ht="15.75" customHeight="1">
      <c r="A34" s="13">
        <v>650.0</v>
      </c>
      <c r="B34" s="13">
        <v>0.0</v>
      </c>
      <c r="C34" s="13">
        <v>0.0</v>
      </c>
      <c r="D34" s="13">
        <v>0.03</v>
      </c>
      <c r="E34" s="13">
        <v>0.0</v>
      </c>
      <c r="F34" s="13">
        <v>0.0</v>
      </c>
      <c r="G34" s="13">
        <v>0.0</v>
      </c>
      <c r="H34" s="13">
        <v>0.0</v>
      </c>
      <c r="I34" s="13">
        <v>0.0</v>
      </c>
      <c r="J34" s="13">
        <v>0.0</v>
      </c>
      <c r="K34" s="13">
        <v>0.0</v>
      </c>
      <c r="L34" s="13">
        <v>0.0</v>
      </c>
      <c r="M34" s="13">
        <v>0.03</v>
      </c>
      <c r="N34" s="13">
        <v>1.0</v>
      </c>
      <c r="O34" s="13">
        <f t="shared" si="11"/>
        <v>22789736587194</v>
      </c>
      <c r="P34" s="13">
        <f t="shared" si="12"/>
        <v>1503138961</v>
      </c>
      <c r="Q34" s="13">
        <v>0.2</v>
      </c>
      <c r="R34" s="13">
        <f t="shared" ref="R34:AD34" si="73">B34*$O34*$Q34</f>
        <v>0</v>
      </c>
      <c r="S34" s="13">
        <f t="shared" si="73"/>
        <v>0</v>
      </c>
      <c r="T34" s="13">
        <f t="shared" si="73"/>
        <v>136738419523</v>
      </c>
      <c r="U34" s="13">
        <f t="shared" si="73"/>
        <v>0</v>
      </c>
      <c r="V34" s="13">
        <f t="shared" si="73"/>
        <v>0</v>
      </c>
      <c r="W34" s="13">
        <f t="shared" si="73"/>
        <v>0</v>
      </c>
      <c r="X34" s="13">
        <f t="shared" si="73"/>
        <v>0</v>
      </c>
      <c r="Y34" s="13">
        <f t="shared" si="73"/>
        <v>0</v>
      </c>
      <c r="Z34" s="13">
        <f t="shared" si="73"/>
        <v>0</v>
      </c>
      <c r="AA34" s="13">
        <f t="shared" si="73"/>
        <v>0</v>
      </c>
      <c r="AB34" s="13">
        <f t="shared" si="73"/>
        <v>0</v>
      </c>
      <c r="AC34" s="13">
        <f t="shared" si="73"/>
        <v>136738419523</v>
      </c>
      <c r="AD34" s="13">
        <f t="shared" si="73"/>
        <v>4557947317439</v>
      </c>
      <c r="AE34" s="34">
        <v>2.3187847758308744E-25</v>
      </c>
      <c r="AF34" s="13">
        <f t="shared" si="14"/>
        <v>0.960833292</v>
      </c>
      <c r="AG34" s="35">
        <f t="shared" si="15"/>
        <v>0</v>
      </c>
      <c r="AH34" s="13">
        <f t="shared" si="16"/>
        <v>0.9999468289</v>
      </c>
      <c r="AI34" s="35">
        <f>5E-26/2000</f>
        <v>0</v>
      </c>
      <c r="AJ34" s="15">
        <f t="shared" si="17"/>
        <v>0.9696993889</v>
      </c>
      <c r="AK34" s="34">
        <v>0.0</v>
      </c>
      <c r="AL34" s="15">
        <f t="shared" si="18"/>
        <v>1</v>
      </c>
      <c r="AM34" s="36">
        <f t="shared" si="19"/>
        <v>0</v>
      </c>
      <c r="AN34" s="15">
        <f t="shared" si="20"/>
        <v>0.960935245</v>
      </c>
      <c r="AO34" s="36">
        <f t="shared" si="21"/>
        <v>0</v>
      </c>
      <c r="AP34" s="15">
        <f t="shared" si="22"/>
        <v>1</v>
      </c>
      <c r="AQ34" s="36">
        <f t="shared" si="23"/>
        <v>0</v>
      </c>
      <c r="AR34" s="15">
        <f t="shared" si="24"/>
        <v>0.991863855</v>
      </c>
      <c r="AS34" s="36"/>
      <c r="AT34" s="18">
        <f t="shared" si="25"/>
        <v>1334772931</v>
      </c>
      <c r="AU34" s="37">
        <f t="shared" si="26"/>
        <v>0.8879903757</v>
      </c>
      <c r="AV34" s="13">
        <f t="shared" si="27"/>
        <v>934341051.7</v>
      </c>
      <c r="AW34" s="13">
        <f>AD5</f>
        <v>23624.52153</v>
      </c>
      <c r="AX34" s="13">
        <f>BM5</f>
        <v>43794.77344</v>
      </c>
      <c r="AY34" s="17">
        <f>AX34*$BO$4</f>
        <v>30656.34141</v>
      </c>
      <c r="AZ34" s="17">
        <f>AD4</f>
        <v>5074.843885</v>
      </c>
      <c r="BA34" s="17">
        <f t="shared" ref="BA34:BM34" si="74">B34*$AU34*$P34*$Q34</f>
        <v>0</v>
      </c>
      <c r="BB34" s="17">
        <f t="shared" si="74"/>
        <v>0</v>
      </c>
      <c r="BC34" s="17">
        <f t="shared" si="74"/>
        <v>8008637.586</v>
      </c>
      <c r="BD34" s="17">
        <f t="shared" si="74"/>
        <v>0</v>
      </c>
      <c r="BE34" s="17">
        <f t="shared" si="74"/>
        <v>0</v>
      </c>
      <c r="BF34" s="17">
        <f t="shared" si="74"/>
        <v>0</v>
      </c>
      <c r="BG34" s="17">
        <f t="shared" si="74"/>
        <v>0</v>
      </c>
      <c r="BH34" s="17">
        <f t="shared" si="74"/>
        <v>0</v>
      </c>
      <c r="BI34" s="17">
        <f t="shared" si="74"/>
        <v>0</v>
      </c>
      <c r="BJ34" s="17">
        <f t="shared" si="74"/>
        <v>0</v>
      </c>
      <c r="BK34" s="17">
        <f t="shared" si="74"/>
        <v>0</v>
      </c>
      <c r="BL34" s="17">
        <f t="shared" si="74"/>
        <v>8008637.586</v>
      </c>
      <c r="BM34" s="17">
        <f t="shared" si="74"/>
        <v>266954586.2</v>
      </c>
      <c r="BN34" s="17"/>
      <c r="BO34" s="17">
        <f>AX34*$BO$4</f>
        <v>30656.34141</v>
      </c>
      <c r="BP34" s="17">
        <f>(BO34-AW34)^2</f>
        <v>49446490.84</v>
      </c>
      <c r="BQ34" s="17"/>
      <c r="BR34" s="17"/>
    </row>
    <row r="35" ht="15.75" customHeight="1">
      <c r="A35" s="13">
        <v>640.0</v>
      </c>
      <c r="B35" s="13">
        <v>0.0</v>
      </c>
      <c r="C35" s="13">
        <v>0.01</v>
      </c>
      <c r="D35" s="13">
        <v>0.0</v>
      </c>
      <c r="E35" s="13">
        <v>0.0</v>
      </c>
      <c r="F35" s="13">
        <v>0.0</v>
      </c>
      <c r="G35" s="13">
        <v>0.0</v>
      </c>
      <c r="H35" s="13">
        <v>0.0</v>
      </c>
      <c r="I35" s="13">
        <v>0.0</v>
      </c>
      <c r="J35" s="13">
        <v>0.0</v>
      </c>
      <c r="K35" s="13">
        <v>0.0</v>
      </c>
      <c r="L35" s="13">
        <v>0.0</v>
      </c>
      <c r="M35" s="13">
        <v>0.1</v>
      </c>
      <c r="N35" s="13">
        <v>0.9</v>
      </c>
      <c r="O35" s="13">
        <f t="shared" si="11"/>
        <v>23166003251754</v>
      </c>
      <c r="P35" s="13">
        <f t="shared" si="12"/>
        <v>1527956321</v>
      </c>
      <c r="Q35" s="13">
        <v>0.2</v>
      </c>
      <c r="R35" s="13">
        <f t="shared" ref="R35:AD35" si="75">B35*$O35*$Q35</f>
        <v>0</v>
      </c>
      <c r="S35" s="13">
        <f t="shared" si="75"/>
        <v>46332006504</v>
      </c>
      <c r="T35" s="13">
        <f t="shared" si="75"/>
        <v>0</v>
      </c>
      <c r="U35" s="13">
        <f t="shared" si="75"/>
        <v>0</v>
      </c>
      <c r="V35" s="13">
        <f t="shared" si="75"/>
        <v>0</v>
      </c>
      <c r="W35" s="13">
        <f t="shared" si="75"/>
        <v>0</v>
      </c>
      <c r="X35" s="13">
        <f t="shared" si="75"/>
        <v>0</v>
      </c>
      <c r="Y35" s="13">
        <f t="shared" si="75"/>
        <v>0</v>
      </c>
      <c r="Z35" s="13">
        <f t="shared" si="75"/>
        <v>0</v>
      </c>
      <c r="AA35" s="13">
        <f t="shared" si="75"/>
        <v>0</v>
      </c>
      <c r="AB35" s="13">
        <f t="shared" si="75"/>
        <v>0</v>
      </c>
      <c r="AC35" s="13">
        <f t="shared" si="75"/>
        <v>463320065035</v>
      </c>
      <c r="AD35" s="13">
        <f t="shared" si="75"/>
        <v>4169880585316</v>
      </c>
      <c r="AE35" s="34">
        <v>2.7129781877221227E-25</v>
      </c>
      <c r="AF35" s="13">
        <f t="shared" si="14"/>
        <v>0.9543291944</v>
      </c>
      <c r="AG35" s="35">
        <f t="shared" si="15"/>
        <v>0</v>
      </c>
      <c r="AH35" s="13">
        <f t="shared" si="16"/>
        <v>0.9999364609</v>
      </c>
      <c r="AI35" s="35">
        <v>0.0</v>
      </c>
      <c r="AJ35" s="15">
        <f t="shared" si="17"/>
        <v>1</v>
      </c>
      <c r="AK35" s="34">
        <v>0.0</v>
      </c>
      <c r="AL35" s="15">
        <f t="shared" si="18"/>
        <v>1</v>
      </c>
      <c r="AM35" s="36">
        <f t="shared" si="19"/>
        <v>0</v>
      </c>
      <c r="AN35" s="15">
        <f t="shared" si="20"/>
        <v>0.958488463</v>
      </c>
      <c r="AO35" s="36">
        <f t="shared" si="21"/>
        <v>0</v>
      </c>
      <c r="AP35" s="15">
        <f t="shared" si="22"/>
        <v>1</v>
      </c>
      <c r="AQ35" s="36">
        <f t="shared" si="23"/>
        <v>0</v>
      </c>
      <c r="AR35" s="15">
        <f t="shared" si="24"/>
        <v>0.991345562</v>
      </c>
      <c r="AS35" s="36"/>
      <c r="AT35" s="18">
        <f t="shared" si="25"/>
        <v>1385458464</v>
      </c>
      <c r="AU35" s="37">
        <f t="shared" si="26"/>
        <v>0.9067395742</v>
      </c>
      <c r="AV35" s="13">
        <f t="shared" si="27"/>
        <v>969820924.6</v>
      </c>
      <c r="AW35" s="13"/>
      <c r="AX35" s="13"/>
      <c r="AY35" s="17"/>
      <c r="AZ35" s="17"/>
      <c r="BA35" s="17">
        <f t="shared" ref="BA35:BM35" si="76">B35*$AU35*$P35*$Q35</f>
        <v>0</v>
      </c>
      <c r="BB35" s="17">
        <f t="shared" si="76"/>
        <v>2770916.928</v>
      </c>
      <c r="BC35" s="17">
        <f t="shared" si="76"/>
        <v>0</v>
      </c>
      <c r="BD35" s="17">
        <f t="shared" si="76"/>
        <v>0</v>
      </c>
      <c r="BE35" s="17">
        <f t="shared" si="76"/>
        <v>0</v>
      </c>
      <c r="BF35" s="17">
        <f t="shared" si="76"/>
        <v>0</v>
      </c>
      <c r="BG35" s="17">
        <f t="shared" si="76"/>
        <v>0</v>
      </c>
      <c r="BH35" s="17">
        <f t="shared" si="76"/>
        <v>0</v>
      </c>
      <c r="BI35" s="17">
        <f t="shared" si="76"/>
        <v>0</v>
      </c>
      <c r="BJ35" s="17">
        <f t="shared" si="76"/>
        <v>0</v>
      </c>
      <c r="BK35" s="17">
        <f t="shared" si="76"/>
        <v>0</v>
      </c>
      <c r="BL35" s="17">
        <f t="shared" si="76"/>
        <v>27709169.28</v>
      </c>
      <c r="BM35" s="17">
        <f t="shared" si="76"/>
        <v>249382523.5</v>
      </c>
      <c r="BN35" s="17"/>
      <c r="BO35" s="17"/>
      <c r="BP35" s="17"/>
      <c r="BQ35" s="17"/>
      <c r="BR35" s="17"/>
    </row>
    <row r="36" ht="15.75" customHeight="1">
      <c r="A36" s="13">
        <v>630.0</v>
      </c>
      <c r="B36" s="13">
        <v>0.0</v>
      </c>
      <c r="C36" s="13">
        <v>0.1</v>
      </c>
      <c r="D36" s="13">
        <v>0.0</v>
      </c>
      <c r="E36" s="13">
        <v>0.0</v>
      </c>
      <c r="F36" s="13">
        <v>0.0</v>
      </c>
      <c r="G36" s="13">
        <v>0.0</v>
      </c>
      <c r="H36" s="13">
        <v>0.0</v>
      </c>
      <c r="I36" s="13">
        <v>0.0</v>
      </c>
      <c r="J36" s="13">
        <v>0.0</v>
      </c>
      <c r="K36" s="13">
        <v>0.0</v>
      </c>
      <c r="L36" s="13">
        <v>0.0</v>
      </c>
      <c r="M36" s="13">
        <v>0.3</v>
      </c>
      <c r="N36" s="13">
        <v>0.5</v>
      </c>
      <c r="O36" s="13">
        <f t="shared" si="11"/>
        <v>23533407968028</v>
      </c>
      <c r="P36" s="13">
        <f t="shared" si="12"/>
        <v>1552189174</v>
      </c>
      <c r="Q36" s="13">
        <v>0.2</v>
      </c>
      <c r="R36" s="13">
        <f t="shared" ref="R36:AD36" si="77">B36*$O36*$Q36</f>
        <v>0</v>
      </c>
      <c r="S36" s="13">
        <f t="shared" si="77"/>
        <v>470668159361</v>
      </c>
      <c r="T36" s="13">
        <f t="shared" si="77"/>
        <v>0</v>
      </c>
      <c r="U36" s="13">
        <f t="shared" si="77"/>
        <v>0</v>
      </c>
      <c r="V36" s="13">
        <f t="shared" si="77"/>
        <v>0</v>
      </c>
      <c r="W36" s="13">
        <f t="shared" si="77"/>
        <v>0</v>
      </c>
      <c r="X36" s="13">
        <f t="shared" si="77"/>
        <v>0</v>
      </c>
      <c r="Y36" s="13">
        <f t="shared" si="77"/>
        <v>0</v>
      </c>
      <c r="Z36" s="13">
        <f t="shared" si="77"/>
        <v>0</v>
      </c>
      <c r="AA36" s="13">
        <f t="shared" si="77"/>
        <v>0</v>
      </c>
      <c r="AB36" s="13">
        <f t="shared" si="77"/>
        <v>0</v>
      </c>
      <c r="AC36" s="13">
        <f t="shared" si="77"/>
        <v>1412004478082</v>
      </c>
      <c r="AD36" s="13">
        <f t="shared" si="77"/>
        <v>2353340796803</v>
      </c>
      <c r="AE36" s="34">
        <v>3.1741844796348837E-25</v>
      </c>
      <c r="AF36" s="13">
        <f t="shared" si="14"/>
        <v>0.9467752698</v>
      </c>
      <c r="AG36" s="35">
        <f t="shared" si="15"/>
        <v>0</v>
      </c>
      <c r="AH36" s="13">
        <f t="shared" si="16"/>
        <v>0.9999240712</v>
      </c>
      <c r="AI36" s="35">
        <f>1E-26/2000</f>
        <v>0</v>
      </c>
      <c r="AJ36" s="15">
        <f t="shared" si="17"/>
        <v>0.9938650633</v>
      </c>
      <c r="AK36" s="34">
        <v>0.0</v>
      </c>
      <c r="AL36" s="15">
        <f t="shared" si="18"/>
        <v>1</v>
      </c>
      <c r="AM36" s="36">
        <f t="shared" si="19"/>
        <v>0</v>
      </c>
      <c r="AN36" s="15">
        <f t="shared" si="20"/>
        <v>0.9558498412</v>
      </c>
      <c r="AO36" s="36">
        <f t="shared" si="21"/>
        <v>0</v>
      </c>
      <c r="AP36" s="15">
        <f t="shared" si="22"/>
        <v>1</v>
      </c>
      <c r="AQ36" s="36">
        <f t="shared" si="23"/>
        <v>0</v>
      </c>
      <c r="AR36" s="15">
        <f t="shared" si="24"/>
        <v>0.9907854521</v>
      </c>
      <c r="AS36" s="36"/>
      <c r="AT36" s="18">
        <f t="shared" si="25"/>
        <v>1383105463</v>
      </c>
      <c r="AU36" s="37">
        <f t="shared" si="26"/>
        <v>0.8910675876</v>
      </c>
      <c r="AV36" s="13">
        <f t="shared" si="27"/>
        <v>968173824</v>
      </c>
      <c r="AW36" s="13"/>
      <c r="AX36" s="13"/>
      <c r="AY36" s="17"/>
      <c r="AZ36" s="17"/>
      <c r="BA36" s="17">
        <f t="shared" ref="BA36:BM36" si="78">B36*$AU36*$P36*$Q36</f>
        <v>0</v>
      </c>
      <c r="BB36" s="17">
        <f t="shared" si="78"/>
        <v>27662109.26</v>
      </c>
      <c r="BC36" s="17">
        <f t="shared" si="78"/>
        <v>0</v>
      </c>
      <c r="BD36" s="17">
        <f t="shared" si="78"/>
        <v>0</v>
      </c>
      <c r="BE36" s="17">
        <f t="shared" si="78"/>
        <v>0</v>
      </c>
      <c r="BF36" s="17">
        <f t="shared" si="78"/>
        <v>0</v>
      </c>
      <c r="BG36" s="17">
        <f t="shared" si="78"/>
        <v>0</v>
      </c>
      <c r="BH36" s="17">
        <f t="shared" si="78"/>
        <v>0</v>
      </c>
      <c r="BI36" s="17">
        <f t="shared" si="78"/>
        <v>0</v>
      </c>
      <c r="BJ36" s="17">
        <f t="shared" si="78"/>
        <v>0</v>
      </c>
      <c r="BK36" s="17">
        <f t="shared" si="78"/>
        <v>0</v>
      </c>
      <c r="BL36" s="17">
        <f t="shared" si="78"/>
        <v>82986327.78</v>
      </c>
      <c r="BM36" s="17">
        <f t="shared" si="78"/>
        <v>138310546.3</v>
      </c>
      <c r="BN36" s="17"/>
      <c r="BO36" s="17"/>
      <c r="BP36" s="17"/>
      <c r="BQ36" s="17"/>
      <c r="BR36" s="17"/>
    </row>
    <row r="37" ht="15.75" customHeight="1">
      <c r="A37" s="13">
        <v>620.0</v>
      </c>
      <c r="B37" s="13">
        <v>0.0</v>
      </c>
      <c r="C37" s="13">
        <v>0.3</v>
      </c>
      <c r="D37" s="13">
        <v>0.0</v>
      </c>
      <c r="E37" s="13">
        <v>0.0</v>
      </c>
      <c r="F37" s="13">
        <v>0.0</v>
      </c>
      <c r="G37" s="13">
        <v>0.0</v>
      </c>
      <c r="H37" s="13">
        <v>0.0</v>
      </c>
      <c r="I37" s="13">
        <v>0.0</v>
      </c>
      <c r="J37" s="13">
        <v>0.0</v>
      </c>
      <c r="K37" s="13">
        <v>0.0</v>
      </c>
      <c r="L37" s="13">
        <v>0.03</v>
      </c>
      <c r="M37" s="13">
        <v>0.5</v>
      </c>
      <c r="N37" s="13">
        <v>0.23</v>
      </c>
      <c r="O37" s="13">
        <f t="shared" si="11"/>
        <v>23890085208995</v>
      </c>
      <c r="P37" s="13">
        <f t="shared" si="12"/>
        <v>1575714477</v>
      </c>
      <c r="Q37" s="13">
        <v>0.2</v>
      </c>
      <c r="R37" s="13">
        <f t="shared" ref="R37:AD37" si="79">B37*$O37*$Q37</f>
        <v>0</v>
      </c>
      <c r="S37" s="13">
        <f t="shared" si="79"/>
        <v>1433405112540</v>
      </c>
      <c r="T37" s="13">
        <f t="shared" si="79"/>
        <v>0</v>
      </c>
      <c r="U37" s="13">
        <f t="shared" si="79"/>
        <v>0</v>
      </c>
      <c r="V37" s="13">
        <f t="shared" si="79"/>
        <v>0</v>
      </c>
      <c r="W37" s="13">
        <f t="shared" si="79"/>
        <v>0</v>
      </c>
      <c r="X37" s="13">
        <f t="shared" si="79"/>
        <v>0</v>
      </c>
      <c r="Y37" s="13">
        <f t="shared" si="79"/>
        <v>0</v>
      </c>
      <c r="Z37" s="13">
        <f t="shared" si="79"/>
        <v>0</v>
      </c>
      <c r="AA37" s="13">
        <f t="shared" si="79"/>
        <v>0</v>
      </c>
      <c r="AB37" s="13">
        <f t="shared" si="79"/>
        <v>143340511254</v>
      </c>
      <c r="AC37" s="13">
        <f t="shared" si="79"/>
        <v>2389008520899</v>
      </c>
      <c r="AD37" s="13">
        <f t="shared" si="79"/>
        <v>1098943919614</v>
      </c>
      <c r="AE37" s="34">
        <v>3.7137958411728136E-25</v>
      </c>
      <c r="AF37" s="13">
        <f t="shared" si="14"/>
        <v>0.9380130476</v>
      </c>
      <c r="AG37" s="35">
        <f t="shared" si="15"/>
        <v>0</v>
      </c>
      <c r="AH37" s="13">
        <f t="shared" si="16"/>
        <v>0.9999092658</v>
      </c>
      <c r="AI37" s="35">
        <v>0.0</v>
      </c>
      <c r="AJ37" s="15">
        <f t="shared" si="17"/>
        <v>1</v>
      </c>
      <c r="AK37" s="34">
        <v>9.999999999999999E-31</v>
      </c>
      <c r="AL37" s="15">
        <f t="shared" si="18"/>
        <v>0.9632760006</v>
      </c>
      <c r="AM37" s="36">
        <f t="shared" si="19"/>
        <v>0</v>
      </c>
      <c r="AN37" s="15">
        <f t="shared" si="20"/>
        <v>0.9530014254</v>
      </c>
      <c r="AO37" s="36">
        <f t="shared" si="21"/>
        <v>0</v>
      </c>
      <c r="AP37" s="15">
        <f t="shared" si="22"/>
        <v>1</v>
      </c>
      <c r="AQ37" s="36">
        <f t="shared" si="23"/>
        <v>0</v>
      </c>
      <c r="AR37" s="15">
        <f t="shared" si="24"/>
        <v>0.9901794272</v>
      </c>
      <c r="AS37" s="36"/>
      <c r="AT37" s="18">
        <f t="shared" si="25"/>
        <v>1343399513</v>
      </c>
      <c r="AU37" s="37">
        <f t="shared" si="26"/>
        <v>0.8525653174</v>
      </c>
      <c r="AV37" s="13">
        <f t="shared" si="27"/>
        <v>940379659.3</v>
      </c>
      <c r="AW37" s="13"/>
      <c r="AX37" s="13"/>
      <c r="AY37" s="17"/>
      <c r="AZ37" s="17"/>
      <c r="BA37" s="17">
        <f t="shared" ref="BA37:BM37" si="80">B37*$AU37*$P37*$Q37</f>
        <v>0</v>
      </c>
      <c r="BB37" s="17">
        <f t="shared" si="80"/>
        <v>80603970.8</v>
      </c>
      <c r="BC37" s="17">
        <f t="shared" si="80"/>
        <v>0</v>
      </c>
      <c r="BD37" s="17">
        <f t="shared" si="80"/>
        <v>0</v>
      </c>
      <c r="BE37" s="17">
        <f t="shared" si="80"/>
        <v>0</v>
      </c>
      <c r="BF37" s="17">
        <f t="shared" si="80"/>
        <v>0</v>
      </c>
      <c r="BG37" s="17">
        <f t="shared" si="80"/>
        <v>0</v>
      </c>
      <c r="BH37" s="17">
        <f t="shared" si="80"/>
        <v>0</v>
      </c>
      <c r="BI37" s="17">
        <f t="shared" si="80"/>
        <v>0</v>
      </c>
      <c r="BJ37" s="17">
        <f t="shared" si="80"/>
        <v>0</v>
      </c>
      <c r="BK37" s="17">
        <f t="shared" si="80"/>
        <v>8060397.08</v>
      </c>
      <c r="BL37" s="17">
        <f t="shared" si="80"/>
        <v>134339951.3</v>
      </c>
      <c r="BM37" s="17">
        <f t="shared" si="80"/>
        <v>61796377.61</v>
      </c>
      <c r="BN37" s="17"/>
      <c r="BO37" s="17"/>
      <c r="BP37" s="17"/>
      <c r="BQ37" s="17"/>
      <c r="BR37" s="17"/>
    </row>
    <row r="38" ht="15.75" customHeight="1">
      <c r="A38" s="13">
        <v>610.0</v>
      </c>
      <c r="B38" s="13">
        <v>0.0</v>
      </c>
      <c r="C38" s="13">
        <v>0.9</v>
      </c>
      <c r="D38" s="13">
        <v>0.0</v>
      </c>
      <c r="E38" s="13">
        <v>0.0</v>
      </c>
      <c r="F38" s="13">
        <v>0.0</v>
      </c>
      <c r="G38" s="13">
        <v>0.0</v>
      </c>
      <c r="H38" s="13">
        <v>0.0</v>
      </c>
      <c r="I38" s="13">
        <v>0.0</v>
      </c>
      <c r="J38" s="13">
        <v>0.0</v>
      </c>
      <c r="K38" s="13">
        <v>0.0</v>
      </c>
      <c r="L38" s="13">
        <v>0.08</v>
      </c>
      <c r="M38" s="13">
        <v>0.7</v>
      </c>
      <c r="N38" s="13">
        <v>0.1</v>
      </c>
      <c r="O38" s="13">
        <f t="shared" si="11"/>
        <v>24234005024099</v>
      </c>
      <c r="P38" s="13">
        <f t="shared" si="12"/>
        <v>1598398341</v>
      </c>
      <c r="Q38" s="13">
        <v>0.2</v>
      </c>
      <c r="R38" s="13">
        <f t="shared" ref="R38:AD38" si="81">B38*$O38*$Q38</f>
        <v>0</v>
      </c>
      <c r="S38" s="13">
        <f t="shared" si="81"/>
        <v>4362120904338</v>
      </c>
      <c r="T38" s="13">
        <f t="shared" si="81"/>
        <v>0</v>
      </c>
      <c r="U38" s="13">
        <f t="shared" si="81"/>
        <v>0</v>
      </c>
      <c r="V38" s="13">
        <f t="shared" si="81"/>
        <v>0</v>
      </c>
      <c r="W38" s="13">
        <f t="shared" si="81"/>
        <v>0</v>
      </c>
      <c r="X38" s="13">
        <f t="shared" si="81"/>
        <v>0</v>
      </c>
      <c r="Y38" s="13">
        <f t="shared" si="81"/>
        <v>0</v>
      </c>
      <c r="Z38" s="13">
        <f t="shared" si="81"/>
        <v>0</v>
      </c>
      <c r="AA38" s="13">
        <f t="shared" si="81"/>
        <v>0</v>
      </c>
      <c r="AB38" s="13">
        <f t="shared" si="81"/>
        <v>387744080386</v>
      </c>
      <c r="AC38" s="13">
        <f t="shared" si="81"/>
        <v>3392760703374</v>
      </c>
      <c r="AD38" s="13">
        <f t="shared" si="81"/>
        <v>484680100482</v>
      </c>
      <c r="AE38" s="34">
        <v>4.345141134172192E-25</v>
      </c>
      <c r="AF38" s="13">
        <f t="shared" si="14"/>
        <v>0.9278641366</v>
      </c>
      <c r="AG38" s="35">
        <f t="shared" si="15"/>
        <v>0</v>
      </c>
      <c r="AH38" s="13">
        <f t="shared" si="16"/>
        <v>0.9998915735</v>
      </c>
      <c r="AI38" s="35">
        <v>0.0</v>
      </c>
      <c r="AJ38" s="15">
        <f t="shared" si="17"/>
        <v>1</v>
      </c>
      <c r="AK38" s="34">
        <v>0.0</v>
      </c>
      <c r="AL38" s="15">
        <f t="shared" si="18"/>
        <v>1</v>
      </c>
      <c r="AM38" s="36">
        <f t="shared" si="19"/>
        <v>0</v>
      </c>
      <c r="AN38" s="15">
        <f t="shared" si="20"/>
        <v>0.949923331</v>
      </c>
      <c r="AO38" s="36">
        <f t="shared" si="21"/>
        <v>0</v>
      </c>
      <c r="AP38" s="15">
        <f t="shared" si="22"/>
        <v>1</v>
      </c>
      <c r="AQ38" s="36">
        <f t="shared" si="23"/>
        <v>0</v>
      </c>
      <c r="AR38" s="15">
        <f t="shared" si="24"/>
        <v>0.9895229151</v>
      </c>
      <c r="AS38" s="36"/>
      <c r="AT38" s="18">
        <f t="shared" si="25"/>
        <v>1393916400</v>
      </c>
      <c r="AU38" s="37">
        <f t="shared" si="26"/>
        <v>0.8720707252</v>
      </c>
      <c r="AV38" s="13">
        <f t="shared" si="27"/>
        <v>975741479.9</v>
      </c>
      <c r="AW38" s="13" t="str">
        <f>S5</f>
        <v>#REF!</v>
      </c>
      <c r="AX38" s="13">
        <f>BB5</f>
        <v>19050.28125</v>
      </c>
      <c r="AY38" s="17">
        <f t="shared" ref="AY38:AY39" si="84">AX38*$BO$4</f>
        <v>13335.19687</v>
      </c>
      <c r="AZ38" s="17" t="str">
        <f>S4</f>
        <v>#REF!</v>
      </c>
      <c r="BA38" s="17">
        <f t="shared" ref="BA38:BM38" si="82">B38*$AU38*$P38*$Q38</f>
        <v>0</v>
      </c>
      <c r="BB38" s="17">
        <f t="shared" si="82"/>
        <v>250904952</v>
      </c>
      <c r="BC38" s="17">
        <f t="shared" si="82"/>
        <v>0</v>
      </c>
      <c r="BD38" s="17">
        <f t="shared" si="82"/>
        <v>0</v>
      </c>
      <c r="BE38" s="17">
        <f t="shared" si="82"/>
        <v>0</v>
      </c>
      <c r="BF38" s="17">
        <f t="shared" si="82"/>
        <v>0</v>
      </c>
      <c r="BG38" s="17">
        <f t="shared" si="82"/>
        <v>0</v>
      </c>
      <c r="BH38" s="17">
        <f t="shared" si="82"/>
        <v>0</v>
      </c>
      <c r="BI38" s="17">
        <f t="shared" si="82"/>
        <v>0</v>
      </c>
      <c r="BJ38" s="17">
        <f t="shared" si="82"/>
        <v>0</v>
      </c>
      <c r="BK38" s="17">
        <f t="shared" si="82"/>
        <v>22302662.4</v>
      </c>
      <c r="BL38" s="17">
        <f t="shared" si="82"/>
        <v>195148296</v>
      </c>
      <c r="BM38" s="17">
        <f t="shared" si="82"/>
        <v>27878328</v>
      </c>
      <c r="BN38" s="17"/>
      <c r="BO38" s="17">
        <f t="shared" ref="BO38:BO39" si="86">AX38*$BO$4</f>
        <v>13335.19687</v>
      </c>
      <c r="BP38" s="17" t="str">
        <f t="shared" ref="BP38:BP39" si="87">(BO38-AW38)^2</f>
        <v>#REF!</v>
      </c>
      <c r="BQ38" s="17"/>
      <c r="BR38" s="17"/>
    </row>
    <row r="39" ht="15.75" customHeight="1">
      <c r="A39" s="13">
        <v>600.0</v>
      </c>
      <c r="B39" s="13">
        <v>0.0</v>
      </c>
      <c r="C39" s="13">
        <v>0.6</v>
      </c>
      <c r="D39" s="13">
        <v>0.0</v>
      </c>
      <c r="E39" s="13">
        <v>0.0</v>
      </c>
      <c r="F39" s="13">
        <v>0.0</v>
      </c>
      <c r="G39" s="13">
        <v>0.0</v>
      </c>
      <c r="H39" s="13">
        <v>0.0</v>
      </c>
      <c r="I39" s="13">
        <v>0.0</v>
      </c>
      <c r="J39" s="13">
        <v>0.0</v>
      </c>
      <c r="K39" s="13">
        <v>0.01</v>
      </c>
      <c r="L39" s="13">
        <v>0.25</v>
      </c>
      <c r="M39" s="13">
        <v>1.0</v>
      </c>
      <c r="N39" s="13">
        <v>0.02</v>
      </c>
      <c r="O39" s="13">
        <f t="shared" si="11"/>
        <v>24562965177034</v>
      </c>
      <c r="P39" s="13">
        <f t="shared" si="12"/>
        <v>1620095512</v>
      </c>
      <c r="Q39" s="13">
        <v>0.2</v>
      </c>
      <c r="R39" s="13">
        <f t="shared" ref="R39:AD39" si="83">B39*$O39*$Q39</f>
        <v>0</v>
      </c>
      <c r="S39" s="13">
        <f t="shared" si="83"/>
        <v>2947555821244</v>
      </c>
      <c r="T39" s="13">
        <f t="shared" si="83"/>
        <v>0</v>
      </c>
      <c r="U39" s="13">
        <f t="shared" si="83"/>
        <v>0</v>
      </c>
      <c r="V39" s="13">
        <f t="shared" si="83"/>
        <v>0</v>
      </c>
      <c r="W39" s="13">
        <f t="shared" si="83"/>
        <v>0</v>
      </c>
      <c r="X39" s="13">
        <f t="shared" si="83"/>
        <v>0</v>
      </c>
      <c r="Y39" s="13">
        <f t="shared" si="83"/>
        <v>0</v>
      </c>
      <c r="Z39" s="13">
        <f t="shared" si="83"/>
        <v>0</v>
      </c>
      <c r="AA39" s="13">
        <f t="shared" si="83"/>
        <v>49125930354</v>
      </c>
      <c r="AB39" s="13">
        <f t="shared" si="83"/>
        <v>1228148258852</v>
      </c>
      <c r="AC39" s="13">
        <f t="shared" si="83"/>
        <v>4912593035407</v>
      </c>
      <c r="AD39" s="13">
        <f t="shared" si="83"/>
        <v>98251860708</v>
      </c>
      <c r="AE39" s="34">
        <v>5.0838151269814645E-25</v>
      </c>
      <c r="AF39" s="13">
        <f t="shared" si="14"/>
        <v>0.9161292195</v>
      </c>
      <c r="AG39" s="35">
        <f t="shared" si="15"/>
        <v>0</v>
      </c>
      <c r="AH39" s="13">
        <f t="shared" si="16"/>
        <v>0.9998704317</v>
      </c>
      <c r="AI39" s="35">
        <f>1E-26/2000</f>
        <v>0</v>
      </c>
      <c r="AJ39" s="15">
        <f t="shared" si="17"/>
        <v>0.9938650633</v>
      </c>
      <c r="AK39" s="34">
        <v>0.0</v>
      </c>
      <c r="AL39" s="15">
        <f t="shared" si="18"/>
        <v>1</v>
      </c>
      <c r="AM39" s="36">
        <f t="shared" si="19"/>
        <v>0</v>
      </c>
      <c r="AN39" s="15">
        <f t="shared" si="20"/>
        <v>0.9465935135</v>
      </c>
      <c r="AO39" s="36">
        <f t="shared" si="21"/>
        <v>0</v>
      </c>
      <c r="AP39" s="15">
        <f t="shared" si="22"/>
        <v>1</v>
      </c>
      <c r="AQ39" s="36">
        <f t="shared" si="23"/>
        <v>0</v>
      </c>
      <c r="AR39" s="15">
        <f t="shared" si="24"/>
        <v>0.9888108072</v>
      </c>
      <c r="AS39" s="36"/>
      <c r="AT39" s="18">
        <f t="shared" si="25"/>
        <v>1380528041</v>
      </c>
      <c r="AU39" s="37">
        <f t="shared" si="26"/>
        <v>0.8521275634</v>
      </c>
      <c r="AV39" s="13">
        <f t="shared" si="27"/>
        <v>966369628.8</v>
      </c>
      <c r="AW39" s="13">
        <f>AC5</f>
        <v>23685.56744</v>
      </c>
      <c r="AX39" s="13">
        <f>BL5</f>
        <v>41511.44969</v>
      </c>
      <c r="AY39" s="17">
        <f t="shared" si="84"/>
        <v>29058.01479</v>
      </c>
      <c r="AZ39" s="17">
        <f>AC4</f>
        <v>4916.256995</v>
      </c>
      <c r="BA39" s="17">
        <f t="shared" ref="BA39:BM39" si="85">B39*$AU39*$P39*$Q39</f>
        <v>0</v>
      </c>
      <c r="BB39" s="17">
        <f t="shared" si="85"/>
        <v>165663364.9</v>
      </c>
      <c r="BC39" s="17">
        <f t="shared" si="85"/>
        <v>0</v>
      </c>
      <c r="BD39" s="17">
        <f t="shared" si="85"/>
        <v>0</v>
      </c>
      <c r="BE39" s="17">
        <f t="shared" si="85"/>
        <v>0</v>
      </c>
      <c r="BF39" s="17">
        <f t="shared" si="85"/>
        <v>0</v>
      </c>
      <c r="BG39" s="17">
        <f t="shared" si="85"/>
        <v>0</v>
      </c>
      <c r="BH39" s="17">
        <f t="shared" si="85"/>
        <v>0</v>
      </c>
      <c r="BI39" s="17">
        <f t="shared" si="85"/>
        <v>0</v>
      </c>
      <c r="BJ39" s="17">
        <f t="shared" si="85"/>
        <v>2761056.082</v>
      </c>
      <c r="BK39" s="17">
        <f t="shared" si="85"/>
        <v>69026402.06</v>
      </c>
      <c r="BL39" s="17">
        <f t="shared" si="85"/>
        <v>276105608.2</v>
      </c>
      <c r="BM39" s="17">
        <f t="shared" si="85"/>
        <v>5522112.165</v>
      </c>
      <c r="BN39" s="17"/>
      <c r="BO39" s="17">
        <f t="shared" si="86"/>
        <v>29058.01479</v>
      </c>
      <c r="BP39" s="17">
        <f t="shared" si="87"/>
        <v>28863190.51</v>
      </c>
      <c r="BQ39" s="17"/>
      <c r="BR39" s="17"/>
    </row>
    <row r="40" ht="15.75" customHeight="1">
      <c r="A40" s="13">
        <v>590.0</v>
      </c>
      <c r="B40" s="13">
        <v>0.0</v>
      </c>
      <c r="C40" s="13">
        <v>0.1</v>
      </c>
      <c r="D40" s="13">
        <v>0.0</v>
      </c>
      <c r="E40" s="13">
        <v>0.0</v>
      </c>
      <c r="F40" s="13">
        <v>0.0</v>
      </c>
      <c r="G40" s="13">
        <v>0.0</v>
      </c>
      <c r="H40" s="13">
        <v>0.0</v>
      </c>
      <c r="I40" s="13">
        <v>0.0</v>
      </c>
      <c r="J40" s="13">
        <v>0.0</v>
      </c>
      <c r="K40" s="13">
        <v>0.1</v>
      </c>
      <c r="L40" s="13">
        <v>0.51</v>
      </c>
      <c r="M40" s="13">
        <v>0.85</v>
      </c>
      <c r="N40" s="13">
        <v>0.0</v>
      </c>
      <c r="O40" s="13">
        <f t="shared" si="11"/>
        <v>24874583979487</v>
      </c>
      <c r="P40" s="13">
        <f t="shared" si="12"/>
        <v>1640648903</v>
      </c>
      <c r="Q40" s="13">
        <v>0.2</v>
      </c>
      <c r="R40" s="13">
        <f t="shared" ref="R40:AD40" si="88">B40*$O40*$Q40</f>
        <v>0</v>
      </c>
      <c r="S40" s="13">
        <f t="shared" si="88"/>
        <v>497491679590</v>
      </c>
      <c r="T40" s="13">
        <f t="shared" si="88"/>
        <v>0</v>
      </c>
      <c r="U40" s="13">
        <f t="shared" si="88"/>
        <v>0</v>
      </c>
      <c r="V40" s="13">
        <f t="shared" si="88"/>
        <v>0</v>
      </c>
      <c r="W40" s="13">
        <f t="shared" si="88"/>
        <v>0</v>
      </c>
      <c r="X40" s="13">
        <f t="shared" si="88"/>
        <v>0</v>
      </c>
      <c r="Y40" s="13">
        <f t="shared" si="88"/>
        <v>0</v>
      </c>
      <c r="Z40" s="13">
        <f t="shared" si="88"/>
        <v>0</v>
      </c>
      <c r="AA40" s="13">
        <f t="shared" si="88"/>
        <v>497491679590</v>
      </c>
      <c r="AB40" s="13">
        <f t="shared" si="88"/>
        <v>2537207565908</v>
      </c>
      <c r="AC40" s="13">
        <f t="shared" si="88"/>
        <v>4228679276513</v>
      </c>
      <c r="AD40" s="13">
        <f t="shared" si="88"/>
        <v>0</v>
      </c>
      <c r="AE40" s="34">
        <v>4.621650115437695E-25</v>
      </c>
      <c r="AF40" s="13">
        <f t="shared" si="14"/>
        <v>0.9234538869</v>
      </c>
      <c r="AG40" s="35">
        <f t="shared" si="15"/>
        <v>0</v>
      </c>
      <c r="AH40" s="13">
        <f t="shared" si="16"/>
        <v>0.9998451679</v>
      </c>
      <c r="AI40" s="35">
        <f>5E-26/2000</f>
        <v>0</v>
      </c>
      <c r="AJ40" s="15">
        <f t="shared" si="17"/>
        <v>0.9696993889</v>
      </c>
      <c r="AK40" s="34">
        <v>0.0</v>
      </c>
      <c r="AL40" s="15">
        <f t="shared" si="18"/>
        <v>1</v>
      </c>
      <c r="AM40" s="36">
        <f t="shared" si="19"/>
        <v>0</v>
      </c>
      <c r="AN40" s="15">
        <f t="shared" si="20"/>
        <v>0.9429875092</v>
      </c>
      <c r="AO40" s="36">
        <f t="shared" si="21"/>
        <v>0</v>
      </c>
      <c r="AP40" s="15">
        <f t="shared" si="22"/>
        <v>1</v>
      </c>
      <c r="AQ40" s="36">
        <f t="shared" si="23"/>
        <v>0</v>
      </c>
      <c r="AR40" s="15">
        <f t="shared" si="24"/>
        <v>0.9880373849</v>
      </c>
      <c r="AS40" s="36"/>
      <c r="AT40" s="18">
        <f t="shared" si="25"/>
        <v>1368611099</v>
      </c>
      <c r="AU40" s="37">
        <f t="shared" si="26"/>
        <v>0.8341888972</v>
      </c>
      <c r="AV40" s="13">
        <f t="shared" si="27"/>
        <v>958027769.3</v>
      </c>
      <c r="AW40" s="13"/>
      <c r="AX40" s="13"/>
      <c r="AY40" s="17"/>
      <c r="AZ40" s="17"/>
      <c r="BA40" s="17">
        <f t="shared" ref="BA40:BM40" si="89">B40*$AU40*$P40*$Q40</f>
        <v>0</v>
      </c>
      <c r="BB40" s="17">
        <f t="shared" si="89"/>
        <v>27372221.98</v>
      </c>
      <c r="BC40" s="17">
        <f t="shared" si="89"/>
        <v>0</v>
      </c>
      <c r="BD40" s="17">
        <f t="shared" si="89"/>
        <v>0</v>
      </c>
      <c r="BE40" s="17">
        <f t="shared" si="89"/>
        <v>0</v>
      </c>
      <c r="BF40" s="17">
        <f t="shared" si="89"/>
        <v>0</v>
      </c>
      <c r="BG40" s="17">
        <f t="shared" si="89"/>
        <v>0</v>
      </c>
      <c r="BH40" s="17">
        <f t="shared" si="89"/>
        <v>0</v>
      </c>
      <c r="BI40" s="17">
        <f t="shared" si="89"/>
        <v>0</v>
      </c>
      <c r="BJ40" s="17">
        <f t="shared" si="89"/>
        <v>27372221.98</v>
      </c>
      <c r="BK40" s="17">
        <f t="shared" si="89"/>
        <v>139598332.1</v>
      </c>
      <c r="BL40" s="17">
        <f t="shared" si="89"/>
        <v>232663886.8</v>
      </c>
      <c r="BM40" s="17">
        <f t="shared" si="89"/>
        <v>0</v>
      </c>
      <c r="BN40" s="17"/>
      <c r="BO40" s="17"/>
      <c r="BP40" s="17"/>
      <c r="BQ40" s="17"/>
      <c r="BR40" s="17"/>
    </row>
    <row r="41" ht="15.75" customHeight="1">
      <c r="A41" s="13">
        <v>580.0</v>
      </c>
      <c r="B41" s="13">
        <v>0.0</v>
      </c>
      <c r="C41" s="13">
        <v>0.01</v>
      </c>
      <c r="D41" s="13">
        <v>0.0</v>
      </c>
      <c r="E41" s="13">
        <v>0.0</v>
      </c>
      <c r="F41" s="13">
        <v>0.0</v>
      </c>
      <c r="G41" s="13">
        <v>0.0</v>
      </c>
      <c r="H41" s="13">
        <v>0.0</v>
      </c>
      <c r="I41" s="13">
        <v>0.0</v>
      </c>
      <c r="J41" s="13">
        <v>0.0</v>
      </c>
      <c r="K41" s="13">
        <v>0.25</v>
      </c>
      <c r="L41" s="13">
        <v>0.75</v>
      </c>
      <c r="M41" s="13">
        <v>0.6</v>
      </c>
      <c r="N41" s="13">
        <v>0.0</v>
      </c>
      <c r="O41" s="13">
        <f t="shared" si="11"/>
        <v>25166294115239</v>
      </c>
      <c r="P41" s="13">
        <f t="shared" si="12"/>
        <v>1659889181</v>
      </c>
      <c r="Q41" s="13">
        <v>0.2</v>
      </c>
      <c r="R41" s="13">
        <f t="shared" ref="R41:AD41" si="90">B41*$O41*$Q41</f>
        <v>0</v>
      </c>
      <c r="S41" s="13">
        <f t="shared" si="90"/>
        <v>50332588230</v>
      </c>
      <c r="T41" s="13">
        <f t="shared" si="90"/>
        <v>0</v>
      </c>
      <c r="U41" s="13">
        <f t="shared" si="90"/>
        <v>0</v>
      </c>
      <c r="V41" s="13">
        <f t="shared" si="90"/>
        <v>0</v>
      </c>
      <c r="W41" s="13">
        <f t="shared" si="90"/>
        <v>0</v>
      </c>
      <c r="X41" s="13">
        <f t="shared" si="90"/>
        <v>0</v>
      </c>
      <c r="Y41" s="13">
        <f t="shared" si="90"/>
        <v>0</v>
      </c>
      <c r="Z41" s="13">
        <f t="shared" si="90"/>
        <v>0</v>
      </c>
      <c r="AA41" s="13">
        <f t="shared" si="90"/>
        <v>1258314705762</v>
      </c>
      <c r="AB41" s="13">
        <f t="shared" si="90"/>
        <v>3774944117286</v>
      </c>
      <c r="AC41" s="13">
        <f t="shared" si="90"/>
        <v>3019955293829</v>
      </c>
      <c r="AD41" s="13">
        <f t="shared" si="90"/>
        <v>0</v>
      </c>
      <c r="AE41" s="34">
        <v>4.201500104943359E-25</v>
      </c>
      <c r="AF41" s="13">
        <f t="shared" si="14"/>
        <v>0.9301634818</v>
      </c>
      <c r="AG41" s="35">
        <f t="shared" si="15"/>
        <v>0</v>
      </c>
      <c r="AH41" s="13">
        <f t="shared" si="16"/>
        <v>0.9998149784</v>
      </c>
      <c r="AI41" s="35">
        <v>0.0</v>
      </c>
      <c r="AJ41" s="15">
        <f t="shared" si="17"/>
        <v>1</v>
      </c>
      <c r="AK41" s="34">
        <v>0.0</v>
      </c>
      <c r="AL41" s="15">
        <f t="shared" si="18"/>
        <v>1</v>
      </c>
      <c r="AM41" s="36">
        <f t="shared" si="19"/>
        <v>0</v>
      </c>
      <c r="AN41" s="15">
        <f t="shared" si="20"/>
        <v>0.9390781446</v>
      </c>
      <c r="AO41" s="36">
        <f t="shared" si="21"/>
        <v>0</v>
      </c>
      <c r="AP41" s="15">
        <f t="shared" si="22"/>
        <v>1</v>
      </c>
      <c r="AQ41" s="36">
        <f t="shared" si="23"/>
        <v>0</v>
      </c>
      <c r="AR41" s="15">
        <f t="shared" si="24"/>
        <v>0.9871962365</v>
      </c>
      <c r="AS41" s="36"/>
      <c r="AT41" s="18">
        <f t="shared" si="25"/>
        <v>1431077792</v>
      </c>
      <c r="AU41" s="37">
        <f t="shared" si="26"/>
        <v>0.8621526116</v>
      </c>
      <c r="AV41" s="13">
        <f t="shared" si="27"/>
        <v>1001754455</v>
      </c>
      <c r="AW41" s="13"/>
      <c r="AX41" s="13"/>
      <c r="AY41" s="17"/>
      <c r="AZ41" s="17"/>
      <c r="BA41" s="17">
        <f t="shared" ref="BA41:BM41" si="91">B41*$AU41*$P41*$Q41</f>
        <v>0</v>
      </c>
      <c r="BB41" s="17">
        <f t="shared" si="91"/>
        <v>2862155.585</v>
      </c>
      <c r="BC41" s="17">
        <f t="shared" si="91"/>
        <v>0</v>
      </c>
      <c r="BD41" s="17">
        <f t="shared" si="91"/>
        <v>0</v>
      </c>
      <c r="BE41" s="17">
        <f t="shared" si="91"/>
        <v>0</v>
      </c>
      <c r="BF41" s="17">
        <f t="shared" si="91"/>
        <v>0</v>
      </c>
      <c r="BG41" s="17">
        <f t="shared" si="91"/>
        <v>0</v>
      </c>
      <c r="BH41" s="17">
        <f t="shared" si="91"/>
        <v>0</v>
      </c>
      <c r="BI41" s="17">
        <f t="shared" si="91"/>
        <v>0</v>
      </c>
      <c r="BJ41" s="17">
        <f t="shared" si="91"/>
        <v>71553889.62</v>
      </c>
      <c r="BK41" s="17">
        <f t="shared" si="91"/>
        <v>214661668.8</v>
      </c>
      <c r="BL41" s="17">
        <f t="shared" si="91"/>
        <v>171729335.1</v>
      </c>
      <c r="BM41" s="17">
        <f t="shared" si="91"/>
        <v>0</v>
      </c>
      <c r="BN41" s="17"/>
      <c r="BO41" s="17"/>
      <c r="BP41" s="17"/>
      <c r="BQ41" s="17"/>
      <c r="BR41" s="17"/>
    </row>
    <row r="42" ht="15.75" customHeight="1">
      <c r="A42" s="13">
        <v>570.0</v>
      </c>
      <c r="B42" s="13">
        <v>0.0</v>
      </c>
      <c r="C42" s="13">
        <v>0.0</v>
      </c>
      <c r="D42" s="13">
        <v>0.0</v>
      </c>
      <c r="E42" s="13">
        <v>0.0</v>
      </c>
      <c r="F42" s="13">
        <v>0.0</v>
      </c>
      <c r="G42" s="13">
        <v>0.0</v>
      </c>
      <c r="H42" s="13">
        <v>0.0</v>
      </c>
      <c r="I42" s="13">
        <v>0.0</v>
      </c>
      <c r="J42" s="13">
        <v>0.0</v>
      </c>
      <c r="K42" s="13">
        <v>0.5</v>
      </c>
      <c r="L42" s="13">
        <v>0.95</v>
      </c>
      <c r="M42" s="13">
        <v>0.2</v>
      </c>
      <c r="N42" s="13">
        <v>0.0</v>
      </c>
      <c r="O42" s="13">
        <f t="shared" si="11"/>
        <v>25435337807743</v>
      </c>
      <c r="P42" s="13">
        <f t="shared" si="12"/>
        <v>1677634452</v>
      </c>
      <c r="Q42" s="13">
        <v>0.2</v>
      </c>
      <c r="R42" s="13">
        <f t="shared" ref="R42:AD42" si="92">B42*$O42*$Q42</f>
        <v>0</v>
      </c>
      <c r="S42" s="13">
        <f t="shared" si="92"/>
        <v>0</v>
      </c>
      <c r="T42" s="13">
        <f t="shared" si="92"/>
        <v>0</v>
      </c>
      <c r="U42" s="13">
        <f t="shared" si="92"/>
        <v>0</v>
      </c>
      <c r="V42" s="13">
        <f t="shared" si="92"/>
        <v>0</v>
      </c>
      <c r="W42" s="13">
        <f t="shared" si="92"/>
        <v>0</v>
      </c>
      <c r="X42" s="13">
        <f t="shared" si="92"/>
        <v>0</v>
      </c>
      <c r="Y42" s="13">
        <f t="shared" si="92"/>
        <v>0</v>
      </c>
      <c r="Z42" s="13">
        <f t="shared" si="92"/>
        <v>0</v>
      </c>
      <c r="AA42" s="13">
        <f t="shared" si="92"/>
        <v>2543533780774</v>
      </c>
      <c r="AB42" s="13">
        <f t="shared" si="92"/>
        <v>4832714183471</v>
      </c>
      <c r="AC42" s="13">
        <f t="shared" si="92"/>
        <v>1017413512310</v>
      </c>
      <c r="AD42" s="13">
        <f t="shared" si="92"/>
        <v>0</v>
      </c>
      <c r="AE42" s="34">
        <v>3.8195455499485077E-25</v>
      </c>
      <c r="AF42" s="13">
        <f t="shared" si="14"/>
        <v>0.9363054082</v>
      </c>
      <c r="AG42" s="35">
        <f t="shared" si="15"/>
        <v>0</v>
      </c>
      <c r="AH42" s="13">
        <f t="shared" si="16"/>
        <v>0.9997789032</v>
      </c>
      <c r="AI42" s="35">
        <f>1E-26/2000</f>
        <v>0</v>
      </c>
      <c r="AJ42" s="15">
        <f t="shared" si="17"/>
        <v>0.9938650633</v>
      </c>
      <c r="AK42" s="34">
        <v>0.0</v>
      </c>
      <c r="AL42" s="15">
        <f t="shared" si="18"/>
        <v>1</v>
      </c>
      <c r="AM42" s="36">
        <f t="shared" si="19"/>
        <v>0</v>
      </c>
      <c r="AN42" s="15">
        <f t="shared" si="20"/>
        <v>0.9348352087</v>
      </c>
      <c r="AO42" s="36">
        <f t="shared" si="21"/>
        <v>0</v>
      </c>
      <c r="AP42" s="15">
        <f t="shared" si="22"/>
        <v>1</v>
      </c>
      <c r="AQ42" s="36">
        <f t="shared" si="23"/>
        <v>0</v>
      </c>
      <c r="AR42" s="15">
        <f t="shared" si="24"/>
        <v>0.98628016</v>
      </c>
      <c r="AS42" s="36"/>
      <c r="AT42" s="18">
        <f t="shared" si="25"/>
        <v>1439069003</v>
      </c>
      <c r="AU42" s="37">
        <f t="shared" si="26"/>
        <v>0.8577965247</v>
      </c>
      <c r="AV42" s="13">
        <f t="shared" si="27"/>
        <v>1007348302</v>
      </c>
      <c r="AW42" s="13"/>
      <c r="AX42" s="13"/>
      <c r="AY42" s="17"/>
      <c r="AZ42" s="17"/>
      <c r="BA42" s="17">
        <f t="shared" ref="BA42:BM42" si="93">B42*$AU42*$P42*$Q42</f>
        <v>0</v>
      </c>
      <c r="BB42" s="17">
        <f t="shared" si="93"/>
        <v>0</v>
      </c>
      <c r="BC42" s="17">
        <f t="shared" si="93"/>
        <v>0</v>
      </c>
      <c r="BD42" s="17">
        <f t="shared" si="93"/>
        <v>0</v>
      </c>
      <c r="BE42" s="17">
        <f t="shared" si="93"/>
        <v>0</v>
      </c>
      <c r="BF42" s="17">
        <f t="shared" si="93"/>
        <v>0</v>
      </c>
      <c r="BG42" s="17">
        <f t="shared" si="93"/>
        <v>0</v>
      </c>
      <c r="BH42" s="17">
        <f t="shared" si="93"/>
        <v>0</v>
      </c>
      <c r="BI42" s="17">
        <f t="shared" si="93"/>
        <v>0</v>
      </c>
      <c r="BJ42" s="17">
        <f t="shared" si="93"/>
        <v>143906900.3</v>
      </c>
      <c r="BK42" s="17">
        <f t="shared" si="93"/>
        <v>273423110.5</v>
      </c>
      <c r="BL42" s="17">
        <f t="shared" si="93"/>
        <v>57562760.11</v>
      </c>
      <c r="BM42" s="17">
        <f t="shared" si="93"/>
        <v>0</v>
      </c>
      <c r="BN42" s="17"/>
      <c r="BO42" s="17"/>
      <c r="BP42" s="17"/>
      <c r="BQ42" s="17"/>
      <c r="BR42" s="17"/>
    </row>
    <row r="43" ht="15.75" customHeight="1">
      <c r="A43" s="13">
        <v>560.0</v>
      </c>
      <c r="B43" s="13">
        <v>0.0</v>
      </c>
      <c r="C43" s="13">
        <v>0.0</v>
      </c>
      <c r="D43" s="13">
        <v>0.0</v>
      </c>
      <c r="E43" s="13">
        <v>0.0</v>
      </c>
      <c r="F43" s="13">
        <v>0.0</v>
      </c>
      <c r="G43" s="13">
        <v>0.0</v>
      </c>
      <c r="H43" s="13">
        <v>0.0</v>
      </c>
      <c r="I43" s="13">
        <v>0.0</v>
      </c>
      <c r="J43" s="13">
        <v>0.0</v>
      </c>
      <c r="K43" s="13">
        <v>0.8</v>
      </c>
      <c r="L43" s="13">
        <v>0.95</v>
      </c>
      <c r="M43" s="13">
        <v>0.08</v>
      </c>
      <c r="N43" s="13">
        <v>0.0</v>
      </c>
      <c r="O43" s="13">
        <f t="shared" si="11"/>
        <v>25678763751377</v>
      </c>
      <c r="P43" s="13">
        <f t="shared" si="12"/>
        <v>1693690058</v>
      </c>
      <c r="Q43" s="13">
        <v>0.2</v>
      </c>
      <c r="R43" s="13">
        <f t="shared" ref="R43:AD43" si="94">B43*$O43*$Q43</f>
        <v>0</v>
      </c>
      <c r="S43" s="13">
        <f t="shared" si="94"/>
        <v>0</v>
      </c>
      <c r="T43" s="13">
        <f t="shared" si="94"/>
        <v>0</v>
      </c>
      <c r="U43" s="13">
        <f t="shared" si="94"/>
        <v>0</v>
      </c>
      <c r="V43" s="13">
        <f t="shared" si="94"/>
        <v>0</v>
      </c>
      <c r="W43" s="13">
        <f t="shared" si="94"/>
        <v>0</v>
      </c>
      <c r="X43" s="13">
        <f t="shared" si="94"/>
        <v>0</v>
      </c>
      <c r="Y43" s="13">
        <f t="shared" si="94"/>
        <v>0</v>
      </c>
      <c r="Z43" s="13">
        <f t="shared" si="94"/>
        <v>0</v>
      </c>
      <c r="AA43" s="13">
        <f t="shared" si="94"/>
        <v>4108602200220</v>
      </c>
      <c r="AB43" s="13">
        <f t="shared" si="94"/>
        <v>4878965112762</v>
      </c>
      <c r="AC43" s="13">
        <f t="shared" si="94"/>
        <v>410860220022</v>
      </c>
      <c r="AD43" s="13">
        <f t="shared" si="94"/>
        <v>0</v>
      </c>
      <c r="AE43" s="34">
        <v>3.4723141363168247E-25</v>
      </c>
      <c r="AF43" s="13">
        <f t="shared" si="14"/>
        <v>0.9419241634</v>
      </c>
      <c r="AG43" s="35">
        <f t="shared" si="15"/>
        <v>0</v>
      </c>
      <c r="AH43" s="13">
        <f t="shared" si="16"/>
        <v>0.999735795</v>
      </c>
      <c r="AI43" s="35">
        <v>0.0</v>
      </c>
      <c r="AJ43" s="15">
        <f t="shared" si="17"/>
        <v>1</v>
      </c>
      <c r="AK43" s="34">
        <v>0.0</v>
      </c>
      <c r="AL43" s="15">
        <f t="shared" si="18"/>
        <v>1</v>
      </c>
      <c r="AM43" s="36">
        <f t="shared" si="19"/>
        <v>0</v>
      </c>
      <c r="AN43" s="15">
        <f t="shared" si="20"/>
        <v>0.9302250853</v>
      </c>
      <c r="AO43" s="36">
        <f t="shared" si="21"/>
        <v>0</v>
      </c>
      <c r="AP43" s="15">
        <f t="shared" si="22"/>
        <v>1</v>
      </c>
      <c r="AQ43" s="36">
        <f t="shared" si="23"/>
        <v>0</v>
      </c>
      <c r="AR43" s="15">
        <f t="shared" si="24"/>
        <v>0.9852810509</v>
      </c>
      <c r="AS43" s="36"/>
      <c r="AT43" s="18">
        <f t="shared" si="25"/>
        <v>1461784309</v>
      </c>
      <c r="AU43" s="37">
        <f t="shared" si="26"/>
        <v>0.8630766308</v>
      </c>
      <c r="AV43" s="13">
        <f t="shared" si="27"/>
        <v>1023249016</v>
      </c>
      <c r="AW43" s="13">
        <f>AB5</f>
        <v>24745.16087</v>
      </c>
      <c r="AX43" s="13">
        <f>BK5</f>
        <v>44762.51119</v>
      </c>
      <c r="AY43" s="17">
        <f t="shared" ref="AY43:AY44" si="97">AX43*$BO$4</f>
        <v>31333.75783</v>
      </c>
      <c r="AZ43" s="17">
        <f>AB4</f>
        <v>5410.037376</v>
      </c>
      <c r="BA43" s="17">
        <f t="shared" ref="BA43:BM43" si="95">B43*$AU43*$P43*$Q43</f>
        <v>0</v>
      </c>
      <c r="BB43" s="17">
        <f t="shared" si="95"/>
        <v>0</v>
      </c>
      <c r="BC43" s="17">
        <f t="shared" si="95"/>
        <v>0</v>
      </c>
      <c r="BD43" s="17">
        <f t="shared" si="95"/>
        <v>0</v>
      </c>
      <c r="BE43" s="17">
        <f t="shared" si="95"/>
        <v>0</v>
      </c>
      <c r="BF43" s="17">
        <f t="shared" si="95"/>
        <v>0</v>
      </c>
      <c r="BG43" s="17">
        <f t="shared" si="95"/>
        <v>0</v>
      </c>
      <c r="BH43" s="17">
        <f t="shared" si="95"/>
        <v>0</v>
      </c>
      <c r="BI43" s="17">
        <f t="shared" si="95"/>
        <v>0</v>
      </c>
      <c r="BJ43" s="17">
        <f t="shared" si="95"/>
        <v>233885489.4</v>
      </c>
      <c r="BK43" s="17">
        <f t="shared" si="95"/>
        <v>277739018.6</v>
      </c>
      <c r="BL43" s="17">
        <f t="shared" si="95"/>
        <v>23388548.94</v>
      </c>
      <c r="BM43" s="17">
        <f t="shared" si="95"/>
        <v>0</v>
      </c>
      <c r="BN43" s="17"/>
      <c r="BO43" s="17">
        <f t="shared" ref="BO43:BO44" si="99">AX43*$BO$4</f>
        <v>31333.75783</v>
      </c>
      <c r="BP43" s="17">
        <f t="shared" ref="BP43:BP44" si="100">(BO43-AW43)^2</f>
        <v>43409609.92</v>
      </c>
      <c r="BQ43" s="17"/>
      <c r="BR43" s="17"/>
    </row>
    <row r="44" ht="15.75" customHeight="1">
      <c r="A44" s="13">
        <v>550.0</v>
      </c>
      <c r="B44" s="13">
        <v>0.0</v>
      </c>
      <c r="C44" s="13">
        <v>0.0</v>
      </c>
      <c r="D44" s="13">
        <v>0.0</v>
      </c>
      <c r="E44" s="13">
        <v>0.0</v>
      </c>
      <c r="F44" s="13">
        <v>0.0</v>
      </c>
      <c r="G44" s="13">
        <v>0.0</v>
      </c>
      <c r="H44" s="13">
        <v>0.0</v>
      </c>
      <c r="I44" s="13">
        <v>0.0</v>
      </c>
      <c r="J44" s="13">
        <v>0.01</v>
      </c>
      <c r="K44" s="13">
        <v>1.0</v>
      </c>
      <c r="L44" s="13">
        <v>0.57</v>
      </c>
      <c r="M44" s="13">
        <v>0.02</v>
      </c>
      <c r="N44" s="13">
        <v>0.0</v>
      </c>
      <c r="O44" s="13">
        <f t="shared" si="11"/>
        <v>25893426302189</v>
      </c>
      <c r="P44" s="13">
        <f t="shared" si="12"/>
        <v>1707848521</v>
      </c>
      <c r="Q44" s="13">
        <v>0.2</v>
      </c>
      <c r="R44" s="13">
        <f t="shared" ref="R44:AD44" si="96">B44*$O44*$Q44</f>
        <v>0</v>
      </c>
      <c r="S44" s="13">
        <f t="shared" si="96"/>
        <v>0</v>
      </c>
      <c r="T44" s="13">
        <f t="shared" si="96"/>
        <v>0</v>
      </c>
      <c r="U44" s="13">
        <f t="shared" si="96"/>
        <v>0</v>
      </c>
      <c r="V44" s="13">
        <f t="shared" si="96"/>
        <v>0</v>
      </c>
      <c r="W44" s="13">
        <f t="shared" si="96"/>
        <v>0</v>
      </c>
      <c r="X44" s="13">
        <f t="shared" si="96"/>
        <v>0</v>
      </c>
      <c r="Y44" s="13">
        <f t="shared" si="96"/>
        <v>0</v>
      </c>
      <c r="Z44" s="13">
        <f t="shared" si="96"/>
        <v>51786852604</v>
      </c>
      <c r="AA44" s="13">
        <f t="shared" si="96"/>
        <v>5178685260438</v>
      </c>
      <c r="AB44" s="13">
        <f t="shared" si="96"/>
        <v>2951850598450</v>
      </c>
      <c r="AC44" s="13">
        <f t="shared" si="96"/>
        <v>103573705209</v>
      </c>
      <c r="AD44" s="13">
        <f t="shared" si="96"/>
        <v>0</v>
      </c>
      <c r="AE44" s="34">
        <v>2.8935951135973543E-25</v>
      </c>
      <c r="AF44" s="13">
        <f t="shared" si="14"/>
        <v>0.9513637844</v>
      </c>
      <c r="AG44" s="35">
        <f t="shared" si="15"/>
        <v>0</v>
      </c>
      <c r="AH44" s="13">
        <f t="shared" si="16"/>
        <v>0.9996842832</v>
      </c>
      <c r="AI44" s="35">
        <v>0.0</v>
      </c>
      <c r="AJ44" s="15">
        <f t="shared" si="17"/>
        <v>1</v>
      </c>
      <c r="AK44" s="34">
        <v>0.0</v>
      </c>
      <c r="AL44" s="15">
        <f t="shared" si="18"/>
        <v>1</v>
      </c>
      <c r="AM44" s="36">
        <f t="shared" si="19"/>
        <v>0</v>
      </c>
      <c r="AN44" s="15">
        <f t="shared" si="20"/>
        <v>0.9252103404</v>
      </c>
      <c r="AO44" s="36">
        <f t="shared" si="21"/>
        <v>0</v>
      </c>
      <c r="AP44" s="15">
        <f t="shared" si="22"/>
        <v>1</v>
      </c>
      <c r="AQ44" s="36">
        <f t="shared" si="23"/>
        <v>0</v>
      </c>
      <c r="AR44" s="15">
        <f t="shared" si="24"/>
        <v>0.9841897722</v>
      </c>
      <c r="AS44" s="36"/>
      <c r="AT44" s="18">
        <f t="shared" si="25"/>
        <v>1479033983</v>
      </c>
      <c r="AU44" s="37">
        <f t="shared" si="26"/>
        <v>0.8660217607</v>
      </c>
      <c r="AV44" s="13">
        <f t="shared" si="27"/>
        <v>1035323788</v>
      </c>
      <c r="AW44" s="13">
        <f>AA5</f>
        <v>20173.08082</v>
      </c>
      <c r="AX44" s="13">
        <f>BJ5</f>
        <v>44530.4899</v>
      </c>
      <c r="AY44" s="17">
        <f t="shared" si="97"/>
        <v>31171.34293</v>
      </c>
      <c r="AZ44" s="17">
        <f>AA4</f>
        <v>5995.212326</v>
      </c>
      <c r="BA44" s="17">
        <f t="shared" ref="BA44:BM44" si="98">B44*$AU44*$P44*$Q44</f>
        <v>0</v>
      </c>
      <c r="BB44" s="17">
        <f t="shared" si="98"/>
        <v>0</v>
      </c>
      <c r="BC44" s="17">
        <f t="shared" si="98"/>
        <v>0</v>
      </c>
      <c r="BD44" s="17">
        <f t="shared" si="98"/>
        <v>0</v>
      </c>
      <c r="BE44" s="17">
        <f t="shared" si="98"/>
        <v>0</v>
      </c>
      <c r="BF44" s="17">
        <f t="shared" si="98"/>
        <v>0</v>
      </c>
      <c r="BG44" s="17">
        <f t="shared" si="98"/>
        <v>0</v>
      </c>
      <c r="BH44" s="17">
        <f t="shared" si="98"/>
        <v>0</v>
      </c>
      <c r="BI44" s="17">
        <f t="shared" si="98"/>
        <v>2958067.966</v>
      </c>
      <c r="BJ44" s="17">
        <f t="shared" si="98"/>
        <v>295806796.6</v>
      </c>
      <c r="BK44" s="17">
        <f t="shared" si="98"/>
        <v>168609874.1</v>
      </c>
      <c r="BL44" s="17">
        <f t="shared" si="98"/>
        <v>5916135.932</v>
      </c>
      <c r="BM44" s="17">
        <f t="shared" si="98"/>
        <v>0</v>
      </c>
      <c r="BN44" s="17"/>
      <c r="BO44" s="17">
        <f t="shared" si="99"/>
        <v>31171.34293</v>
      </c>
      <c r="BP44" s="17">
        <f t="shared" si="100"/>
        <v>120961769.4</v>
      </c>
      <c r="BQ44" s="17"/>
      <c r="BR44" s="17"/>
    </row>
    <row r="45" ht="15.75" customHeight="1">
      <c r="A45" s="13">
        <v>540.0</v>
      </c>
      <c r="B45" s="13">
        <v>0.0</v>
      </c>
      <c r="C45" s="13">
        <v>0.0</v>
      </c>
      <c r="D45" s="13">
        <v>0.0</v>
      </c>
      <c r="E45" s="13">
        <v>0.0</v>
      </c>
      <c r="F45" s="13">
        <v>0.0</v>
      </c>
      <c r="G45" s="13">
        <v>0.0</v>
      </c>
      <c r="H45" s="13">
        <v>0.0</v>
      </c>
      <c r="I45" s="13">
        <v>0.0</v>
      </c>
      <c r="J45" s="13">
        <v>0.1</v>
      </c>
      <c r="K45" s="13">
        <v>0.85</v>
      </c>
      <c r="L45" s="13">
        <v>0.27</v>
      </c>
      <c r="M45" s="13">
        <v>0.0</v>
      </c>
      <c r="N45" s="13">
        <v>0.0</v>
      </c>
      <c r="O45" s="13">
        <f t="shared" si="11"/>
        <v>26075987508522</v>
      </c>
      <c r="P45" s="13">
        <f t="shared" si="12"/>
        <v>1719889681</v>
      </c>
      <c r="Q45" s="13">
        <v>0.2</v>
      </c>
      <c r="R45" s="13">
        <f t="shared" ref="R45:AD45" si="101">B45*$O45*$Q45</f>
        <v>0</v>
      </c>
      <c r="S45" s="13">
        <f t="shared" si="101"/>
        <v>0</v>
      </c>
      <c r="T45" s="13">
        <f t="shared" si="101"/>
        <v>0</v>
      </c>
      <c r="U45" s="13">
        <f t="shared" si="101"/>
        <v>0</v>
      </c>
      <c r="V45" s="13">
        <f t="shared" si="101"/>
        <v>0</v>
      </c>
      <c r="W45" s="13">
        <f t="shared" si="101"/>
        <v>0</v>
      </c>
      <c r="X45" s="13">
        <f t="shared" si="101"/>
        <v>0</v>
      </c>
      <c r="Y45" s="13">
        <f t="shared" si="101"/>
        <v>0</v>
      </c>
      <c r="Z45" s="13">
        <f t="shared" si="101"/>
        <v>521519750170</v>
      </c>
      <c r="AA45" s="13">
        <f t="shared" si="101"/>
        <v>4432917876449</v>
      </c>
      <c r="AB45" s="13">
        <f t="shared" si="101"/>
        <v>1408103325460</v>
      </c>
      <c r="AC45" s="13">
        <f t="shared" si="101"/>
        <v>0</v>
      </c>
      <c r="AD45" s="13">
        <f t="shared" si="101"/>
        <v>0</v>
      </c>
      <c r="AE45" s="34">
        <v>2.4113292613311284E-25</v>
      </c>
      <c r="AF45" s="13">
        <f t="shared" si="14"/>
        <v>0.9593023593</v>
      </c>
      <c r="AG45" s="35">
        <f t="shared" si="15"/>
        <v>0</v>
      </c>
      <c r="AH45" s="13">
        <f t="shared" si="16"/>
        <v>0.99962273</v>
      </c>
      <c r="AI45" s="35">
        <f>3E-27/2000</f>
        <v>0</v>
      </c>
      <c r="AJ45" s="15">
        <f t="shared" si="17"/>
        <v>0.9981555533</v>
      </c>
      <c r="AK45" s="34">
        <v>0.0</v>
      </c>
      <c r="AL45" s="15">
        <f t="shared" si="18"/>
        <v>1</v>
      </c>
      <c r="AM45" s="36">
        <f t="shared" si="19"/>
        <v>0</v>
      </c>
      <c r="AN45" s="15">
        <f t="shared" si="20"/>
        <v>0.9197492598</v>
      </c>
      <c r="AO45" s="36">
        <f t="shared" si="21"/>
        <v>0</v>
      </c>
      <c r="AP45" s="15">
        <f t="shared" si="22"/>
        <v>1</v>
      </c>
      <c r="AQ45" s="36">
        <f t="shared" si="23"/>
        <v>0</v>
      </c>
      <c r="AR45" s="15">
        <f t="shared" si="24"/>
        <v>0.9829960028</v>
      </c>
      <c r="AS45" s="36"/>
      <c r="AT45" s="18">
        <f t="shared" si="25"/>
        <v>1488372552</v>
      </c>
      <c r="AU45" s="37">
        <f t="shared" si="26"/>
        <v>0.8653883842</v>
      </c>
      <c r="AV45" s="13">
        <f t="shared" si="27"/>
        <v>1041860786</v>
      </c>
      <c r="AW45" s="13"/>
      <c r="AX45" s="13"/>
      <c r="AY45" s="17"/>
      <c r="AZ45" s="17"/>
      <c r="BA45" s="17">
        <f t="shared" ref="BA45:BM45" si="102">B45*$AU45*$P45*$Q45</f>
        <v>0</v>
      </c>
      <c r="BB45" s="17">
        <f t="shared" si="102"/>
        <v>0</v>
      </c>
      <c r="BC45" s="17">
        <f t="shared" si="102"/>
        <v>0</v>
      </c>
      <c r="BD45" s="17">
        <f t="shared" si="102"/>
        <v>0</v>
      </c>
      <c r="BE45" s="17">
        <f t="shared" si="102"/>
        <v>0</v>
      </c>
      <c r="BF45" s="17">
        <f t="shared" si="102"/>
        <v>0</v>
      </c>
      <c r="BG45" s="17">
        <f t="shared" si="102"/>
        <v>0</v>
      </c>
      <c r="BH45" s="17">
        <f t="shared" si="102"/>
        <v>0</v>
      </c>
      <c r="BI45" s="17">
        <f t="shared" si="102"/>
        <v>29767451.03</v>
      </c>
      <c r="BJ45" s="17">
        <f t="shared" si="102"/>
        <v>253023333.8</v>
      </c>
      <c r="BK45" s="17">
        <f t="shared" si="102"/>
        <v>80372117.79</v>
      </c>
      <c r="BL45" s="17">
        <f t="shared" si="102"/>
        <v>0</v>
      </c>
      <c r="BM45" s="17">
        <f t="shared" si="102"/>
        <v>0</v>
      </c>
      <c r="BN45" s="17"/>
      <c r="BO45" s="17"/>
      <c r="BP45" s="17"/>
      <c r="BQ45" s="17"/>
      <c r="BR45" s="17"/>
    </row>
    <row r="46" ht="15.75" customHeight="1">
      <c r="A46" s="13">
        <v>530.0</v>
      </c>
      <c r="B46" s="13">
        <v>0.0</v>
      </c>
      <c r="C46" s="13">
        <v>0.0</v>
      </c>
      <c r="D46" s="13">
        <v>0.0</v>
      </c>
      <c r="E46" s="13">
        <v>0.0</v>
      </c>
      <c r="F46" s="13">
        <v>0.0</v>
      </c>
      <c r="G46" s="13">
        <v>0.0</v>
      </c>
      <c r="H46" s="13">
        <v>0.0</v>
      </c>
      <c r="I46" s="13">
        <v>0.0</v>
      </c>
      <c r="J46" s="13">
        <v>0.2</v>
      </c>
      <c r="K46" s="13">
        <v>0.55</v>
      </c>
      <c r="L46" s="13">
        <v>0.09</v>
      </c>
      <c r="M46" s="13">
        <v>0.0</v>
      </c>
      <c r="N46" s="13">
        <v>0.0</v>
      </c>
      <c r="O46" s="13">
        <f t="shared" si="11"/>
        <v>26222922655226</v>
      </c>
      <c r="P46" s="13">
        <f t="shared" si="12"/>
        <v>1729581058</v>
      </c>
      <c r="Q46" s="13">
        <v>0.2</v>
      </c>
      <c r="R46" s="13">
        <f t="shared" ref="R46:AD46" si="103">B46*$O46*$Q46</f>
        <v>0</v>
      </c>
      <c r="S46" s="13">
        <f t="shared" si="103"/>
        <v>0</v>
      </c>
      <c r="T46" s="13">
        <f t="shared" si="103"/>
        <v>0</v>
      </c>
      <c r="U46" s="13">
        <f t="shared" si="103"/>
        <v>0</v>
      </c>
      <c r="V46" s="13">
        <f t="shared" si="103"/>
        <v>0</v>
      </c>
      <c r="W46" s="13">
        <f t="shared" si="103"/>
        <v>0</v>
      </c>
      <c r="X46" s="13">
        <f t="shared" si="103"/>
        <v>0</v>
      </c>
      <c r="Y46" s="13">
        <f t="shared" si="103"/>
        <v>0</v>
      </c>
      <c r="Z46" s="13">
        <f t="shared" si="103"/>
        <v>1048916906209</v>
      </c>
      <c r="AA46" s="13">
        <f t="shared" si="103"/>
        <v>2884521492075</v>
      </c>
      <c r="AB46" s="13">
        <f t="shared" si="103"/>
        <v>472012607794</v>
      </c>
      <c r="AC46" s="13">
        <f t="shared" si="103"/>
        <v>0</v>
      </c>
      <c r="AD46" s="13">
        <f t="shared" si="103"/>
        <v>0</v>
      </c>
      <c r="AE46" s="34">
        <v>2.0094410511092736E-25</v>
      </c>
      <c r="AF46" s="13">
        <f t="shared" si="14"/>
        <v>0.9659684171</v>
      </c>
      <c r="AG46" s="35">
        <f t="shared" si="15"/>
        <v>0</v>
      </c>
      <c r="AH46" s="13">
        <f t="shared" si="16"/>
        <v>0.999549179</v>
      </c>
      <c r="AI46" s="35">
        <v>0.0</v>
      </c>
      <c r="AJ46" s="15">
        <f t="shared" si="17"/>
        <v>1</v>
      </c>
      <c r="AK46" s="34">
        <v>0.0</v>
      </c>
      <c r="AL46" s="15">
        <f t="shared" si="18"/>
        <v>1</v>
      </c>
      <c r="AM46" s="36">
        <f t="shared" si="19"/>
        <v>0</v>
      </c>
      <c r="AN46" s="15">
        <f t="shared" si="20"/>
        <v>0.9137953336</v>
      </c>
      <c r="AO46" s="36">
        <f t="shared" si="21"/>
        <v>0</v>
      </c>
      <c r="AP46" s="15">
        <f t="shared" si="22"/>
        <v>1</v>
      </c>
      <c r="AQ46" s="36">
        <f t="shared" si="23"/>
        <v>0</v>
      </c>
      <c r="AR46" s="15">
        <f t="shared" si="24"/>
        <v>0.9816880614</v>
      </c>
      <c r="AS46" s="36"/>
      <c r="AT46" s="18">
        <f t="shared" si="25"/>
        <v>1498064318</v>
      </c>
      <c r="AU46" s="37">
        <f t="shared" si="26"/>
        <v>0.8661428793</v>
      </c>
      <c r="AV46" s="13">
        <f t="shared" si="27"/>
        <v>1048645022</v>
      </c>
      <c r="AW46" s="13"/>
      <c r="AX46" s="13"/>
      <c r="AY46" s="17"/>
      <c r="AZ46" s="17"/>
      <c r="BA46" s="17">
        <f t="shared" ref="BA46:BM46" si="104">B46*$AU46*$P46*$Q46</f>
        <v>0</v>
      </c>
      <c r="BB46" s="17">
        <f t="shared" si="104"/>
        <v>0</v>
      </c>
      <c r="BC46" s="17">
        <f t="shared" si="104"/>
        <v>0</v>
      </c>
      <c r="BD46" s="17">
        <f t="shared" si="104"/>
        <v>0</v>
      </c>
      <c r="BE46" s="17">
        <f t="shared" si="104"/>
        <v>0</v>
      </c>
      <c r="BF46" s="17">
        <f t="shared" si="104"/>
        <v>0</v>
      </c>
      <c r="BG46" s="17">
        <f t="shared" si="104"/>
        <v>0</v>
      </c>
      <c r="BH46" s="17">
        <f t="shared" si="104"/>
        <v>0</v>
      </c>
      <c r="BI46" s="17">
        <f t="shared" si="104"/>
        <v>59922572.71</v>
      </c>
      <c r="BJ46" s="17">
        <f t="shared" si="104"/>
        <v>164787075</v>
      </c>
      <c r="BK46" s="17">
        <f t="shared" si="104"/>
        <v>26965157.72</v>
      </c>
      <c r="BL46" s="17">
        <f t="shared" si="104"/>
        <v>0</v>
      </c>
      <c r="BM46" s="17">
        <f t="shared" si="104"/>
        <v>0</v>
      </c>
      <c r="BN46" s="17"/>
      <c r="BO46" s="17"/>
      <c r="BP46" s="17"/>
      <c r="BQ46" s="17"/>
      <c r="BR46" s="17"/>
    </row>
    <row r="47" ht="15.75" customHeight="1">
      <c r="A47" s="13">
        <v>520.0</v>
      </c>
      <c r="B47" s="13">
        <v>0.0</v>
      </c>
      <c r="C47" s="13">
        <v>0.0</v>
      </c>
      <c r="D47" s="13">
        <v>0.0</v>
      </c>
      <c r="E47" s="13">
        <v>0.0</v>
      </c>
      <c r="F47" s="13">
        <v>0.0</v>
      </c>
      <c r="G47" s="13">
        <v>0.0</v>
      </c>
      <c r="H47" s="13">
        <v>0.0</v>
      </c>
      <c r="I47" s="13">
        <v>0.0</v>
      </c>
      <c r="J47" s="13">
        <v>0.5</v>
      </c>
      <c r="K47" s="13">
        <v>0.22</v>
      </c>
      <c r="L47" s="13">
        <v>0.07</v>
      </c>
      <c r="M47" s="13">
        <v>0.0</v>
      </c>
      <c r="N47" s="13">
        <v>0.0</v>
      </c>
      <c r="O47" s="13">
        <f t="shared" si="11"/>
        <v>26330530096584</v>
      </c>
      <c r="P47" s="13">
        <f t="shared" si="12"/>
        <v>1736678505</v>
      </c>
      <c r="Q47" s="13">
        <v>0.2</v>
      </c>
      <c r="R47" s="13">
        <f t="shared" ref="R47:AD47" si="105">B47*$O47*$Q47</f>
        <v>0</v>
      </c>
      <c r="S47" s="13">
        <f t="shared" si="105"/>
        <v>0</v>
      </c>
      <c r="T47" s="13">
        <f t="shared" si="105"/>
        <v>0</v>
      </c>
      <c r="U47" s="13">
        <f t="shared" si="105"/>
        <v>0</v>
      </c>
      <c r="V47" s="13">
        <f t="shared" si="105"/>
        <v>0</v>
      </c>
      <c r="W47" s="13">
        <f t="shared" si="105"/>
        <v>0</v>
      </c>
      <c r="X47" s="13">
        <f t="shared" si="105"/>
        <v>0</v>
      </c>
      <c r="Y47" s="13">
        <f t="shared" si="105"/>
        <v>0</v>
      </c>
      <c r="Z47" s="13">
        <f t="shared" si="105"/>
        <v>2633053009658</v>
      </c>
      <c r="AA47" s="13">
        <f t="shared" si="105"/>
        <v>1158543324250</v>
      </c>
      <c r="AB47" s="13">
        <f t="shared" si="105"/>
        <v>368627421352</v>
      </c>
      <c r="AC47" s="13">
        <f t="shared" si="105"/>
        <v>0</v>
      </c>
      <c r="AD47" s="13">
        <f t="shared" si="105"/>
        <v>0</v>
      </c>
      <c r="AE47" s="34">
        <v>1.545723885468672E-25</v>
      </c>
      <c r="AF47" s="13">
        <f t="shared" si="14"/>
        <v>0.973717602</v>
      </c>
      <c r="AG47" s="35">
        <f t="shared" si="15"/>
        <v>0</v>
      </c>
      <c r="AH47" s="13">
        <f t="shared" si="16"/>
        <v>0.9994612926</v>
      </c>
      <c r="AI47" s="35">
        <v>0.0</v>
      </c>
      <c r="AJ47" s="15">
        <f t="shared" si="17"/>
        <v>1</v>
      </c>
      <c r="AK47" s="34">
        <v>0.0</v>
      </c>
      <c r="AL47" s="15">
        <f t="shared" si="18"/>
        <v>1</v>
      </c>
      <c r="AM47" s="36">
        <f t="shared" si="19"/>
        <v>0</v>
      </c>
      <c r="AN47" s="15">
        <f t="shared" si="20"/>
        <v>0.9072966824</v>
      </c>
      <c r="AO47" s="36">
        <f t="shared" si="21"/>
        <v>0</v>
      </c>
      <c r="AP47" s="15">
        <f t="shared" si="22"/>
        <v>1</v>
      </c>
      <c r="AQ47" s="36">
        <f t="shared" si="23"/>
        <v>0</v>
      </c>
      <c r="AR47" s="15">
        <f t="shared" si="24"/>
        <v>0.9802527004</v>
      </c>
      <c r="AS47" s="36"/>
      <c r="AT47" s="18">
        <f t="shared" si="25"/>
        <v>1503162039</v>
      </c>
      <c r="AU47" s="37">
        <f t="shared" si="26"/>
        <v>0.86553846</v>
      </c>
      <c r="AV47" s="13">
        <f t="shared" si="27"/>
        <v>1052213427</v>
      </c>
      <c r="AW47" s="13"/>
      <c r="AX47" s="13"/>
      <c r="AY47" s="17"/>
      <c r="AZ47" s="17"/>
      <c r="BA47" s="17">
        <f t="shared" ref="BA47:BM47" si="106">B47*$AU47*$P47*$Q47</f>
        <v>0</v>
      </c>
      <c r="BB47" s="17">
        <f t="shared" si="106"/>
        <v>0</v>
      </c>
      <c r="BC47" s="17">
        <f t="shared" si="106"/>
        <v>0</v>
      </c>
      <c r="BD47" s="17">
        <f t="shared" si="106"/>
        <v>0</v>
      </c>
      <c r="BE47" s="17">
        <f t="shared" si="106"/>
        <v>0</v>
      </c>
      <c r="BF47" s="17">
        <f t="shared" si="106"/>
        <v>0</v>
      </c>
      <c r="BG47" s="17">
        <f t="shared" si="106"/>
        <v>0</v>
      </c>
      <c r="BH47" s="17">
        <f t="shared" si="106"/>
        <v>0</v>
      </c>
      <c r="BI47" s="17">
        <f t="shared" si="106"/>
        <v>150316203.9</v>
      </c>
      <c r="BJ47" s="17">
        <f t="shared" si="106"/>
        <v>66139129.7</v>
      </c>
      <c r="BK47" s="17">
        <f t="shared" si="106"/>
        <v>21044268.54</v>
      </c>
      <c r="BL47" s="17">
        <f t="shared" si="106"/>
        <v>0</v>
      </c>
      <c r="BM47" s="17">
        <f t="shared" si="106"/>
        <v>0</v>
      </c>
      <c r="BN47" s="17"/>
      <c r="BO47" s="17"/>
      <c r="BP47" s="17"/>
      <c r="BQ47" s="17"/>
      <c r="BR47" s="17"/>
    </row>
    <row r="48" ht="15.75" customHeight="1">
      <c r="A48" s="13">
        <v>510.0</v>
      </c>
      <c r="B48" s="13">
        <v>0.0</v>
      </c>
      <c r="C48" s="13">
        <v>0.0</v>
      </c>
      <c r="D48" s="13">
        <v>0.0</v>
      </c>
      <c r="E48" s="13">
        <v>0.0</v>
      </c>
      <c r="F48" s="13">
        <v>0.0</v>
      </c>
      <c r="G48" s="13">
        <v>0.0</v>
      </c>
      <c r="H48" s="13">
        <v>0.0</v>
      </c>
      <c r="I48" s="13">
        <v>0.0</v>
      </c>
      <c r="J48" s="13">
        <v>0.8</v>
      </c>
      <c r="K48" s="13">
        <v>0.12</v>
      </c>
      <c r="L48" s="13">
        <v>0.03</v>
      </c>
      <c r="M48" s="13">
        <v>0.0</v>
      </c>
      <c r="N48" s="13">
        <v>0.0</v>
      </c>
      <c r="O48" s="13">
        <f t="shared" si="11"/>
        <v>26394946261334</v>
      </c>
      <c r="P48" s="13">
        <f t="shared" si="12"/>
        <v>1740927191</v>
      </c>
      <c r="Q48" s="13">
        <v>0.2</v>
      </c>
      <c r="R48" s="13">
        <f t="shared" ref="R48:AD48" si="107">B48*$O48*$Q48</f>
        <v>0</v>
      </c>
      <c r="S48" s="13">
        <f t="shared" si="107"/>
        <v>0</v>
      </c>
      <c r="T48" s="13">
        <f t="shared" si="107"/>
        <v>0</v>
      </c>
      <c r="U48" s="13">
        <f t="shared" si="107"/>
        <v>0</v>
      </c>
      <c r="V48" s="13">
        <f t="shared" si="107"/>
        <v>0</v>
      </c>
      <c r="W48" s="13">
        <f t="shared" si="107"/>
        <v>0</v>
      </c>
      <c r="X48" s="13">
        <f t="shared" si="107"/>
        <v>0</v>
      </c>
      <c r="Y48" s="13">
        <f t="shared" si="107"/>
        <v>0</v>
      </c>
      <c r="Z48" s="13">
        <f t="shared" si="107"/>
        <v>4223191401813</v>
      </c>
      <c r="AA48" s="13">
        <f t="shared" si="107"/>
        <v>633478710272</v>
      </c>
      <c r="AB48" s="13">
        <f t="shared" si="107"/>
        <v>158369677568</v>
      </c>
      <c r="AC48" s="13">
        <f t="shared" si="107"/>
        <v>0</v>
      </c>
      <c r="AD48" s="13">
        <f t="shared" si="107"/>
        <v>0</v>
      </c>
      <c r="AE48" s="34">
        <v>1.18901837343744E-25</v>
      </c>
      <c r="AF48" s="13">
        <f t="shared" si="14"/>
        <v>0.9797207894</v>
      </c>
      <c r="AG48" s="35">
        <f t="shared" si="15"/>
        <v>0</v>
      </c>
      <c r="AH48" s="13">
        <f t="shared" si="16"/>
        <v>0.9993562784</v>
      </c>
      <c r="AI48" s="35">
        <f t="shared" ref="AI48:AI49" si="110">1E-26/2000</f>
        <v>0</v>
      </c>
      <c r="AJ48" s="15">
        <f t="shared" si="17"/>
        <v>0.9938650633</v>
      </c>
      <c r="AK48" s="34">
        <v>0.0</v>
      </c>
      <c r="AL48" s="15">
        <f t="shared" si="18"/>
        <v>1</v>
      </c>
      <c r="AM48" s="36">
        <f t="shared" si="19"/>
        <v>0</v>
      </c>
      <c r="AN48" s="15">
        <f t="shared" si="20"/>
        <v>0.9001954219</v>
      </c>
      <c r="AO48" s="36">
        <f t="shared" si="21"/>
        <v>0</v>
      </c>
      <c r="AP48" s="15">
        <f t="shared" si="22"/>
        <v>1</v>
      </c>
      <c r="AQ48" s="36">
        <f t="shared" si="23"/>
        <v>0</v>
      </c>
      <c r="AR48" s="15">
        <f t="shared" si="24"/>
        <v>0.9786748651</v>
      </c>
      <c r="AS48" s="36"/>
      <c r="AT48" s="18">
        <f t="shared" si="25"/>
        <v>1492471121</v>
      </c>
      <c r="AU48" s="37">
        <f t="shared" si="26"/>
        <v>0.8572852034</v>
      </c>
      <c r="AV48" s="13">
        <f t="shared" si="27"/>
        <v>1044729785</v>
      </c>
      <c r="AW48" s="13"/>
      <c r="AX48" s="13"/>
      <c r="AY48" s="17"/>
      <c r="AZ48" s="17"/>
      <c r="BA48" s="17">
        <f t="shared" ref="BA48:BM48" si="108">B48*$AU48*$P48*$Q48</f>
        <v>0</v>
      </c>
      <c r="BB48" s="17">
        <f t="shared" si="108"/>
        <v>0</v>
      </c>
      <c r="BC48" s="17">
        <f t="shared" si="108"/>
        <v>0</v>
      </c>
      <c r="BD48" s="17">
        <f t="shared" si="108"/>
        <v>0</v>
      </c>
      <c r="BE48" s="17">
        <f t="shared" si="108"/>
        <v>0</v>
      </c>
      <c r="BF48" s="17">
        <f t="shared" si="108"/>
        <v>0</v>
      </c>
      <c r="BG48" s="17">
        <f t="shared" si="108"/>
        <v>0</v>
      </c>
      <c r="BH48" s="17">
        <f t="shared" si="108"/>
        <v>0</v>
      </c>
      <c r="BI48" s="17">
        <f t="shared" si="108"/>
        <v>238795379.4</v>
      </c>
      <c r="BJ48" s="17">
        <f t="shared" si="108"/>
        <v>35819306.91</v>
      </c>
      <c r="BK48" s="17">
        <f t="shared" si="108"/>
        <v>8954826.728</v>
      </c>
      <c r="BL48" s="17">
        <f t="shared" si="108"/>
        <v>0</v>
      </c>
      <c r="BM48" s="17">
        <f t="shared" si="108"/>
        <v>0</v>
      </c>
      <c r="BN48" s="17"/>
      <c r="BO48" s="17"/>
      <c r="BP48" s="17"/>
      <c r="BQ48" s="17"/>
      <c r="BR48" s="17"/>
    </row>
    <row r="49" ht="15.75" customHeight="1">
      <c r="A49" s="13">
        <v>500.0</v>
      </c>
      <c r="B49" s="13">
        <v>0.0</v>
      </c>
      <c r="C49" s="13">
        <v>0.0</v>
      </c>
      <c r="D49" s="13">
        <v>0.0</v>
      </c>
      <c r="E49" s="13">
        <v>0.0</v>
      </c>
      <c r="F49" s="13">
        <v>0.0</v>
      </c>
      <c r="G49" s="13">
        <v>0.0</v>
      </c>
      <c r="H49" s="13">
        <v>0.0</v>
      </c>
      <c r="I49" s="13">
        <v>0.01</v>
      </c>
      <c r="J49" s="13">
        <v>1.0</v>
      </c>
      <c r="K49" s="13">
        <v>0.03</v>
      </c>
      <c r="L49" s="13">
        <v>0.0</v>
      </c>
      <c r="M49" s="13">
        <v>0.0</v>
      </c>
      <c r="N49" s="13">
        <v>0.0</v>
      </c>
      <c r="O49" s="13">
        <f t="shared" si="11"/>
        <v>26412166825854</v>
      </c>
      <c r="P49" s="13">
        <f t="shared" si="12"/>
        <v>1742063005</v>
      </c>
      <c r="Q49" s="13">
        <v>0.2</v>
      </c>
      <c r="R49" s="13">
        <f t="shared" ref="R49:AD49" si="109">B49*$O49*$Q49</f>
        <v>0</v>
      </c>
      <c r="S49" s="13">
        <f t="shared" si="109"/>
        <v>0</v>
      </c>
      <c r="T49" s="13">
        <f t="shared" si="109"/>
        <v>0</v>
      </c>
      <c r="U49" s="13">
        <f t="shared" si="109"/>
        <v>0</v>
      </c>
      <c r="V49" s="13">
        <f t="shared" si="109"/>
        <v>0</v>
      </c>
      <c r="W49" s="13">
        <f t="shared" si="109"/>
        <v>0</v>
      </c>
      <c r="X49" s="13">
        <f t="shared" si="109"/>
        <v>0</v>
      </c>
      <c r="Y49" s="13">
        <f t="shared" si="109"/>
        <v>52824333652</v>
      </c>
      <c r="Z49" s="13">
        <f t="shared" si="109"/>
        <v>5282433365171</v>
      </c>
      <c r="AA49" s="13">
        <f t="shared" si="109"/>
        <v>158473000955</v>
      </c>
      <c r="AB49" s="13">
        <f t="shared" si="109"/>
        <v>0</v>
      </c>
      <c r="AC49" s="13">
        <f t="shared" si="109"/>
        <v>0</v>
      </c>
      <c r="AD49" s="13">
        <f t="shared" si="109"/>
        <v>0</v>
      </c>
      <c r="AE49" s="34">
        <v>9.146295180287999E-26</v>
      </c>
      <c r="AF49" s="13">
        <f t="shared" si="14"/>
        <v>0.9843637989</v>
      </c>
      <c r="AG49" s="35">
        <f t="shared" si="15"/>
        <v>0</v>
      </c>
      <c r="AH49" s="13">
        <f t="shared" si="16"/>
        <v>0.999230801</v>
      </c>
      <c r="AI49" s="35">
        <f t="shared" si="110"/>
        <v>0</v>
      </c>
      <c r="AJ49" s="15">
        <f t="shared" si="17"/>
        <v>0.9938650633</v>
      </c>
      <c r="AK49" s="34">
        <v>0.0</v>
      </c>
      <c r="AL49" s="15">
        <f t="shared" si="18"/>
        <v>1</v>
      </c>
      <c r="AM49" s="36">
        <f t="shared" si="19"/>
        <v>0</v>
      </c>
      <c r="AN49" s="15">
        <f t="shared" si="20"/>
        <v>0.892426964</v>
      </c>
      <c r="AO49" s="36">
        <f t="shared" si="21"/>
        <v>0</v>
      </c>
      <c r="AP49" s="15">
        <f t="shared" si="22"/>
        <v>1</v>
      </c>
      <c r="AQ49" s="36">
        <f t="shared" si="23"/>
        <v>0</v>
      </c>
      <c r="AR49" s="15">
        <f t="shared" si="24"/>
        <v>0.9769374104</v>
      </c>
      <c r="AS49" s="36"/>
      <c r="AT49" s="18">
        <f t="shared" si="25"/>
        <v>1484745963</v>
      </c>
      <c r="AU49" s="37">
        <f t="shared" si="26"/>
        <v>0.8522917702</v>
      </c>
      <c r="AV49" s="13">
        <f t="shared" si="27"/>
        <v>1039322174</v>
      </c>
      <c r="AW49" s="13">
        <f>Z5</f>
        <v>33481.83011</v>
      </c>
      <c r="AX49" s="13">
        <f>BI5</f>
        <v>42956.07563</v>
      </c>
      <c r="AY49" s="17">
        <f>AX49*$BO$4</f>
        <v>30069.25294</v>
      </c>
      <c r="AZ49" s="17">
        <f>Z4</f>
        <v>6411.920564</v>
      </c>
      <c r="BA49" s="17">
        <f t="shared" ref="BA49:BM49" si="111">B49*$AU49*$P49*$Q49</f>
        <v>0</v>
      </c>
      <c r="BB49" s="17">
        <f t="shared" si="111"/>
        <v>0</v>
      </c>
      <c r="BC49" s="17">
        <f t="shared" si="111"/>
        <v>0</v>
      </c>
      <c r="BD49" s="17">
        <f t="shared" si="111"/>
        <v>0</v>
      </c>
      <c r="BE49" s="17">
        <f t="shared" si="111"/>
        <v>0</v>
      </c>
      <c r="BF49" s="17">
        <f t="shared" si="111"/>
        <v>0</v>
      </c>
      <c r="BG49" s="17">
        <f t="shared" si="111"/>
        <v>0</v>
      </c>
      <c r="BH49" s="17">
        <f t="shared" si="111"/>
        <v>2969491.925</v>
      </c>
      <c r="BI49" s="17">
        <f t="shared" si="111"/>
        <v>296949192.5</v>
      </c>
      <c r="BJ49" s="17">
        <f t="shared" si="111"/>
        <v>8908475.776</v>
      </c>
      <c r="BK49" s="17">
        <f t="shared" si="111"/>
        <v>0</v>
      </c>
      <c r="BL49" s="17">
        <f t="shared" si="111"/>
        <v>0</v>
      </c>
      <c r="BM49" s="17">
        <f t="shared" si="111"/>
        <v>0</v>
      </c>
      <c r="BN49" s="17"/>
      <c r="BO49" s="17">
        <f>AX49*$BO$4</f>
        <v>30069.25294</v>
      </c>
      <c r="BP49" s="17">
        <f>(BO49-AW49)^2</f>
        <v>11645682.92</v>
      </c>
      <c r="BQ49" s="17"/>
      <c r="BR49" s="17"/>
    </row>
    <row r="50" ht="15.75" customHeight="1">
      <c r="A50" s="13">
        <v>490.0</v>
      </c>
      <c r="B50" s="13">
        <v>0.0</v>
      </c>
      <c r="C50" s="13">
        <v>0.0</v>
      </c>
      <c r="D50" s="13">
        <v>0.0</v>
      </c>
      <c r="E50" s="13">
        <v>0.0</v>
      </c>
      <c r="F50" s="13">
        <v>0.0</v>
      </c>
      <c r="G50" s="13">
        <v>0.0</v>
      </c>
      <c r="H50" s="13">
        <v>0.0</v>
      </c>
      <c r="I50" s="13">
        <v>0.05</v>
      </c>
      <c r="J50" s="13">
        <v>0.72</v>
      </c>
      <c r="K50" s="13">
        <v>0.0</v>
      </c>
      <c r="L50" s="13">
        <v>0.0</v>
      </c>
      <c r="M50" s="13">
        <v>0.0</v>
      </c>
      <c r="N50" s="13">
        <v>0.0</v>
      </c>
      <c r="O50" s="13">
        <f t="shared" si="11"/>
        <v>26378075165150</v>
      </c>
      <c r="P50" s="13">
        <f t="shared" si="12"/>
        <v>1739814427</v>
      </c>
      <c r="Q50" s="13">
        <v>0.2</v>
      </c>
      <c r="R50" s="13">
        <f t="shared" ref="R50:AD50" si="112">B50*$O50*$Q50</f>
        <v>0</v>
      </c>
      <c r="S50" s="13">
        <f t="shared" si="112"/>
        <v>0</v>
      </c>
      <c r="T50" s="13">
        <f t="shared" si="112"/>
        <v>0</v>
      </c>
      <c r="U50" s="13">
        <f t="shared" si="112"/>
        <v>0</v>
      </c>
      <c r="V50" s="13">
        <f t="shared" si="112"/>
        <v>0</v>
      </c>
      <c r="W50" s="13">
        <f t="shared" si="112"/>
        <v>0</v>
      </c>
      <c r="X50" s="13">
        <f t="shared" si="112"/>
        <v>0</v>
      </c>
      <c r="Y50" s="13">
        <f t="shared" si="112"/>
        <v>263780751651</v>
      </c>
      <c r="Z50" s="13">
        <f t="shared" si="112"/>
        <v>3798442823782</v>
      </c>
      <c r="AA50" s="13">
        <f t="shared" si="112"/>
        <v>0</v>
      </c>
      <c r="AB50" s="13">
        <f t="shared" si="112"/>
        <v>0</v>
      </c>
      <c r="AC50" s="13">
        <f t="shared" si="112"/>
        <v>0</v>
      </c>
      <c r="AD50" s="13">
        <f t="shared" si="112"/>
        <v>0</v>
      </c>
      <c r="AE50" s="34">
        <v>6.53306798592E-26</v>
      </c>
      <c r="AF50" s="13">
        <f t="shared" si="14"/>
        <v>0.9888061682</v>
      </c>
      <c r="AG50" s="35">
        <f t="shared" si="15"/>
        <v>0</v>
      </c>
      <c r="AH50" s="13">
        <f t="shared" si="16"/>
        <v>0.9990808761</v>
      </c>
      <c r="AI50" s="35">
        <v>0.0</v>
      </c>
      <c r="AJ50" s="15">
        <f t="shared" si="17"/>
        <v>1</v>
      </c>
      <c r="AK50" s="34">
        <v>0.0</v>
      </c>
      <c r="AL50" s="15">
        <f t="shared" si="18"/>
        <v>1</v>
      </c>
      <c r="AM50" s="36">
        <f t="shared" si="19"/>
        <v>0</v>
      </c>
      <c r="AN50" s="15">
        <f t="shared" si="20"/>
        <v>0.8839192556</v>
      </c>
      <c r="AO50" s="36">
        <f t="shared" si="21"/>
        <v>0</v>
      </c>
      <c r="AP50" s="15">
        <f t="shared" si="22"/>
        <v>1</v>
      </c>
      <c r="AQ50" s="36">
        <f t="shared" si="23"/>
        <v>0</v>
      </c>
      <c r="AR50" s="15">
        <f t="shared" si="24"/>
        <v>0.9750207693</v>
      </c>
      <c r="AS50" s="36"/>
      <c r="AT50" s="18">
        <f t="shared" si="25"/>
        <v>1481293791</v>
      </c>
      <c r="AU50" s="37">
        <f t="shared" si="26"/>
        <v>0.8514090744</v>
      </c>
      <c r="AV50" s="13">
        <f t="shared" si="27"/>
        <v>1036905654</v>
      </c>
      <c r="AW50" s="13"/>
      <c r="AX50" s="13"/>
      <c r="AY50" s="17"/>
      <c r="AZ50" s="17"/>
      <c r="BA50" s="17">
        <f t="shared" ref="BA50:BM50" si="113">B50*$AU50*$P50*$Q50</f>
        <v>0</v>
      </c>
      <c r="BB50" s="17">
        <f t="shared" si="113"/>
        <v>0</v>
      </c>
      <c r="BC50" s="17">
        <f t="shared" si="113"/>
        <v>0</v>
      </c>
      <c r="BD50" s="17">
        <f t="shared" si="113"/>
        <v>0</v>
      </c>
      <c r="BE50" s="17">
        <f t="shared" si="113"/>
        <v>0</v>
      </c>
      <c r="BF50" s="17">
        <f t="shared" si="113"/>
        <v>0</v>
      </c>
      <c r="BG50" s="17">
        <f t="shared" si="113"/>
        <v>0</v>
      </c>
      <c r="BH50" s="17">
        <f t="shared" si="113"/>
        <v>14812937.91</v>
      </c>
      <c r="BI50" s="17">
        <f t="shared" si="113"/>
        <v>213306305.9</v>
      </c>
      <c r="BJ50" s="17">
        <f t="shared" si="113"/>
        <v>0</v>
      </c>
      <c r="BK50" s="17">
        <f t="shared" si="113"/>
        <v>0</v>
      </c>
      <c r="BL50" s="17">
        <f t="shared" si="113"/>
        <v>0</v>
      </c>
      <c r="BM50" s="17">
        <f t="shared" si="113"/>
        <v>0</v>
      </c>
      <c r="BN50" s="17"/>
      <c r="BO50" s="17"/>
      <c r="BP50" s="17"/>
      <c r="BQ50" s="17"/>
      <c r="BR50" s="17"/>
    </row>
    <row r="51" ht="15.75" customHeight="1">
      <c r="A51" s="13">
        <v>480.0</v>
      </c>
      <c r="B51" s="13">
        <v>0.0</v>
      </c>
      <c r="C51" s="13">
        <v>0.0</v>
      </c>
      <c r="D51" s="13">
        <v>0.0</v>
      </c>
      <c r="E51" s="13">
        <v>0.0</v>
      </c>
      <c r="F51" s="13">
        <v>0.0</v>
      </c>
      <c r="G51" s="13">
        <v>0.0</v>
      </c>
      <c r="H51" s="13">
        <v>0.0</v>
      </c>
      <c r="I51" s="13">
        <v>0.1</v>
      </c>
      <c r="J51" s="13">
        <v>0.54</v>
      </c>
      <c r="K51" s="13">
        <v>0.0</v>
      </c>
      <c r="L51" s="13">
        <v>0.0</v>
      </c>
      <c r="M51" s="13">
        <v>0.0</v>
      </c>
      <c r="N51" s="13">
        <v>0.0</v>
      </c>
      <c r="O51" s="13">
        <f t="shared" si="11"/>
        <v>26288479300267</v>
      </c>
      <c r="P51" s="13">
        <f t="shared" si="12"/>
        <v>1733904967</v>
      </c>
      <c r="Q51" s="13">
        <v>0.2</v>
      </c>
      <c r="R51" s="13">
        <f t="shared" ref="R51:AD51" si="114">B51*$O51*$Q51</f>
        <v>0</v>
      </c>
      <c r="S51" s="13">
        <f t="shared" si="114"/>
        <v>0</v>
      </c>
      <c r="T51" s="13">
        <f t="shared" si="114"/>
        <v>0</v>
      </c>
      <c r="U51" s="13">
        <f t="shared" si="114"/>
        <v>0</v>
      </c>
      <c r="V51" s="13">
        <f t="shared" si="114"/>
        <v>0</v>
      </c>
      <c r="W51" s="13">
        <f t="shared" si="114"/>
        <v>0</v>
      </c>
      <c r="X51" s="13">
        <f t="shared" si="114"/>
        <v>0</v>
      </c>
      <c r="Y51" s="13">
        <f t="shared" si="114"/>
        <v>525769586005</v>
      </c>
      <c r="Z51" s="13">
        <f t="shared" si="114"/>
        <v>2839155764429</v>
      </c>
      <c r="AA51" s="13">
        <f t="shared" si="114"/>
        <v>0</v>
      </c>
      <c r="AB51" s="13">
        <f t="shared" si="114"/>
        <v>0</v>
      </c>
      <c r="AC51" s="13">
        <f t="shared" si="114"/>
        <v>0</v>
      </c>
      <c r="AD51" s="13">
        <f t="shared" si="114"/>
        <v>0</v>
      </c>
      <c r="AE51" s="34">
        <v>4.6664771328E-26</v>
      </c>
      <c r="AF51" s="13">
        <f t="shared" si="14"/>
        <v>0.9919915582</v>
      </c>
      <c r="AG51" s="35">
        <f t="shared" si="15"/>
        <v>0</v>
      </c>
      <c r="AH51" s="13">
        <f t="shared" si="16"/>
        <v>0.9989017455</v>
      </c>
      <c r="AI51" s="35">
        <v>0.0</v>
      </c>
      <c r="AJ51" s="15">
        <f t="shared" si="17"/>
        <v>1</v>
      </c>
      <c r="AK51" s="34">
        <v>0.0</v>
      </c>
      <c r="AL51" s="15">
        <f t="shared" si="18"/>
        <v>1</v>
      </c>
      <c r="AM51" s="36">
        <f t="shared" si="19"/>
        <v>0</v>
      </c>
      <c r="AN51" s="15">
        <f t="shared" si="20"/>
        <v>0.8745919565</v>
      </c>
      <c r="AO51" s="36">
        <f t="shared" si="21"/>
        <v>0</v>
      </c>
      <c r="AP51" s="15">
        <f t="shared" si="22"/>
        <v>1</v>
      </c>
      <c r="AQ51" s="36">
        <f t="shared" si="23"/>
        <v>0</v>
      </c>
      <c r="AR51" s="15">
        <f t="shared" si="24"/>
        <v>0.972902561</v>
      </c>
      <c r="AS51" s="36"/>
      <c r="AT51" s="18">
        <f t="shared" si="25"/>
        <v>1461944429</v>
      </c>
      <c r="AU51" s="37">
        <f t="shared" si="26"/>
        <v>0.8431514163</v>
      </c>
      <c r="AV51" s="13">
        <f t="shared" si="27"/>
        <v>1023361100</v>
      </c>
      <c r="AW51" s="13"/>
      <c r="AX51" s="13"/>
      <c r="AY51" s="17"/>
      <c r="AZ51" s="17"/>
      <c r="BA51" s="17">
        <f t="shared" ref="BA51:BM51" si="115">B51*$AU51*$P51*$Q51</f>
        <v>0</v>
      </c>
      <c r="BB51" s="17">
        <f t="shared" si="115"/>
        <v>0</v>
      </c>
      <c r="BC51" s="17">
        <f t="shared" si="115"/>
        <v>0</v>
      </c>
      <c r="BD51" s="17">
        <f t="shared" si="115"/>
        <v>0</v>
      </c>
      <c r="BE51" s="17">
        <f t="shared" si="115"/>
        <v>0</v>
      </c>
      <c r="BF51" s="17">
        <f t="shared" si="115"/>
        <v>0</v>
      </c>
      <c r="BG51" s="17">
        <f t="shared" si="115"/>
        <v>0</v>
      </c>
      <c r="BH51" s="17">
        <f t="shared" si="115"/>
        <v>29238888.58</v>
      </c>
      <c r="BI51" s="17">
        <f t="shared" si="115"/>
        <v>157889998.3</v>
      </c>
      <c r="BJ51" s="17">
        <f t="shared" si="115"/>
        <v>0</v>
      </c>
      <c r="BK51" s="17">
        <f t="shared" si="115"/>
        <v>0</v>
      </c>
      <c r="BL51" s="17">
        <f t="shared" si="115"/>
        <v>0</v>
      </c>
      <c r="BM51" s="17">
        <f t="shared" si="115"/>
        <v>0</v>
      </c>
      <c r="BN51" s="17"/>
      <c r="BO51" s="17"/>
      <c r="BP51" s="17"/>
      <c r="BQ51" s="17"/>
      <c r="BR51" s="17"/>
    </row>
    <row r="52" ht="15.75" customHeight="1">
      <c r="A52" s="13">
        <v>470.0</v>
      </c>
      <c r="B52" s="13">
        <v>0.0</v>
      </c>
      <c r="C52" s="13">
        <v>0.0</v>
      </c>
      <c r="D52" s="13">
        <v>0.0</v>
      </c>
      <c r="E52" s="13">
        <v>0.0</v>
      </c>
      <c r="F52" s="13">
        <v>0.0</v>
      </c>
      <c r="G52" s="13">
        <v>0.0</v>
      </c>
      <c r="H52" s="13">
        <v>0.0</v>
      </c>
      <c r="I52" s="13">
        <v>0.4</v>
      </c>
      <c r="J52" s="13">
        <v>0.23</v>
      </c>
      <c r="K52" s="13">
        <v>0.0</v>
      </c>
      <c r="L52" s="13">
        <v>0.0</v>
      </c>
      <c r="M52" s="13">
        <v>0.0</v>
      </c>
      <c r="N52" s="13">
        <v>0.0</v>
      </c>
      <c r="O52" s="13">
        <f t="shared" si="11"/>
        <v>26139158657690</v>
      </c>
      <c r="P52" s="13">
        <f t="shared" si="12"/>
        <v>1724056250</v>
      </c>
      <c r="Q52" s="13">
        <v>0.2</v>
      </c>
      <c r="R52" s="13">
        <f t="shared" ref="R52:AD52" si="116">B52*$O52*$Q52</f>
        <v>0</v>
      </c>
      <c r="S52" s="13">
        <f t="shared" si="116"/>
        <v>0</v>
      </c>
      <c r="T52" s="13">
        <f t="shared" si="116"/>
        <v>0</v>
      </c>
      <c r="U52" s="13">
        <f t="shared" si="116"/>
        <v>0</v>
      </c>
      <c r="V52" s="13">
        <f t="shared" si="116"/>
        <v>0</v>
      </c>
      <c r="W52" s="13">
        <f t="shared" si="116"/>
        <v>0</v>
      </c>
      <c r="X52" s="13">
        <f t="shared" si="116"/>
        <v>0</v>
      </c>
      <c r="Y52" s="13">
        <f t="shared" si="116"/>
        <v>2091132692615</v>
      </c>
      <c r="Z52" s="13">
        <f t="shared" si="116"/>
        <v>1202401298254</v>
      </c>
      <c r="AA52" s="13">
        <f t="shared" si="116"/>
        <v>0</v>
      </c>
      <c r="AB52" s="13">
        <f t="shared" si="116"/>
        <v>0</v>
      </c>
      <c r="AC52" s="13">
        <f t="shared" si="116"/>
        <v>0</v>
      </c>
      <c r="AD52" s="13">
        <f t="shared" si="116"/>
        <v>0</v>
      </c>
      <c r="AE52" s="34">
        <v>3.3331979520000004E-26</v>
      </c>
      <c r="AF52" s="13">
        <f t="shared" si="14"/>
        <v>0.9942731175</v>
      </c>
      <c r="AG52" s="35">
        <f t="shared" si="15"/>
        <v>0</v>
      </c>
      <c r="AH52" s="13">
        <f t="shared" si="16"/>
        <v>0.9986877264</v>
      </c>
      <c r="AI52" s="35">
        <v>0.0</v>
      </c>
      <c r="AJ52" s="15">
        <f t="shared" si="17"/>
        <v>1</v>
      </c>
      <c r="AK52" s="34">
        <v>0.0</v>
      </c>
      <c r="AL52" s="15">
        <f t="shared" si="18"/>
        <v>1</v>
      </c>
      <c r="AM52" s="36">
        <f t="shared" si="19"/>
        <v>0</v>
      </c>
      <c r="AN52" s="15">
        <f t="shared" si="20"/>
        <v>0.8643555681</v>
      </c>
      <c r="AO52" s="36">
        <f t="shared" si="21"/>
        <v>0</v>
      </c>
      <c r="AP52" s="15">
        <f t="shared" si="22"/>
        <v>1</v>
      </c>
      <c r="AQ52" s="36">
        <f t="shared" si="23"/>
        <v>0</v>
      </c>
      <c r="AR52" s="15">
        <f t="shared" si="24"/>
        <v>0.9705571295</v>
      </c>
      <c r="AS52" s="36"/>
      <c r="AT52" s="18">
        <f t="shared" si="25"/>
        <v>1436151907</v>
      </c>
      <c r="AU52" s="37">
        <f t="shared" si="26"/>
        <v>0.8330075701</v>
      </c>
      <c r="AV52" s="13">
        <f t="shared" si="27"/>
        <v>1005306335</v>
      </c>
      <c r="AW52" s="13"/>
      <c r="AX52" s="13"/>
      <c r="AY52" s="17"/>
      <c r="AZ52" s="17"/>
      <c r="BA52" s="17">
        <f t="shared" ref="BA52:BM52" si="117">B52*$AU52*$P52*$Q52</f>
        <v>0</v>
      </c>
      <c r="BB52" s="17">
        <f t="shared" si="117"/>
        <v>0</v>
      </c>
      <c r="BC52" s="17">
        <f t="shared" si="117"/>
        <v>0</v>
      </c>
      <c r="BD52" s="17">
        <f t="shared" si="117"/>
        <v>0</v>
      </c>
      <c r="BE52" s="17">
        <f t="shared" si="117"/>
        <v>0</v>
      </c>
      <c r="BF52" s="17">
        <f t="shared" si="117"/>
        <v>0</v>
      </c>
      <c r="BG52" s="17">
        <f t="shared" si="117"/>
        <v>0</v>
      </c>
      <c r="BH52" s="17">
        <f t="shared" si="117"/>
        <v>114892152.6</v>
      </c>
      <c r="BI52" s="17">
        <f t="shared" si="117"/>
        <v>66062987.74</v>
      </c>
      <c r="BJ52" s="17">
        <f t="shared" si="117"/>
        <v>0</v>
      </c>
      <c r="BK52" s="17">
        <f t="shared" si="117"/>
        <v>0</v>
      </c>
      <c r="BL52" s="17">
        <f t="shared" si="117"/>
        <v>0</v>
      </c>
      <c r="BM52" s="17">
        <f t="shared" si="117"/>
        <v>0</v>
      </c>
      <c r="BN52" s="17"/>
      <c r="BO52" s="17"/>
      <c r="BP52" s="17"/>
      <c r="BQ52" s="17"/>
      <c r="BR52" s="17"/>
    </row>
    <row r="53" ht="15.75" customHeight="1">
      <c r="A53" s="13">
        <v>460.0</v>
      </c>
      <c r="B53" s="13">
        <v>0.02</v>
      </c>
      <c r="C53" s="13">
        <v>0.0</v>
      </c>
      <c r="D53" s="13">
        <v>0.0</v>
      </c>
      <c r="E53" s="13">
        <v>0.0</v>
      </c>
      <c r="F53" s="13">
        <v>0.0</v>
      </c>
      <c r="G53" s="13">
        <v>0.0</v>
      </c>
      <c r="H53" s="13">
        <v>0.0</v>
      </c>
      <c r="I53" s="13">
        <v>0.75</v>
      </c>
      <c r="J53" s="13">
        <v>0.12</v>
      </c>
      <c r="K53" s="13">
        <v>0.0</v>
      </c>
      <c r="L53" s="13">
        <v>0.0</v>
      </c>
      <c r="M53" s="13">
        <v>0.0</v>
      </c>
      <c r="N53" s="13">
        <v>0.0</v>
      </c>
      <c r="O53" s="13">
        <f t="shared" si="11"/>
        <v>25925922030555</v>
      </c>
      <c r="P53" s="13">
        <f t="shared" si="12"/>
        <v>1709991836</v>
      </c>
      <c r="Q53" s="13">
        <v>0.2</v>
      </c>
      <c r="R53" s="13">
        <f t="shared" ref="R53:AD53" si="118">B53*$O53*$Q53</f>
        <v>103703688122</v>
      </c>
      <c r="S53" s="13">
        <f t="shared" si="118"/>
        <v>0</v>
      </c>
      <c r="T53" s="13">
        <f t="shared" si="118"/>
        <v>0</v>
      </c>
      <c r="U53" s="13">
        <f t="shared" si="118"/>
        <v>0</v>
      </c>
      <c r="V53" s="13">
        <f t="shared" si="118"/>
        <v>0</v>
      </c>
      <c r="W53" s="13">
        <f t="shared" si="118"/>
        <v>0</v>
      </c>
      <c r="X53" s="13">
        <f t="shared" si="118"/>
        <v>0</v>
      </c>
      <c r="Y53" s="13">
        <f t="shared" si="118"/>
        <v>3888888304583</v>
      </c>
      <c r="Z53" s="13">
        <f t="shared" si="118"/>
        <v>622222128733</v>
      </c>
      <c r="AA53" s="13">
        <f t="shared" si="118"/>
        <v>0</v>
      </c>
      <c r="AB53" s="13">
        <f t="shared" si="118"/>
        <v>0</v>
      </c>
      <c r="AC53" s="13">
        <f t="shared" si="118"/>
        <v>0</v>
      </c>
      <c r="AD53" s="13">
        <f t="shared" si="118"/>
        <v>0</v>
      </c>
      <c r="AE53" s="34">
        <v>2.3808556800000006E-26</v>
      </c>
      <c r="AF53" s="13">
        <f t="shared" si="14"/>
        <v>0.9959060147</v>
      </c>
      <c r="AG53" s="35">
        <f t="shared" si="15"/>
        <v>0</v>
      </c>
      <c r="AH53" s="13">
        <f t="shared" si="16"/>
        <v>0.9984320337</v>
      </c>
      <c r="AI53" s="35">
        <v>0.0</v>
      </c>
      <c r="AJ53" s="15">
        <f t="shared" si="17"/>
        <v>1</v>
      </c>
      <c r="AK53" s="34">
        <v>0.0</v>
      </c>
      <c r="AL53" s="15">
        <f t="shared" si="18"/>
        <v>1</v>
      </c>
      <c r="AM53" s="36">
        <f t="shared" si="19"/>
        <v>0</v>
      </c>
      <c r="AN53" s="15">
        <f t="shared" si="20"/>
        <v>0.853110528</v>
      </c>
      <c r="AO53" s="36">
        <f t="shared" si="21"/>
        <v>0</v>
      </c>
      <c r="AP53" s="15">
        <f t="shared" si="22"/>
        <v>1</v>
      </c>
      <c r="AQ53" s="36">
        <f t="shared" si="23"/>
        <v>0</v>
      </c>
      <c r="AR53" s="15">
        <f t="shared" si="24"/>
        <v>0.9679549969</v>
      </c>
      <c r="AS53" s="36"/>
      <c r="AT53" s="18">
        <f t="shared" si="25"/>
        <v>1404078426</v>
      </c>
      <c r="AU53" s="37">
        <f t="shared" si="26"/>
        <v>0.8211024148</v>
      </c>
      <c r="AV53" s="13">
        <f t="shared" si="27"/>
        <v>982854898.2</v>
      </c>
      <c r="AW53" s="13"/>
      <c r="AX53" s="13"/>
      <c r="AY53" s="17"/>
      <c r="AZ53" s="17"/>
      <c r="BA53" s="17">
        <f t="shared" ref="BA53:BM53" si="119">B53*$AU53*$P53*$Q53</f>
        <v>5616313.704</v>
      </c>
      <c r="BB53" s="17">
        <f t="shared" si="119"/>
        <v>0</v>
      </c>
      <c r="BC53" s="17">
        <f t="shared" si="119"/>
        <v>0</v>
      </c>
      <c r="BD53" s="17">
        <f t="shared" si="119"/>
        <v>0</v>
      </c>
      <c r="BE53" s="17">
        <f t="shared" si="119"/>
        <v>0</v>
      </c>
      <c r="BF53" s="17">
        <f t="shared" si="119"/>
        <v>0</v>
      </c>
      <c r="BG53" s="17">
        <f t="shared" si="119"/>
        <v>0</v>
      </c>
      <c r="BH53" s="17">
        <f t="shared" si="119"/>
        <v>210611763.9</v>
      </c>
      <c r="BI53" s="17">
        <f t="shared" si="119"/>
        <v>33697882.23</v>
      </c>
      <c r="BJ53" s="17">
        <f t="shared" si="119"/>
        <v>0</v>
      </c>
      <c r="BK53" s="17">
        <f t="shared" si="119"/>
        <v>0</v>
      </c>
      <c r="BL53" s="17">
        <f t="shared" si="119"/>
        <v>0</v>
      </c>
      <c r="BM53" s="17">
        <f t="shared" si="119"/>
        <v>0</v>
      </c>
      <c r="BN53" s="17"/>
      <c r="BO53" s="17"/>
      <c r="BP53" s="17"/>
      <c r="BQ53" s="17"/>
      <c r="BR53" s="17"/>
    </row>
    <row r="54" ht="15.75" customHeight="1">
      <c r="A54" s="13">
        <v>450.0</v>
      </c>
      <c r="B54" s="13">
        <v>0.02</v>
      </c>
      <c r="C54" s="13">
        <v>0.0</v>
      </c>
      <c r="D54" s="13">
        <v>0.0</v>
      </c>
      <c r="E54" s="13">
        <v>0.0</v>
      </c>
      <c r="F54" s="13">
        <v>0.0</v>
      </c>
      <c r="G54" s="13">
        <v>0.0</v>
      </c>
      <c r="H54" s="13">
        <v>0.0</v>
      </c>
      <c r="I54" s="13">
        <v>1.0</v>
      </c>
      <c r="J54" s="13">
        <v>0.03</v>
      </c>
      <c r="K54" s="13">
        <v>0.0</v>
      </c>
      <c r="L54" s="13">
        <v>0.0</v>
      </c>
      <c r="M54" s="13">
        <v>0.0</v>
      </c>
      <c r="N54" s="13">
        <v>0.0</v>
      </c>
      <c r="O54" s="13">
        <f t="shared" si="11"/>
        <v>25644678169232</v>
      </c>
      <c r="P54" s="13">
        <f t="shared" si="12"/>
        <v>1691441880</v>
      </c>
      <c r="Q54" s="13">
        <v>0.2</v>
      </c>
      <c r="R54" s="13">
        <f t="shared" ref="R54:AD54" si="120">B54*$O54*$Q54</f>
        <v>102578712677</v>
      </c>
      <c r="S54" s="13">
        <f t="shared" si="120"/>
        <v>0</v>
      </c>
      <c r="T54" s="13">
        <f t="shared" si="120"/>
        <v>0</v>
      </c>
      <c r="U54" s="13">
        <f t="shared" si="120"/>
        <v>0</v>
      </c>
      <c r="V54" s="13">
        <f t="shared" si="120"/>
        <v>0</v>
      </c>
      <c r="W54" s="13">
        <f t="shared" si="120"/>
        <v>0</v>
      </c>
      <c r="X54" s="13">
        <f t="shared" si="120"/>
        <v>0</v>
      </c>
      <c r="Y54" s="13">
        <f t="shared" si="120"/>
        <v>5128935633846</v>
      </c>
      <c r="Z54" s="13">
        <f t="shared" si="120"/>
        <v>153868069015</v>
      </c>
      <c r="AA54" s="13">
        <f t="shared" si="120"/>
        <v>0</v>
      </c>
      <c r="AB54" s="13">
        <f t="shared" si="120"/>
        <v>0</v>
      </c>
      <c r="AC54" s="13">
        <f t="shared" si="120"/>
        <v>0</v>
      </c>
      <c r="AD54" s="13">
        <f t="shared" si="120"/>
        <v>0</v>
      </c>
      <c r="AE54" s="34">
        <v>1.7006112000000004E-26</v>
      </c>
      <c r="AF54" s="13">
        <f t="shared" si="14"/>
        <v>0.9970740115</v>
      </c>
      <c r="AG54" s="35">
        <f t="shared" si="15"/>
        <v>0</v>
      </c>
      <c r="AH54" s="13">
        <f t="shared" si="16"/>
        <v>0.9981265669</v>
      </c>
      <c r="AI54" s="35">
        <v>0.0</v>
      </c>
      <c r="AJ54" s="15">
        <f t="shared" si="17"/>
        <v>1</v>
      </c>
      <c r="AK54" s="34">
        <v>0.0</v>
      </c>
      <c r="AL54" s="15">
        <f t="shared" si="18"/>
        <v>1</v>
      </c>
      <c r="AM54" s="36">
        <f t="shared" si="19"/>
        <v>0</v>
      </c>
      <c r="AN54" s="15">
        <f t="shared" si="20"/>
        <v>0.840746301</v>
      </c>
      <c r="AO54" s="36">
        <f t="shared" si="21"/>
        <v>0</v>
      </c>
      <c r="AP54" s="15">
        <f t="shared" si="22"/>
        <v>1</v>
      </c>
      <c r="AQ54" s="36">
        <f t="shared" si="23"/>
        <v>0</v>
      </c>
      <c r="AR54" s="15">
        <f t="shared" si="24"/>
        <v>0.9650622162</v>
      </c>
      <c r="AS54" s="36"/>
      <c r="AT54" s="18">
        <f t="shared" si="25"/>
        <v>1365810255</v>
      </c>
      <c r="AU54" s="37">
        <f t="shared" si="26"/>
        <v>0.8074828175</v>
      </c>
      <c r="AV54" s="13">
        <f t="shared" si="27"/>
        <v>956067178.7</v>
      </c>
      <c r="AW54" s="13">
        <f>Y5</f>
        <v>24782.08047</v>
      </c>
      <c r="AX54" s="13">
        <f>BH5</f>
        <v>36273.37341</v>
      </c>
      <c r="AY54" s="17">
        <f>AX54*$BO$4</f>
        <v>25391.36139</v>
      </c>
      <c r="AZ54" s="17">
        <f>Y4</f>
        <v>9247.43819</v>
      </c>
      <c r="BA54" s="17">
        <f t="shared" ref="BA54:BM54" si="121">B54*$AU54*$P54*$Q54</f>
        <v>5463241.021</v>
      </c>
      <c r="BB54" s="17">
        <f t="shared" si="121"/>
        <v>0</v>
      </c>
      <c r="BC54" s="17">
        <f t="shared" si="121"/>
        <v>0</v>
      </c>
      <c r="BD54" s="17">
        <f t="shared" si="121"/>
        <v>0</v>
      </c>
      <c r="BE54" s="17">
        <f t="shared" si="121"/>
        <v>0</v>
      </c>
      <c r="BF54" s="17">
        <f t="shared" si="121"/>
        <v>0</v>
      </c>
      <c r="BG54" s="17">
        <f t="shared" si="121"/>
        <v>0</v>
      </c>
      <c r="BH54" s="17">
        <f t="shared" si="121"/>
        <v>273162051.1</v>
      </c>
      <c r="BI54" s="17">
        <f t="shared" si="121"/>
        <v>8194861.532</v>
      </c>
      <c r="BJ54" s="17">
        <f t="shared" si="121"/>
        <v>0</v>
      </c>
      <c r="BK54" s="17">
        <f t="shared" si="121"/>
        <v>0</v>
      </c>
      <c r="BL54" s="17">
        <f t="shared" si="121"/>
        <v>0</v>
      </c>
      <c r="BM54" s="17">
        <f t="shared" si="121"/>
        <v>0</v>
      </c>
      <c r="BN54" s="17"/>
      <c r="BO54" s="17">
        <f>AX54*$BO$4</f>
        <v>25391.36139</v>
      </c>
      <c r="BP54" s="17">
        <f>(BO54-AW54)^2</f>
        <v>371223.2315</v>
      </c>
      <c r="BQ54" s="17"/>
      <c r="BR54" s="17"/>
    </row>
    <row r="55" ht="15.75" customHeight="1">
      <c r="A55" s="13">
        <v>440.0</v>
      </c>
      <c r="B55" s="13">
        <v>0.03</v>
      </c>
      <c r="C55" s="13">
        <v>0.0</v>
      </c>
      <c r="D55" s="13">
        <v>0.0</v>
      </c>
      <c r="E55" s="13">
        <v>0.0</v>
      </c>
      <c r="F55" s="13">
        <v>0.0</v>
      </c>
      <c r="G55" s="13">
        <v>0.0</v>
      </c>
      <c r="H55" s="13">
        <v>0.0</v>
      </c>
      <c r="I55" s="13">
        <v>0.8</v>
      </c>
      <c r="J55" s="13">
        <v>0.0</v>
      </c>
      <c r="K55" s="13">
        <v>0.0</v>
      </c>
      <c r="L55" s="13">
        <v>0.0</v>
      </c>
      <c r="M55" s="13">
        <v>0.0</v>
      </c>
      <c r="N55" s="13">
        <v>0.0</v>
      </c>
      <c r="O55" s="13">
        <f t="shared" si="11"/>
        <v>25291520411500</v>
      </c>
      <c r="P55" s="13">
        <f t="shared" si="12"/>
        <v>1668148711</v>
      </c>
      <c r="Q55" s="13">
        <v>0.2</v>
      </c>
      <c r="R55" s="13">
        <f t="shared" ref="R55:AD55" si="122">B55*$O55*$Q55</f>
        <v>151749122469</v>
      </c>
      <c r="S55" s="13">
        <f t="shared" si="122"/>
        <v>0</v>
      </c>
      <c r="T55" s="13">
        <f t="shared" si="122"/>
        <v>0</v>
      </c>
      <c r="U55" s="13">
        <f t="shared" si="122"/>
        <v>0</v>
      </c>
      <c r="V55" s="13">
        <f t="shared" si="122"/>
        <v>0</v>
      </c>
      <c r="W55" s="13">
        <f t="shared" si="122"/>
        <v>0</v>
      </c>
      <c r="X55" s="13">
        <f t="shared" si="122"/>
        <v>0</v>
      </c>
      <c r="Y55" s="13">
        <f t="shared" si="122"/>
        <v>4046643265840</v>
      </c>
      <c r="Z55" s="13">
        <f t="shared" si="122"/>
        <v>0</v>
      </c>
      <c r="AA55" s="13">
        <f t="shared" si="122"/>
        <v>0</v>
      </c>
      <c r="AB55" s="13">
        <f t="shared" si="122"/>
        <v>0</v>
      </c>
      <c r="AC55" s="13">
        <f t="shared" si="122"/>
        <v>0</v>
      </c>
      <c r="AD55" s="13">
        <f t="shared" si="122"/>
        <v>0</v>
      </c>
      <c r="AE55" s="34">
        <v>9.447840000000002E-27</v>
      </c>
      <c r="AF55" s="13">
        <f t="shared" si="14"/>
        <v>0.9983733924</v>
      </c>
      <c r="AG55" s="35">
        <f t="shared" si="15"/>
        <v>0</v>
      </c>
      <c r="AH55" s="13">
        <f t="shared" si="16"/>
        <v>0.9977616566</v>
      </c>
      <c r="AI55" s="35">
        <f>3E-27/2000</f>
        <v>0</v>
      </c>
      <c r="AJ55" s="15">
        <f t="shared" si="17"/>
        <v>0.9981555533</v>
      </c>
      <c r="AK55" s="34">
        <v>0.0</v>
      </c>
      <c r="AL55" s="15">
        <f t="shared" si="18"/>
        <v>1</v>
      </c>
      <c r="AM55" s="36">
        <f t="shared" si="19"/>
        <v>0</v>
      </c>
      <c r="AN55" s="15">
        <f t="shared" si="20"/>
        <v>0.8271405108</v>
      </c>
      <c r="AO55" s="36">
        <f t="shared" si="21"/>
        <v>0</v>
      </c>
      <c r="AP55" s="15">
        <f t="shared" si="22"/>
        <v>1</v>
      </c>
      <c r="AQ55" s="36">
        <f t="shared" si="23"/>
        <v>0</v>
      </c>
      <c r="AR55" s="15">
        <f t="shared" si="24"/>
        <v>0.9618396033</v>
      </c>
      <c r="AS55" s="36"/>
      <c r="AT55" s="18">
        <f t="shared" si="25"/>
        <v>1319577029</v>
      </c>
      <c r="AU55" s="37">
        <f t="shared" si="26"/>
        <v>0.7910428008</v>
      </c>
      <c r="AV55" s="13">
        <f t="shared" si="27"/>
        <v>923703920.2</v>
      </c>
      <c r="AW55" s="13"/>
      <c r="AX55" s="13"/>
      <c r="AY55" s="17"/>
      <c r="AZ55" s="17"/>
      <c r="BA55" s="17">
        <f t="shared" ref="BA55:BM55" si="123">B55*$AU55*$P55*$Q55</f>
        <v>7917462.173</v>
      </c>
      <c r="BB55" s="17">
        <f t="shared" si="123"/>
        <v>0</v>
      </c>
      <c r="BC55" s="17">
        <f t="shared" si="123"/>
        <v>0</v>
      </c>
      <c r="BD55" s="17">
        <f t="shared" si="123"/>
        <v>0</v>
      </c>
      <c r="BE55" s="17">
        <f t="shared" si="123"/>
        <v>0</v>
      </c>
      <c r="BF55" s="17">
        <f t="shared" si="123"/>
        <v>0</v>
      </c>
      <c r="BG55" s="17">
        <f t="shared" si="123"/>
        <v>0</v>
      </c>
      <c r="BH55" s="17">
        <f t="shared" si="123"/>
        <v>211132324.6</v>
      </c>
      <c r="BI55" s="17">
        <f t="shared" si="123"/>
        <v>0</v>
      </c>
      <c r="BJ55" s="17">
        <f t="shared" si="123"/>
        <v>0</v>
      </c>
      <c r="BK55" s="17">
        <f t="shared" si="123"/>
        <v>0</v>
      </c>
      <c r="BL55" s="17">
        <f t="shared" si="123"/>
        <v>0</v>
      </c>
      <c r="BM55" s="17">
        <f t="shared" si="123"/>
        <v>0</v>
      </c>
      <c r="BN55" s="17"/>
      <c r="BO55" s="17"/>
      <c r="BP55" s="17"/>
      <c r="BQ55" s="17"/>
      <c r="BR55" s="17"/>
    </row>
    <row r="56" ht="15.75" customHeight="1">
      <c r="A56" s="13">
        <v>430.0</v>
      </c>
      <c r="B56" s="13">
        <v>0.04</v>
      </c>
      <c r="C56" s="13">
        <v>0.0</v>
      </c>
      <c r="D56" s="13">
        <v>0.0</v>
      </c>
      <c r="E56" s="13">
        <v>0.0</v>
      </c>
      <c r="F56" s="13">
        <v>0.0</v>
      </c>
      <c r="G56" s="13">
        <v>0.0</v>
      </c>
      <c r="H56" s="13">
        <v>0.0</v>
      </c>
      <c r="I56" s="13">
        <v>0.5</v>
      </c>
      <c r="J56" s="13">
        <v>0.0</v>
      </c>
      <c r="K56" s="13">
        <v>0.0</v>
      </c>
      <c r="L56" s="13">
        <v>0.0</v>
      </c>
      <c r="M56" s="13">
        <v>0.0</v>
      </c>
      <c r="N56" s="13">
        <v>0.0</v>
      </c>
      <c r="O56" s="13">
        <f t="shared" si="11"/>
        <v>24862826666615</v>
      </c>
      <c r="P56" s="13">
        <f t="shared" si="12"/>
        <v>1639873428</v>
      </c>
      <c r="Q56" s="13">
        <v>0.2</v>
      </c>
      <c r="R56" s="13">
        <f t="shared" ref="R56:AD56" si="124">B56*$O56*$Q56</f>
        <v>198902613333</v>
      </c>
      <c r="S56" s="13">
        <f t="shared" si="124"/>
        <v>0</v>
      </c>
      <c r="T56" s="13">
        <f t="shared" si="124"/>
        <v>0</v>
      </c>
      <c r="U56" s="13">
        <f t="shared" si="124"/>
        <v>0</v>
      </c>
      <c r="V56" s="13">
        <f t="shared" si="124"/>
        <v>0</v>
      </c>
      <c r="W56" s="13">
        <f t="shared" si="124"/>
        <v>0</v>
      </c>
      <c r="X56" s="13">
        <f t="shared" si="124"/>
        <v>0</v>
      </c>
      <c r="Y56" s="13">
        <f t="shared" si="124"/>
        <v>2486282666662</v>
      </c>
      <c r="Z56" s="13">
        <f t="shared" si="124"/>
        <v>0</v>
      </c>
      <c r="AA56" s="13">
        <f t="shared" si="124"/>
        <v>0</v>
      </c>
      <c r="AB56" s="13">
        <f t="shared" si="124"/>
        <v>0</v>
      </c>
      <c r="AC56" s="13">
        <f t="shared" si="124"/>
        <v>0</v>
      </c>
      <c r="AD56" s="13">
        <f t="shared" si="124"/>
        <v>0</v>
      </c>
      <c r="AE56" s="34">
        <v>5.2488000000000015E-27</v>
      </c>
      <c r="AF56" s="13">
        <f t="shared" si="14"/>
        <v>0.9990960022</v>
      </c>
      <c r="AG56" s="35">
        <f t="shared" si="15"/>
        <v>0</v>
      </c>
      <c r="AH56" s="13">
        <f t="shared" si="16"/>
        <v>0.9973257637</v>
      </c>
      <c r="AI56" s="35">
        <v>0.0</v>
      </c>
      <c r="AJ56" s="15">
        <f t="shared" si="17"/>
        <v>1</v>
      </c>
      <c r="AK56" s="34">
        <v>0.0</v>
      </c>
      <c r="AL56" s="15">
        <f t="shared" si="18"/>
        <v>1</v>
      </c>
      <c r="AM56" s="36">
        <f t="shared" si="19"/>
        <v>0</v>
      </c>
      <c r="AN56" s="15">
        <f t="shared" si="20"/>
        <v>0.8121581811</v>
      </c>
      <c r="AO56" s="36">
        <f t="shared" si="21"/>
        <v>0</v>
      </c>
      <c r="AP56" s="15">
        <f t="shared" si="22"/>
        <v>1</v>
      </c>
      <c r="AQ56" s="36">
        <f t="shared" si="23"/>
        <v>0</v>
      </c>
      <c r="AR56" s="15">
        <f t="shared" si="24"/>
        <v>0.9582418232</v>
      </c>
      <c r="AS56" s="36"/>
      <c r="AT56" s="18">
        <f t="shared" si="25"/>
        <v>1271658017</v>
      </c>
      <c r="AU56" s="37">
        <f t="shared" si="26"/>
        <v>0.7754610786</v>
      </c>
      <c r="AV56" s="13">
        <f t="shared" si="27"/>
        <v>890160611.9</v>
      </c>
      <c r="AW56" s="13"/>
      <c r="AX56" s="13"/>
      <c r="AY56" s="17"/>
      <c r="AZ56" s="17"/>
      <c r="BA56" s="17">
        <f t="shared" ref="BA56:BM56" si="125">B56*$AU56*$P56*$Q56</f>
        <v>10173264.14</v>
      </c>
      <c r="BB56" s="17">
        <f t="shared" si="125"/>
        <v>0</v>
      </c>
      <c r="BC56" s="17">
        <f t="shared" si="125"/>
        <v>0</v>
      </c>
      <c r="BD56" s="17">
        <f t="shared" si="125"/>
        <v>0</v>
      </c>
      <c r="BE56" s="17">
        <f t="shared" si="125"/>
        <v>0</v>
      </c>
      <c r="BF56" s="17">
        <f t="shared" si="125"/>
        <v>0</v>
      </c>
      <c r="BG56" s="17">
        <f t="shared" si="125"/>
        <v>0</v>
      </c>
      <c r="BH56" s="17">
        <f t="shared" si="125"/>
        <v>127165801.7</v>
      </c>
      <c r="BI56" s="17">
        <f t="shared" si="125"/>
        <v>0</v>
      </c>
      <c r="BJ56" s="17">
        <f t="shared" si="125"/>
        <v>0</v>
      </c>
      <c r="BK56" s="17">
        <f t="shared" si="125"/>
        <v>0</v>
      </c>
      <c r="BL56" s="17">
        <f t="shared" si="125"/>
        <v>0</v>
      </c>
      <c r="BM56" s="17">
        <f t="shared" si="125"/>
        <v>0</v>
      </c>
      <c r="BN56" s="17"/>
      <c r="BO56" s="17"/>
      <c r="BP56" s="17"/>
      <c r="BQ56" s="17"/>
      <c r="BR56" s="17"/>
    </row>
    <row r="57" ht="15.75" customHeight="1">
      <c r="A57" s="13">
        <v>420.0</v>
      </c>
      <c r="B57" s="13">
        <v>0.07</v>
      </c>
      <c r="C57" s="13">
        <v>0.0</v>
      </c>
      <c r="D57" s="13">
        <v>0.0</v>
      </c>
      <c r="E57" s="13">
        <v>0.0</v>
      </c>
      <c r="F57" s="13">
        <v>0.0</v>
      </c>
      <c r="G57" s="13">
        <v>0.0</v>
      </c>
      <c r="H57" s="13">
        <v>0.0</v>
      </c>
      <c r="I57" s="13">
        <v>0.2</v>
      </c>
      <c r="J57" s="13">
        <v>0.0</v>
      </c>
      <c r="K57" s="13">
        <v>0.0</v>
      </c>
      <c r="L57" s="13">
        <v>0.0</v>
      </c>
      <c r="M57" s="13">
        <v>0.0</v>
      </c>
      <c r="N57" s="13">
        <v>0.0</v>
      </c>
      <c r="O57" s="13">
        <f t="shared" si="11"/>
        <v>24355375863337</v>
      </c>
      <c r="P57" s="13">
        <f t="shared" si="12"/>
        <v>1606403577</v>
      </c>
      <c r="Q57" s="13">
        <v>0.2</v>
      </c>
      <c r="R57" s="13">
        <f t="shared" ref="R57:AD57" si="126">B57*$O57*$Q57</f>
        <v>340975262087</v>
      </c>
      <c r="S57" s="13">
        <f t="shared" si="126"/>
        <v>0</v>
      </c>
      <c r="T57" s="13">
        <f t="shared" si="126"/>
        <v>0</v>
      </c>
      <c r="U57" s="13">
        <f t="shared" si="126"/>
        <v>0</v>
      </c>
      <c r="V57" s="13">
        <f t="shared" si="126"/>
        <v>0</v>
      </c>
      <c r="W57" s="13">
        <f t="shared" si="126"/>
        <v>0</v>
      </c>
      <c r="X57" s="13">
        <f t="shared" si="126"/>
        <v>0</v>
      </c>
      <c r="Y57" s="13">
        <f t="shared" si="126"/>
        <v>974215034533</v>
      </c>
      <c r="Z57" s="13">
        <f t="shared" si="126"/>
        <v>0</v>
      </c>
      <c r="AA57" s="13">
        <f t="shared" si="126"/>
        <v>0</v>
      </c>
      <c r="AB57" s="13">
        <f t="shared" si="126"/>
        <v>0</v>
      </c>
      <c r="AC57" s="13">
        <f t="shared" si="126"/>
        <v>0</v>
      </c>
      <c r="AD57" s="13">
        <f t="shared" si="126"/>
        <v>0</v>
      </c>
      <c r="AE57" s="34">
        <v>2.9160000000000007E-27</v>
      </c>
      <c r="AF57" s="13">
        <f t="shared" si="14"/>
        <v>0.9994976781</v>
      </c>
      <c r="AG57" s="35">
        <v>6.5E-23</v>
      </c>
      <c r="AH57" s="13">
        <f t="shared" si="16"/>
        <v>0.9968051215</v>
      </c>
      <c r="AI57" s="35">
        <v>0.0</v>
      </c>
      <c r="AJ57" s="15">
        <f t="shared" si="17"/>
        <v>1</v>
      </c>
      <c r="AK57" s="34">
        <v>0.0</v>
      </c>
      <c r="AL57" s="15">
        <f t="shared" si="18"/>
        <v>1</v>
      </c>
      <c r="AM57" s="36">
        <f t="shared" si="19"/>
        <v>0</v>
      </c>
      <c r="AN57" s="15">
        <f t="shared" si="20"/>
        <v>0.7956511892</v>
      </c>
      <c r="AO57" s="36">
        <f t="shared" si="21"/>
        <v>0</v>
      </c>
      <c r="AP57" s="15">
        <f t="shared" si="22"/>
        <v>1</v>
      </c>
      <c r="AQ57" s="36">
        <f t="shared" si="23"/>
        <v>0</v>
      </c>
      <c r="AR57" s="15">
        <f t="shared" si="24"/>
        <v>0.9542163024</v>
      </c>
      <c r="AS57" s="36"/>
      <c r="AT57" s="18">
        <f t="shared" si="25"/>
        <v>1215111864</v>
      </c>
      <c r="AU57" s="37">
        <f t="shared" si="26"/>
        <v>0.7564175533</v>
      </c>
      <c r="AV57" s="13">
        <f t="shared" si="27"/>
        <v>850578304.5</v>
      </c>
      <c r="AW57" s="13"/>
      <c r="AX57" s="13"/>
      <c r="AY57" s="17"/>
      <c r="AZ57" s="17"/>
      <c r="BA57" s="17">
        <f t="shared" ref="BA57:BM57" si="127">B57*$AU57*$P57*$Q57</f>
        <v>17011566.09</v>
      </c>
      <c r="BB57" s="17">
        <f t="shared" si="127"/>
        <v>0</v>
      </c>
      <c r="BC57" s="17">
        <f t="shared" si="127"/>
        <v>0</v>
      </c>
      <c r="BD57" s="17">
        <f t="shared" si="127"/>
        <v>0</v>
      </c>
      <c r="BE57" s="17">
        <f t="shared" si="127"/>
        <v>0</v>
      </c>
      <c r="BF57" s="17">
        <f t="shared" si="127"/>
        <v>0</v>
      </c>
      <c r="BG57" s="17">
        <f t="shared" si="127"/>
        <v>0</v>
      </c>
      <c r="BH57" s="17">
        <f t="shared" si="127"/>
        <v>48604474.54</v>
      </c>
      <c r="BI57" s="17">
        <f t="shared" si="127"/>
        <v>0</v>
      </c>
      <c r="BJ57" s="17">
        <f t="shared" si="127"/>
        <v>0</v>
      </c>
      <c r="BK57" s="17">
        <f t="shared" si="127"/>
        <v>0</v>
      </c>
      <c r="BL57" s="17">
        <f t="shared" si="127"/>
        <v>0</v>
      </c>
      <c r="BM57" s="17">
        <f t="shared" si="127"/>
        <v>0</v>
      </c>
      <c r="BN57" s="17"/>
      <c r="BO57" s="17"/>
      <c r="BP57" s="17"/>
      <c r="BQ57" s="17"/>
      <c r="BR57" s="17"/>
    </row>
    <row r="58" ht="15.75" customHeight="1">
      <c r="A58" s="13">
        <v>410.0</v>
      </c>
      <c r="B58" s="13">
        <v>0.1</v>
      </c>
      <c r="C58" s="13">
        <v>0.0</v>
      </c>
      <c r="D58" s="13">
        <v>0.0</v>
      </c>
      <c r="E58" s="13">
        <v>0.0</v>
      </c>
      <c r="F58" s="13">
        <v>0.0</v>
      </c>
      <c r="G58" s="13">
        <v>0.0</v>
      </c>
      <c r="H58" s="13">
        <v>0.0</v>
      </c>
      <c r="I58" s="13">
        <v>0.1</v>
      </c>
      <c r="J58" s="13">
        <v>0.0</v>
      </c>
      <c r="K58" s="13">
        <v>0.0</v>
      </c>
      <c r="L58" s="13">
        <v>0.0</v>
      </c>
      <c r="M58" s="13">
        <v>0.0</v>
      </c>
      <c r="N58" s="13">
        <v>0.0</v>
      </c>
      <c r="O58" s="13">
        <f t="shared" si="11"/>
        <v>23766481622902</v>
      </c>
      <c r="P58" s="13">
        <f t="shared" si="12"/>
        <v>1567561975</v>
      </c>
      <c r="Q58" s="13">
        <v>0.2</v>
      </c>
      <c r="R58" s="13">
        <f t="shared" ref="R58:AD58" si="128">B58*$O58*$Q58</f>
        <v>475329632458</v>
      </c>
      <c r="S58" s="13">
        <f t="shared" si="128"/>
        <v>0</v>
      </c>
      <c r="T58" s="13">
        <f t="shared" si="128"/>
        <v>0</v>
      </c>
      <c r="U58" s="13">
        <f t="shared" si="128"/>
        <v>0</v>
      </c>
      <c r="V58" s="13">
        <f t="shared" si="128"/>
        <v>0</v>
      </c>
      <c r="W58" s="13">
        <f t="shared" si="128"/>
        <v>0</v>
      </c>
      <c r="X58" s="13">
        <f t="shared" si="128"/>
        <v>0</v>
      </c>
      <c r="Y58" s="13">
        <f t="shared" si="128"/>
        <v>475329632458</v>
      </c>
      <c r="Z58" s="13">
        <f t="shared" si="128"/>
        <v>0</v>
      </c>
      <c r="AA58" s="13">
        <f t="shared" si="128"/>
        <v>0</v>
      </c>
      <c r="AB58" s="13">
        <f t="shared" si="128"/>
        <v>0</v>
      </c>
      <c r="AC58" s="13">
        <f t="shared" si="128"/>
        <v>0</v>
      </c>
      <c r="AD58" s="13">
        <f t="shared" si="128"/>
        <v>0</v>
      </c>
      <c r="AE58" s="34">
        <v>1.6200000000000003E-27</v>
      </c>
      <c r="AF58" s="13">
        <f t="shared" si="14"/>
        <v>0.9997209011</v>
      </c>
      <c r="AG58" s="35">
        <v>6.5E-23</v>
      </c>
      <c r="AH58" s="13">
        <f t="shared" si="16"/>
        <v>0.9968051215</v>
      </c>
      <c r="AI58" s="35">
        <v>0.0</v>
      </c>
      <c r="AJ58" s="15">
        <f t="shared" si="17"/>
        <v>1</v>
      </c>
      <c r="AK58" s="34">
        <v>0.0</v>
      </c>
      <c r="AL58" s="15">
        <f t="shared" si="18"/>
        <v>1</v>
      </c>
      <c r="AM58" s="36">
        <f t="shared" si="19"/>
        <v>0</v>
      </c>
      <c r="AN58" s="15">
        <f t="shared" si="20"/>
        <v>0.777458077</v>
      </c>
      <c r="AO58" s="36">
        <f t="shared" si="21"/>
        <v>0</v>
      </c>
      <c r="AP58" s="15">
        <f t="shared" si="22"/>
        <v>1</v>
      </c>
      <c r="AQ58" s="36">
        <f t="shared" si="23"/>
        <v>0</v>
      </c>
      <c r="AR58" s="15">
        <f t="shared" si="24"/>
        <v>0.9497019332</v>
      </c>
      <c r="AS58" s="36"/>
      <c r="AT58" s="18">
        <f t="shared" si="25"/>
        <v>1153394974</v>
      </c>
      <c r="AU58" s="37">
        <f t="shared" si="26"/>
        <v>0.7357890739</v>
      </c>
      <c r="AV58" s="13">
        <f t="shared" si="27"/>
        <v>807376481.9</v>
      </c>
      <c r="AW58" s="13"/>
      <c r="AX58" s="13"/>
      <c r="AY58" s="17"/>
      <c r="AZ58" s="17"/>
      <c r="BA58" s="17">
        <f t="shared" ref="BA58:BM58" si="129">B58*$AU58*$P58*$Q58</f>
        <v>23067899.48</v>
      </c>
      <c r="BB58" s="17">
        <f t="shared" si="129"/>
        <v>0</v>
      </c>
      <c r="BC58" s="17">
        <f t="shared" si="129"/>
        <v>0</v>
      </c>
      <c r="BD58" s="17">
        <f t="shared" si="129"/>
        <v>0</v>
      </c>
      <c r="BE58" s="17">
        <f t="shared" si="129"/>
        <v>0</v>
      </c>
      <c r="BF58" s="17">
        <f t="shared" si="129"/>
        <v>0</v>
      </c>
      <c r="BG58" s="17">
        <f t="shared" si="129"/>
        <v>0</v>
      </c>
      <c r="BH58" s="17">
        <f t="shared" si="129"/>
        <v>23067899.48</v>
      </c>
      <c r="BI58" s="17">
        <f t="shared" si="129"/>
        <v>0</v>
      </c>
      <c r="BJ58" s="17">
        <f t="shared" si="129"/>
        <v>0</v>
      </c>
      <c r="BK58" s="17">
        <f t="shared" si="129"/>
        <v>0</v>
      </c>
      <c r="BL58" s="17">
        <f t="shared" si="129"/>
        <v>0</v>
      </c>
      <c r="BM58" s="17">
        <f t="shared" si="129"/>
        <v>0</v>
      </c>
      <c r="BN58" s="17"/>
      <c r="BO58" s="17"/>
      <c r="BP58" s="17"/>
      <c r="BQ58" s="17"/>
      <c r="BR58" s="17"/>
    </row>
    <row r="59" ht="15.75" customHeight="1">
      <c r="A59" s="13">
        <v>400.0</v>
      </c>
      <c r="B59" s="13">
        <v>0.16</v>
      </c>
      <c r="C59" s="13">
        <v>0.0</v>
      </c>
      <c r="D59" s="13">
        <v>0.0</v>
      </c>
      <c r="E59" s="13">
        <v>0.0</v>
      </c>
      <c r="F59" s="13">
        <v>0.0</v>
      </c>
      <c r="G59" s="13">
        <v>0.0</v>
      </c>
      <c r="H59" s="13">
        <v>0.0</v>
      </c>
      <c r="I59" s="13">
        <v>0.03</v>
      </c>
      <c r="J59" s="13">
        <v>0.0</v>
      </c>
      <c r="K59" s="13">
        <v>0.0</v>
      </c>
      <c r="L59" s="13">
        <v>0.0</v>
      </c>
      <c r="M59" s="13">
        <v>0.0</v>
      </c>
      <c r="N59" s="13">
        <v>0.0</v>
      </c>
      <c r="O59" s="13">
        <f t="shared" si="11"/>
        <v>23094143380351</v>
      </c>
      <c r="P59" s="13">
        <f t="shared" si="12"/>
        <v>1523216671</v>
      </c>
      <c r="Q59" s="13">
        <v>0.2</v>
      </c>
      <c r="R59" s="13">
        <f t="shared" ref="R59:AD59" si="130">B59*$O59*$Q59</f>
        <v>739012588171</v>
      </c>
      <c r="S59" s="13">
        <f t="shared" si="130"/>
        <v>0</v>
      </c>
      <c r="T59" s="13">
        <f t="shared" si="130"/>
        <v>0</v>
      </c>
      <c r="U59" s="13">
        <f t="shared" si="130"/>
        <v>0</v>
      </c>
      <c r="V59" s="13">
        <f t="shared" si="130"/>
        <v>0</v>
      </c>
      <c r="W59" s="13">
        <f t="shared" si="130"/>
        <v>0</v>
      </c>
      <c r="X59" s="13">
        <f t="shared" si="130"/>
        <v>0</v>
      </c>
      <c r="Y59" s="13">
        <f t="shared" si="130"/>
        <v>138564860282</v>
      </c>
      <c r="Z59" s="13">
        <f t="shared" si="130"/>
        <v>0</v>
      </c>
      <c r="AA59" s="13">
        <f t="shared" si="130"/>
        <v>0</v>
      </c>
      <c r="AB59" s="13">
        <f t="shared" si="130"/>
        <v>0</v>
      </c>
      <c r="AC59" s="13">
        <f t="shared" si="130"/>
        <v>0</v>
      </c>
      <c r="AD59" s="13">
        <f t="shared" si="130"/>
        <v>0</v>
      </c>
      <c r="AE59" s="34">
        <v>9.000000000000001E-28</v>
      </c>
      <c r="AF59" s="13">
        <f t="shared" si="14"/>
        <v>0.9998449354</v>
      </c>
      <c r="AG59" s="35">
        <v>6.5E-23</v>
      </c>
      <c r="AH59" s="13">
        <f t="shared" si="16"/>
        <v>0.9968051215</v>
      </c>
      <c r="AI59" s="35">
        <v>0.0</v>
      </c>
      <c r="AJ59" s="15">
        <f t="shared" si="17"/>
        <v>1</v>
      </c>
      <c r="AK59" s="34">
        <v>0.0</v>
      </c>
      <c r="AL59" s="15">
        <f t="shared" si="18"/>
        <v>1</v>
      </c>
      <c r="AM59" s="36">
        <f t="shared" si="19"/>
        <v>0</v>
      </c>
      <c r="AN59" s="15">
        <f t="shared" si="20"/>
        <v>0.7574044302</v>
      </c>
      <c r="AO59" s="36">
        <f t="shared" si="21"/>
        <v>0</v>
      </c>
      <c r="AP59" s="15">
        <f t="shared" si="22"/>
        <v>1</v>
      </c>
      <c r="AQ59" s="36">
        <f t="shared" si="23"/>
        <v>0</v>
      </c>
      <c r="AR59" s="15">
        <f t="shared" si="24"/>
        <v>0.9446275273</v>
      </c>
      <c r="AS59" s="36"/>
      <c r="AT59" s="18">
        <f t="shared" si="25"/>
        <v>1086158072</v>
      </c>
      <c r="AU59" s="37">
        <f t="shared" si="26"/>
        <v>0.7130686612</v>
      </c>
      <c r="AV59" s="13">
        <f t="shared" si="27"/>
        <v>760310650.6</v>
      </c>
      <c r="AW59" s="13"/>
      <c r="AX59" s="13"/>
      <c r="AY59" s="17"/>
      <c r="AZ59" s="17"/>
      <c r="BA59" s="17">
        <f t="shared" ref="BA59:BM59" si="131">B59*$AU59*$P59*$Q59</f>
        <v>34757058.31</v>
      </c>
      <c r="BB59" s="17">
        <f t="shared" si="131"/>
        <v>0</v>
      </c>
      <c r="BC59" s="17">
        <f t="shared" si="131"/>
        <v>0</v>
      </c>
      <c r="BD59" s="17">
        <f t="shared" si="131"/>
        <v>0</v>
      </c>
      <c r="BE59" s="17">
        <f t="shared" si="131"/>
        <v>0</v>
      </c>
      <c r="BF59" s="17">
        <f t="shared" si="131"/>
        <v>0</v>
      </c>
      <c r="BG59" s="17">
        <f t="shared" si="131"/>
        <v>0</v>
      </c>
      <c r="BH59" s="17">
        <f t="shared" si="131"/>
        <v>6516948.433</v>
      </c>
      <c r="BI59" s="17">
        <f t="shared" si="131"/>
        <v>0</v>
      </c>
      <c r="BJ59" s="17">
        <f t="shared" si="131"/>
        <v>0</v>
      </c>
      <c r="BK59" s="17">
        <f t="shared" si="131"/>
        <v>0</v>
      </c>
      <c r="BL59" s="17">
        <f t="shared" si="131"/>
        <v>0</v>
      </c>
      <c r="BM59" s="17">
        <f t="shared" si="131"/>
        <v>0</v>
      </c>
      <c r="BN59" s="17"/>
      <c r="BO59" s="17"/>
      <c r="BP59" s="17"/>
      <c r="BQ59" s="17"/>
      <c r="BR59" s="17"/>
    </row>
    <row r="60" ht="15.75" customHeight="1">
      <c r="A60" s="13">
        <v>390.0</v>
      </c>
      <c r="B60" s="13">
        <v>0.3</v>
      </c>
      <c r="C60" s="13">
        <v>0.0</v>
      </c>
      <c r="D60" s="13">
        <v>0.0</v>
      </c>
      <c r="E60" s="13">
        <v>0.0</v>
      </c>
      <c r="F60" s="13">
        <v>0.0</v>
      </c>
      <c r="G60" s="13">
        <v>0.0</v>
      </c>
      <c r="H60" s="13">
        <v>0.0</v>
      </c>
      <c r="I60" s="13">
        <v>0.0</v>
      </c>
      <c r="J60" s="13">
        <v>0.0</v>
      </c>
      <c r="K60" s="13">
        <v>0.0</v>
      </c>
      <c r="L60" s="13">
        <v>0.0</v>
      </c>
      <c r="M60" s="13">
        <v>0.0</v>
      </c>
      <c r="N60" s="13">
        <v>0.0</v>
      </c>
      <c r="O60" s="13">
        <f t="shared" si="11"/>
        <v>22337214400611</v>
      </c>
      <c r="P60" s="13">
        <f t="shared" si="12"/>
        <v>1473292029</v>
      </c>
      <c r="Q60" s="13">
        <v>0.2</v>
      </c>
      <c r="R60" s="13">
        <f t="shared" ref="R60:AD60" si="132">B60*$O60*$Q60</f>
        <v>1340232864037</v>
      </c>
      <c r="S60" s="13">
        <f t="shared" si="132"/>
        <v>0</v>
      </c>
      <c r="T60" s="13">
        <f t="shared" si="132"/>
        <v>0</v>
      </c>
      <c r="U60" s="13">
        <f t="shared" si="132"/>
        <v>0</v>
      </c>
      <c r="V60" s="13">
        <f t="shared" si="132"/>
        <v>0</v>
      </c>
      <c r="W60" s="13">
        <f t="shared" si="132"/>
        <v>0</v>
      </c>
      <c r="X60" s="13">
        <f t="shared" si="132"/>
        <v>0</v>
      </c>
      <c r="Y60" s="13">
        <f t="shared" si="132"/>
        <v>0</v>
      </c>
      <c r="Z60" s="13">
        <f t="shared" si="132"/>
        <v>0</v>
      </c>
      <c r="AA60" s="13">
        <f t="shared" si="132"/>
        <v>0</v>
      </c>
      <c r="AB60" s="13">
        <f t="shared" si="132"/>
        <v>0</v>
      </c>
      <c r="AC60" s="13">
        <f t="shared" si="132"/>
        <v>0</v>
      </c>
      <c r="AD60" s="13">
        <f t="shared" si="132"/>
        <v>0</v>
      </c>
      <c r="AE60" s="34">
        <v>8.000000000000001E-28</v>
      </c>
      <c r="AF60" s="13">
        <f t="shared" si="14"/>
        <v>0.9998621636</v>
      </c>
      <c r="AG60" s="35">
        <v>6.5E-23</v>
      </c>
      <c r="AH60" s="13">
        <f t="shared" si="16"/>
        <v>0.9968051215</v>
      </c>
      <c r="AI60" s="35">
        <v>0.0</v>
      </c>
      <c r="AJ60" s="15">
        <f t="shared" si="17"/>
        <v>1</v>
      </c>
      <c r="AK60" s="34">
        <v>0.0</v>
      </c>
      <c r="AL60" s="15">
        <f t="shared" si="18"/>
        <v>1</v>
      </c>
      <c r="AM60" s="36">
        <f t="shared" si="19"/>
        <v>0</v>
      </c>
      <c r="AN60" s="15">
        <f t="shared" si="20"/>
        <v>0.7353041138</v>
      </c>
      <c r="AO60" s="36">
        <f t="shared" si="21"/>
        <v>0</v>
      </c>
      <c r="AP60" s="15">
        <f t="shared" si="22"/>
        <v>1</v>
      </c>
      <c r="AQ60" s="36">
        <f t="shared" si="23"/>
        <v>0</v>
      </c>
      <c r="AR60" s="15">
        <f t="shared" si="24"/>
        <v>0.9389099733</v>
      </c>
      <c r="AS60" s="36"/>
      <c r="AT60" s="18">
        <f t="shared" si="25"/>
        <v>1013748401</v>
      </c>
      <c r="AU60" s="37">
        <f t="shared" si="26"/>
        <v>0.6880838157</v>
      </c>
      <c r="AV60" s="13">
        <f t="shared" si="27"/>
        <v>709623880.6</v>
      </c>
      <c r="AW60" s="13"/>
      <c r="AX60" s="13"/>
      <c r="AY60" s="17"/>
      <c r="AZ60" s="17"/>
      <c r="BA60" s="17">
        <f t="shared" ref="BA60:BM60" si="133">B60*$AU60*$P60*$Q60</f>
        <v>60824904.05</v>
      </c>
      <c r="BB60" s="17">
        <f t="shared" si="133"/>
        <v>0</v>
      </c>
      <c r="BC60" s="17">
        <f t="shared" si="133"/>
        <v>0</v>
      </c>
      <c r="BD60" s="17">
        <f t="shared" si="133"/>
        <v>0</v>
      </c>
      <c r="BE60" s="17">
        <f t="shared" si="133"/>
        <v>0</v>
      </c>
      <c r="BF60" s="17">
        <f t="shared" si="133"/>
        <v>0</v>
      </c>
      <c r="BG60" s="17">
        <f t="shared" si="133"/>
        <v>0</v>
      </c>
      <c r="BH60" s="17">
        <f t="shared" si="133"/>
        <v>0</v>
      </c>
      <c r="BI60" s="17">
        <f t="shared" si="133"/>
        <v>0</v>
      </c>
      <c r="BJ60" s="17">
        <f t="shared" si="133"/>
        <v>0</v>
      </c>
      <c r="BK60" s="17">
        <f t="shared" si="133"/>
        <v>0</v>
      </c>
      <c r="BL60" s="17">
        <f t="shared" si="133"/>
        <v>0</v>
      </c>
      <c r="BM60" s="17">
        <f t="shared" si="133"/>
        <v>0</v>
      </c>
      <c r="BN60" s="17"/>
      <c r="BO60" s="17"/>
      <c r="BP60" s="17"/>
      <c r="BQ60" s="17"/>
      <c r="BR60" s="17"/>
    </row>
    <row r="61" ht="15.75" customHeight="1">
      <c r="A61" s="13">
        <v>380.0</v>
      </c>
      <c r="B61" s="13">
        <v>0.5</v>
      </c>
      <c r="C61" s="13">
        <v>0.0</v>
      </c>
      <c r="D61" s="13">
        <v>0.0</v>
      </c>
      <c r="E61" s="13">
        <v>0.0</v>
      </c>
      <c r="F61" s="13">
        <v>0.0</v>
      </c>
      <c r="G61" s="13">
        <v>0.0</v>
      </c>
      <c r="H61" s="13">
        <v>0.0</v>
      </c>
      <c r="I61" s="13">
        <v>0.0</v>
      </c>
      <c r="J61" s="13">
        <v>0.0</v>
      </c>
      <c r="K61" s="13">
        <v>0.0</v>
      </c>
      <c r="L61" s="13">
        <v>0.0</v>
      </c>
      <c r="M61" s="13">
        <v>0.0</v>
      </c>
      <c r="N61" s="13">
        <v>0.0</v>
      </c>
      <c r="O61" s="13">
        <f t="shared" si="11"/>
        <v>21495585062717</v>
      </c>
      <c r="P61" s="13">
        <f t="shared" si="12"/>
        <v>1417780819</v>
      </c>
      <c r="Q61" s="13">
        <v>0.2</v>
      </c>
      <c r="R61" s="13">
        <f t="shared" ref="R61:AD61" si="134">B61*$O61*$Q61</f>
        <v>2149558506272</v>
      </c>
      <c r="S61" s="13">
        <f t="shared" si="134"/>
        <v>0</v>
      </c>
      <c r="T61" s="13">
        <f t="shared" si="134"/>
        <v>0</v>
      </c>
      <c r="U61" s="13">
        <f t="shared" si="134"/>
        <v>0</v>
      </c>
      <c r="V61" s="13">
        <f t="shared" si="134"/>
        <v>0</v>
      </c>
      <c r="W61" s="13">
        <f t="shared" si="134"/>
        <v>0</v>
      </c>
      <c r="X61" s="13">
        <f t="shared" si="134"/>
        <v>0</v>
      </c>
      <c r="Y61" s="13">
        <f t="shared" si="134"/>
        <v>0</v>
      </c>
      <c r="Z61" s="13">
        <f t="shared" si="134"/>
        <v>0</v>
      </c>
      <c r="AA61" s="13">
        <f t="shared" si="134"/>
        <v>0</v>
      </c>
      <c r="AB61" s="13">
        <f t="shared" si="134"/>
        <v>0</v>
      </c>
      <c r="AC61" s="13">
        <f t="shared" si="134"/>
        <v>0</v>
      </c>
      <c r="AD61" s="13">
        <f t="shared" si="134"/>
        <v>0</v>
      </c>
      <c r="AE61" s="34">
        <v>7.000000000000001E-28</v>
      </c>
      <c r="AF61" s="13">
        <f t="shared" si="14"/>
        <v>0.9998793922</v>
      </c>
      <c r="AG61" s="35">
        <v>6.0E-23</v>
      </c>
      <c r="AH61" s="13">
        <f t="shared" si="16"/>
        <v>0.9970505186</v>
      </c>
      <c r="AI61" s="35">
        <v>0.0</v>
      </c>
      <c r="AJ61" s="15">
        <f t="shared" si="17"/>
        <v>1</v>
      </c>
      <c r="AK61" s="34">
        <v>0.0</v>
      </c>
      <c r="AL61" s="15">
        <f t="shared" si="18"/>
        <v>1</v>
      </c>
      <c r="AM61" s="36">
        <f t="shared" si="19"/>
        <v>0</v>
      </c>
      <c r="AN61" s="15">
        <f t="shared" si="20"/>
        <v>0.7109617654</v>
      </c>
      <c r="AO61" s="36">
        <f t="shared" si="21"/>
        <v>0</v>
      </c>
      <c r="AP61" s="15">
        <f t="shared" si="22"/>
        <v>1</v>
      </c>
      <c r="AQ61" s="36">
        <f t="shared" si="23"/>
        <v>0</v>
      </c>
      <c r="AR61" s="15">
        <f t="shared" si="24"/>
        <v>0.9324520398</v>
      </c>
      <c r="AS61" s="36"/>
      <c r="AT61" s="18">
        <f t="shared" si="25"/>
        <v>937015180.1</v>
      </c>
      <c r="AU61" s="37">
        <f t="shared" si="26"/>
        <v>0.6609027062</v>
      </c>
      <c r="AV61" s="13">
        <f t="shared" si="27"/>
        <v>655910626</v>
      </c>
      <c r="AW61" s="13"/>
      <c r="AX61" s="13"/>
      <c r="AY61" s="17"/>
      <c r="AZ61" s="17"/>
      <c r="BA61" s="17">
        <f t="shared" ref="BA61:BM61" si="135">B61*$AU61*$P61*$Q61</f>
        <v>93701518.01</v>
      </c>
      <c r="BB61" s="17">
        <f t="shared" si="135"/>
        <v>0</v>
      </c>
      <c r="BC61" s="17">
        <f t="shared" si="135"/>
        <v>0</v>
      </c>
      <c r="BD61" s="17">
        <f t="shared" si="135"/>
        <v>0</v>
      </c>
      <c r="BE61" s="17">
        <f t="shared" si="135"/>
        <v>0</v>
      </c>
      <c r="BF61" s="17">
        <f t="shared" si="135"/>
        <v>0</v>
      </c>
      <c r="BG61" s="17">
        <f t="shared" si="135"/>
        <v>0</v>
      </c>
      <c r="BH61" s="17">
        <f t="shared" si="135"/>
        <v>0</v>
      </c>
      <c r="BI61" s="17">
        <f t="shared" si="135"/>
        <v>0</v>
      </c>
      <c r="BJ61" s="17">
        <f t="shared" si="135"/>
        <v>0</v>
      </c>
      <c r="BK61" s="17">
        <f t="shared" si="135"/>
        <v>0</v>
      </c>
      <c r="BL61" s="17">
        <f t="shared" si="135"/>
        <v>0</v>
      </c>
      <c r="BM61" s="17">
        <f t="shared" si="135"/>
        <v>0</v>
      </c>
      <c r="BN61" s="17"/>
      <c r="BO61" s="17"/>
      <c r="BP61" s="17"/>
      <c r="BQ61" s="17"/>
      <c r="BR61" s="17"/>
    </row>
    <row r="62" ht="15.75" customHeight="1">
      <c r="A62" s="13">
        <v>370.0</v>
      </c>
      <c r="B62" s="13">
        <v>0.73</v>
      </c>
      <c r="C62" s="13">
        <v>0.0</v>
      </c>
      <c r="D62" s="13">
        <v>0.0</v>
      </c>
      <c r="E62" s="13">
        <v>0.0</v>
      </c>
      <c r="F62" s="13">
        <v>0.0</v>
      </c>
      <c r="G62" s="13">
        <v>0.0</v>
      </c>
      <c r="H62" s="13">
        <v>0.0</v>
      </c>
      <c r="I62" s="13">
        <v>0.0</v>
      </c>
      <c r="J62" s="13">
        <v>0.0</v>
      </c>
      <c r="K62" s="13">
        <v>0.0</v>
      </c>
      <c r="L62" s="13">
        <v>0.0</v>
      </c>
      <c r="M62" s="13">
        <v>0.0</v>
      </c>
      <c r="N62" s="13">
        <v>0.0</v>
      </c>
      <c r="O62" s="13">
        <f t="shared" si="11"/>
        <v>20570378356542</v>
      </c>
      <c r="P62" s="13">
        <f t="shared" si="12"/>
        <v>1356757110</v>
      </c>
      <c r="Q62" s="13">
        <v>0.2</v>
      </c>
      <c r="R62" s="13">
        <f t="shared" ref="R62:AD62" si="136">B62*$O62*$Q62</f>
        <v>3003275240055</v>
      </c>
      <c r="S62" s="13">
        <f t="shared" si="136"/>
        <v>0</v>
      </c>
      <c r="T62" s="13">
        <f t="shared" si="136"/>
        <v>0</v>
      </c>
      <c r="U62" s="13">
        <f t="shared" si="136"/>
        <v>0</v>
      </c>
      <c r="V62" s="13">
        <f t="shared" si="136"/>
        <v>0</v>
      </c>
      <c r="W62" s="13">
        <f t="shared" si="136"/>
        <v>0</v>
      </c>
      <c r="X62" s="13">
        <f t="shared" si="136"/>
        <v>0</v>
      </c>
      <c r="Y62" s="13">
        <f t="shared" si="136"/>
        <v>0</v>
      </c>
      <c r="Z62" s="13">
        <f t="shared" si="136"/>
        <v>0</v>
      </c>
      <c r="AA62" s="13">
        <f t="shared" si="136"/>
        <v>0</v>
      </c>
      <c r="AB62" s="13">
        <f t="shared" si="136"/>
        <v>0</v>
      </c>
      <c r="AC62" s="13">
        <f t="shared" si="136"/>
        <v>0</v>
      </c>
      <c r="AD62" s="13">
        <f t="shared" si="136"/>
        <v>0</v>
      </c>
      <c r="AE62" s="34">
        <v>1.0E-27</v>
      </c>
      <c r="AF62" s="13">
        <f t="shared" si="14"/>
        <v>0.9998277075</v>
      </c>
      <c r="AG62" s="35">
        <v>6.0E-23</v>
      </c>
      <c r="AH62" s="13">
        <f t="shared" si="16"/>
        <v>0.9970505186</v>
      </c>
      <c r="AI62" s="35">
        <v>0.0</v>
      </c>
      <c r="AJ62" s="15">
        <f t="shared" si="17"/>
        <v>1</v>
      </c>
      <c r="AK62" s="34">
        <v>0.0</v>
      </c>
      <c r="AL62" s="15">
        <f t="shared" si="18"/>
        <v>1</v>
      </c>
      <c r="AM62" s="36">
        <f t="shared" si="19"/>
        <v>0</v>
      </c>
      <c r="AN62" s="15">
        <f t="shared" si="20"/>
        <v>0.6841770819</v>
      </c>
      <c r="AO62" s="36">
        <f t="shared" si="21"/>
        <v>0</v>
      </c>
      <c r="AP62" s="15">
        <f t="shared" si="22"/>
        <v>1</v>
      </c>
      <c r="AQ62" s="36">
        <f t="shared" si="23"/>
        <v>0</v>
      </c>
      <c r="AR62" s="15">
        <f t="shared" si="24"/>
        <v>0.925139763</v>
      </c>
      <c r="AS62" s="36"/>
      <c r="AT62" s="18">
        <f t="shared" si="25"/>
        <v>856091742</v>
      </c>
      <c r="AU62" s="37">
        <f t="shared" si="26"/>
        <v>0.6309837888</v>
      </c>
      <c r="AV62" s="13">
        <f t="shared" si="27"/>
        <v>599264219.4</v>
      </c>
      <c r="AW62" s="13"/>
      <c r="AX62" s="13"/>
      <c r="AY62" s="17"/>
      <c r="AZ62" s="17"/>
      <c r="BA62" s="17">
        <f t="shared" ref="BA62:BM62" si="137">B62*$AU62*$P62*$Q62</f>
        <v>124989394.3</v>
      </c>
      <c r="BB62" s="17">
        <f t="shared" si="137"/>
        <v>0</v>
      </c>
      <c r="BC62" s="17">
        <f t="shared" si="137"/>
        <v>0</v>
      </c>
      <c r="BD62" s="17">
        <f t="shared" si="137"/>
        <v>0</v>
      </c>
      <c r="BE62" s="17">
        <f t="shared" si="137"/>
        <v>0</v>
      </c>
      <c r="BF62" s="17">
        <f t="shared" si="137"/>
        <v>0</v>
      </c>
      <c r="BG62" s="17">
        <f t="shared" si="137"/>
        <v>0</v>
      </c>
      <c r="BH62" s="17">
        <f t="shared" si="137"/>
        <v>0</v>
      </c>
      <c r="BI62" s="17">
        <f t="shared" si="137"/>
        <v>0</v>
      </c>
      <c r="BJ62" s="17">
        <f t="shared" si="137"/>
        <v>0</v>
      </c>
      <c r="BK62" s="17">
        <f t="shared" si="137"/>
        <v>0</v>
      </c>
      <c r="BL62" s="17">
        <f t="shared" si="137"/>
        <v>0</v>
      </c>
      <c r="BM62" s="17">
        <f t="shared" si="137"/>
        <v>0</v>
      </c>
      <c r="BN62" s="17"/>
      <c r="BO62" s="17"/>
      <c r="BP62" s="17"/>
      <c r="BQ62" s="17"/>
      <c r="BR62" s="17"/>
    </row>
    <row r="63" ht="15.75" customHeight="1">
      <c r="A63" s="13">
        <v>360.0</v>
      </c>
      <c r="B63" s="13">
        <v>0.95</v>
      </c>
      <c r="C63" s="13">
        <v>0.0</v>
      </c>
      <c r="D63" s="13">
        <v>0.0</v>
      </c>
      <c r="E63" s="13">
        <v>0.0</v>
      </c>
      <c r="F63" s="13">
        <v>0.0</v>
      </c>
      <c r="G63" s="13">
        <v>0.0</v>
      </c>
      <c r="H63" s="13">
        <v>0.0</v>
      </c>
      <c r="I63" s="13">
        <v>0.0</v>
      </c>
      <c r="J63" s="13">
        <v>0.0</v>
      </c>
      <c r="K63" s="13">
        <v>0.0</v>
      </c>
      <c r="L63" s="13">
        <v>0.0</v>
      </c>
      <c r="M63" s="13">
        <v>0.0</v>
      </c>
      <c r="N63" s="13">
        <v>0.0</v>
      </c>
      <c r="O63" s="13">
        <f t="shared" si="11"/>
        <v>19564152693794</v>
      </c>
      <c r="P63" s="13">
        <f t="shared" si="12"/>
        <v>1290389647</v>
      </c>
      <c r="Q63" s="13">
        <v>0.2</v>
      </c>
      <c r="R63" s="13">
        <f t="shared" ref="R63:AD63" si="138">B63*$O63*$Q63</f>
        <v>3717189011821</v>
      </c>
      <c r="S63" s="13">
        <f t="shared" si="138"/>
        <v>0</v>
      </c>
      <c r="T63" s="13">
        <f t="shared" si="138"/>
        <v>0</v>
      </c>
      <c r="U63" s="13">
        <f t="shared" si="138"/>
        <v>0</v>
      </c>
      <c r="V63" s="13">
        <f t="shared" si="138"/>
        <v>0</v>
      </c>
      <c r="W63" s="13">
        <f t="shared" si="138"/>
        <v>0</v>
      </c>
      <c r="X63" s="13">
        <f t="shared" si="138"/>
        <v>0</v>
      </c>
      <c r="Y63" s="13">
        <f t="shared" si="138"/>
        <v>0</v>
      </c>
      <c r="Z63" s="13">
        <f t="shared" si="138"/>
        <v>0</v>
      </c>
      <c r="AA63" s="13">
        <f t="shared" si="138"/>
        <v>0</v>
      </c>
      <c r="AB63" s="13">
        <f t="shared" si="138"/>
        <v>0</v>
      </c>
      <c r="AC63" s="13">
        <f t="shared" si="138"/>
        <v>0</v>
      </c>
      <c r="AD63" s="13">
        <f t="shared" si="138"/>
        <v>0</v>
      </c>
      <c r="AE63" s="34">
        <v>7.000000000000002E-27</v>
      </c>
      <c r="AF63" s="13">
        <f t="shared" si="14"/>
        <v>0.9987945759</v>
      </c>
      <c r="AG63" s="35">
        <v>5.5E-23</v>
      </c>
      <c r="AH63" s="13">
        <f t="shared" si="16"/>
        <v>0.9972959761</v>
      </c>
      <c r="AI63" s="35">
        <v>0.0</v>
      </c>
      <c r="AJ63" s="15">
        <f t="shared" si="17"/>
        <v>1</v>
      </c>
      <c r="AK63" s="34">
        <v>0.0</v>
      </c>
      <c r="AL63" s="15">
        <f t="shared" si="18"/>
        <v>1</v>
      </c>
      <c r="AM63" s="36">
        <f t="shared" si="19"/>
        <v>0</v>
      </c>
      <c r="AN63" s="15">
        <f t="shared" si="20"/>
        <v>0.6547516104</v>
      </c>
      <c r="AO63" s="36">
        <f t="shared" si="21"/>
        <v>0</v>
      </c>
      <c r="AP63" s="15">
        <f t="shared" si="22"/>
        <v>1</v>
      </c>
      <c r="AQ63" s="36">
        <f t="shared" si="23"/>
        <v>0</v>
      </c>
      <c r="AR63" s="15">
        <f t="shared" si="24"/>
        <v>0.916839348</v>
      </c>
      <c r="AS63" s="36"/>
      <c r="AT63" s="18">
        <f t="shared" si="25"/>
        <v>771597711.7</v>
      </c>
      <c r="AU63" s="37">
        <f t="shared" si="26"/>
        <v>0.5979571467</v>
      </c>
      <c r="AV63" s="13">
        <f t="shared" si="27"/>
        <v>540118398.2</v>
      </c>
      <c r="AW63" s="13">
        <f>R5</f>
        <v>10258.61267</v>
      </c>
      <c r="AX63" s="13">
        <f>BA5</f>
        <v>25229.78476</v>
      </c>
      <c r="AY63" s="17">
        <f>AX63*$BO$4</f>
        <v>17660.84933</v>
      </c>
      <c r="AZ63" s="17">
        <f>R4</f>
        <v>2369.241077</v>
      </c>
      <c r="BA63" s="17">
        <f t="shared" ref="BA63:BM63" si="139">B63*$AU63*$P63*$Q63</f>
        <v>146603565.2</v>
      </c>
      <c r="BB63" s="17">
        <f t="shared" si="139"/>
        <v>0</v>
      </c>
      <c r="BC63" s="17">
        <f t="shared" si="139"/>
        <v>0</v>
      </c>
      <c r="BD63" s="17">
        <f t="shared" si="139"/>
        <v>0</v>
      </c>
      <c r="BE63" s="17">
        <f t="shared" si="139"/>
        <v>0</v>
      </c>
      <c r="BF63" s="17">
        <f t="shared" si="139"/>
        <v>0</v>
      </c>
      <c r="BG63" s="17">
        <f t="shared" si="139"/>
        <v>0</v>
      </c>
      <c r="BH63" s="17">
        <f t="shared" si="139"/>
        <v>0</v>
      </c>
      <c r="BI63" s="17">
        <f t="shared" si="139"/>
        <v>0</v>
      </c>
      <c r="BJ63" s="17">
        <f t="shared" si="139"/>
        <v>0</v>
      </c>
      <c r="BK63" s="17">
        <f t="shared" si="139"/>
        <v>0</v>
      </c>
      <c r="BL63" s="17">
        <f t="shared" si="139"/>
        <v>0</v>
      </c>
      <c r="BM63" s="17">
        <f t="shared" si="139"/>
        <v>0</v>
      </c>
      <c r="BN63" s="17"/>
      <c r="BO63" s="17">
        <f>AX63*$BO$4</f>
        <v>17660.84933</v>
      </c>
      <c r="BP63" s="17">
        <f>(BO63-AW63)^2</f>
        <v>54793107.66</v>
      </c>
      <c r="BQ63" s="17"/>
      <c r="BR63" s="17"/>
    </row>
    <row r="64" ht="15.75" customHeight="1">
      <c r="A64" s="13">
        <v>350.0</v>
      </c>
      <c r="B64" s="13">
        <v>0.9</v>
      </c>
      <c r="C64" s="13">
        <v>0.0</v>
      </c>
      <c r="D64" s="13">
        <v>0.0</v>
      </c>
      <c r="E64" s="13">
        <v>0.0</v>
      </c>
      <c r="F64" s="13">
        <v>0.0</v>
      </c>
      <c r="G64" s="13">
        <v>0.0</v>
      </c>
      <c r="H64" s="13">
        <v>0.0</v>
      </c>
      <c r="I64" s="13">
        <v>0.0</v>
      </c>
      <c r="J64" s="13">
        <v>0.0</v>
      </c>
      <c r="K64" s="13">
        <v>0.0</v>
      </c>
      <c r="L64" s="13">
        <v>0.0</v>
      </c>
      <c r="M64" s="13">
        <v>0.0</v>
      </c>
      <c r="N64" s="13">
        <v>0.0</v>
      </c>
      <c r="O64" s="13">
        <f t="shared" si="11"/>
        <v>18481104831769</v>
      </c>
      <c r="P64" s="13">
        <f t="shared" si="12"/>
        <v>1218955235</v>
      </c>
      <c r="Q64" s="13">
        <v>0.2</v>
      </c>
      <c r="R64" s="13">
        <f t="shared" ref="R64:AD64" si="140">B64*$O64*$Q64</f>
        <v>3326598869718</v>
      </c>
      <c r="S64" s="13">
        <f t="shared" si="140"/>
        <v>0</v>
      </c>
      <c r="T64" s="13">
        <f t="shared" si="140"/>
        <v>0</v>
      </c>
      <c r="U64" s="13">
        <f t="shared" si="140"/>
        <v>0</v>
      </c>
      <c r="V64" s="13">
        <f t="shared" si="140"/>
        <v>0</v>
      </c>
      <c r="W64" s="13">
        <f t="shared" si="140"/>
        <v>0</v>
      </c>
      <c r="X64" s="13">
        <f t="shared" si="140"/>
        <v>0</v>
      </c>
      <c r="Y64" s="13">
        <f t="shared" si="140"/>
        <v>0</v>
      </c>
      <c r="Z64" s="13">
        <f t="shared" si="140"/>
        <v>0</v>
      </c>
      <c r="AA64" s="13">
        <f t="shared" si="140"/>
        <v>0</v>
      </c>
      <c r="AB64" s="13">
        <f t="shared" si="140"/>
        <v>0</v>
      </c>
      <c r="AC64" s="13">
        <f t="shared" si="140"/>
        <v>0</v>
      </c>
      <c r="AD64" s="13">
        <f t="shared" si="140"/>
        <v>0</v>
      </c>
      <c r="AE64" s="34">
        <v>3.0E-26</v>
      </c>
      <c r="AF64" s="13">
        <f t="shared" si="14"/>
        <v>0.9948441179</v>
      </c>
      <c r="AG64" s="35">
        <v>5.5E-23</v>
      </c>
      <c r="AH64" s="13">
        <f t="shared" si="16"/>
        <v>0.9972959761</v>
      </c>
      <c r="AI64" s="35">
        <v>0.0</v>
      </c>
      <c r="AJ64" s="15">
        <f t="shared" si="17"/>
        <v>1</v>
      </c>
      <c r="AK64" s="34">
        <v>0.0</v>
      </c>
      <c r="AL64" s="15">
        <f t="shared" si="18"/>
        <v>1</v>
      </c>
      <c r="AM64" s="36">
        <f t="shared" si="19"/>
        <v>0</v>
      </c>
      <c r="AN64" s="15">
        <f t="shared" si="20"/>
        <v>0.6224989516</v>
      </c>
      <c r="AO64" s="36">
        <f t="shared" si="21"/>
        <v>0</v>
      </c>
      <c r="AP64" s="15">
        <f t="shared" si="22"/>
        <v>1</v>
      </c>
      <c r="AQ64" s="36">
        <f t="shared" si="23"/>
        <v>0</v>
      </c>
      <c r="AR64" s="15">
        <f t="shared" si="24"/>
        <v>0.9073935147</v>
      </c>
      <c r="AS64" s="36"/>
      <c r="AT64" s="18">
        <f t="shared" si="25"/>
        <v>683126535.3</v>
      </c>
      <c r="AU64" s="37">
        <f t="shared" si="26"/>
        <v>0.5604197067</v>
      </c>
      <c r="AV64" s="13">
        <f t="shared" si="27"/>
        <v>478188574.7</v>
      </c>
      <c r="AW64" s="13"/>
      <c r="AX64" s="13"/>
      <c r="AY64" s="17"/>
      <c r="AZ64" s="17"/>
      <c r="BA64" s="17">
        <f t="shared" ref="BA64:BM64" si="141">B64*$AU64*$P64*$Q64</f>
        <v>122962776.4</v>
      </c>
      <c r="BB64" s="17">
        <f t="shared" si="141"/>
        <v>0</v>
      </c>
      <c r="BC64" s="17">
        <f t="shared" si="141"/>
        <v>0</v>
      </c>
      <c r="BD64" s="17">
        <f t="shared" si="141"/>
        <v>0</v>
      </c>
      <c r="BE64" s="17">
        <f t="shared" si="141"/>
        <v>0</v>
      </c>
      <c r="BF64" s="17">
        <f t="shared" si="141"/>
        <v>0</v>
      </c>
      <c r="BG64" s="17">
        <f t="shared" si="141"/>
        <v>0</v>
      </c>
      <c r="BH64" s="17">
        <f t="shared" si="141"/>
        <v>0</v>
      </c>
      <c r="BI64" s="17">
        <f t="shared" si="141"/>
        <v>0</v>
      </c>
      <c r="BJ64" s="17">
        <f t="shared" si="141"/>
        <v>0</v>
      </c>
      <c r="BK64" s="17">
        <f t="shared" si="141"/>
        <v>0</v>
      </c>
      <c r="BL64" s="17">
        <f t="shared" si="141"/>
        <v>0</v>
      </c>
      <c r="BM64" s="17">
        <f t="shared" si="141"/>
        <v>0</v>
      </c>
      <c r="BN64" s="17"/>
      <c r="BO64" s="17"/>
      <c r="BP64" s="17"/>
      <c r="BQ64" s="17"/>
      <c r="BR64" s="17"/>
    </row>
    <row r="65" ht="15.75" customHeight="1">
      <c r="A65" s="13">
        <v>340.0</v>
      </c>
      <c r="B65" s="13">
        <v>0.5</v>
      </c>
      <c r="C65" s="13">
        <v>0.0</v>
      </c>
      <c r="D65" s="13">
        <v>0.0</v>
      </c>
      <c r="E65" s="13">
        <v>0.0</v>
      </c>
      <c r="F65" s="13">
        <v>0.0</v>
      </c>
      <c r="G65" s="13">
        <v>0.0</v>
      </c>
      <c r="H65" s="13">
        <v>0.0</v>
      </c>
      <c r="I65" s="13">
        <v>0.0</v>
      </c>
      <c r="J65" s="13">
        <v>0.0</v>
      </c>
      <c r="K65" s="13">
        <v>0.0</v>
      </c>
      <c r="L65" s="13">
        <v>0.0</v>
      </c>
      <c r="M65" s="13">
        <v>0.0</v>
      </c>
      <c r="N65" s="13">
        <v>0.0</v>
      </c>
      <c r="O65" s="13">
        <f t="shared" si="11"/>
        <v>17327262922216</v>
      </c>
      <c r="P65" s="13">
        <f t="shared" si="12"/>
        <v>1142851471</v>
      </c>
      <c r="Q65" s="13">
        <v>0.2</v>
      </c>
      <c r="R65" s="13">
        <f t="shared" ref="R65:AD65" si="142">B65*$O65*$Q65</f>
        <v>1732726292222</v>
      </c>
      <c r="S65" s="13">
        <f t="shared" si="142"/>
        <v>0</v>
      </c>
      <c r="T65" s="13">
        <f t="shared" si="142"/>
        <v>0</v>
      </c>
      <c r="U65" s="13">
        <f t="shared" si="142"/>
        <v>0</v>
      </c>
      <c r="V65" s="13">
        <f t="shared" si="142"/>
        <v>0</v>
      </c>
      <c r="W65" s="13">
        <f t="shared" si="142"/>
        <v>0</v>
      </c>
      <c r="X65" s="13">
        <f t="shared" si="142"/>
        <v>0</v>
      </c>
      <c r="Y65" s="13">
        <f t="shared" si="142"/>
        <v>0</v>
      </c>
      <c r="Z65" s="13">
        <f t="shared" si="142"/>
        <v>0</v>
      </c>
      <c r="AA65" s="13">
        <f t="shared" si="142"/>
        <v>0</v>
      </c>
      <c r="AB65" s="13">
        <f t="shared" si="142"/>
        <v>0</v>
      </c>
      <c r="AC65" s="13">
        <f t="shared" si="142"/>
        <v>0</v>
      </c>
      <c r="AD65" s="13">
        <f t="shared" si="142"/>
        <v>0</v>
      </c>
      <c r="AE65" s="34">
        <v>1.9999999999999998E-25</v>
      </c>
      <c r="AF65" s="13">
        <f t="shared" si="14"/>
        <v>0.96612557</v>
      </c>
      <c r="AG65" s="35">
        <v>4.5E-23</v>
      </c>
      <c r="AH65" s="13">
        <f t="shared" si="16"/>
        <v>0.9977870723</v>
      </c>
      <c r="AI65" s="35">
        <v>0.0</v>
      </c>
      <c r="AJ65" s="15">
        <f t="shared" si="17"/>
        <v>1</v>
      </c>
      <c r="AK65" s="34">
        <v>0.0</v>
      </c>
      <c r="AL65" s="15">
        <f t="shared" si="18"/>
        <v>1</v>
      </c>
      <c r="AM65" s="36">
        <f t="shared" si="19"/>
        <v>0</v>
      </c>
      <c r="AN65" s="15">
        <f t="shared" si="20"/>
        <v>0.587259498</v>
      </c>
      <c r="AO65" s="36">
        <f t="shared" si="21"/>
        <v>0</v>
      </c>
      <c r="AP65" s="15">
        <f t="shared" si="22"/>
        <v>1</v>
      </c>
      <c r="AQ65" s="36">
        <f t="shared" si="23"/>
        <v>0</v>
      </c>
      <c r="AR65" s="15">
        <f t="shared" si="24"/>
        <v>0.8966172199</v>
      </c>
      <c r="AS65" s="36"/>
      <c r="AT65" s="18">
        <f t="shared" si="25"/>
        <v>580093990</v>
      </c>
      <c r="AU65" s="37">
        <f t="shared" si="26"/>
        <v>0.5075847602</v>
      </c>
      <c r="AV65" s="13">
        <f t="shared" si="27"/>
        <v>406065793</v>
      </c>
      <c r="AW65" s="13"/>
      <c r="AX65" s="13"/>
      <c r="AY65" s="17"/>
      <c r="AZ65" s="17"/>
      <c r="BA65" s="17">
        <f t="shared" ref="BA65:BM65" si="143">B65*$AU65*$P65*$Q65</f>
        <v>58009399</v>
      </c>
      <c r="BB65" s="17">
        <f t="shared" si="143"/>
        <v>0</v>
      </c>
      <c r="BC65" s="17">
        <f t="shared" si="143"/>
        <v>0</v>
      </c>
      <c r="BD65" s="17">
        <f t="shared" si="143"/>
        <v>0</v>
      </c>
      <c r="BE65" s="17">
        <f t="shared" si="143"/>
        <v>0</v>
      </c>
      <c r="BF65" s="17">
        <f t="shared" si="143"/>
        <v>0</v>
      </c>
      <c r="BG65" s="17">
        <f t="shared" si="143"/>
        <v>0</v>
      </c>
      <c r="BH65" s="17">
        <f t="shared" si="143"/>
        <v>0</v>
      </c>
      <c r="BI65" s="17">
        <f t="shared" si="143"/>
        <v>0</v>
      </c>
      <c r="BJ65" s="17">
        <f t="shared" si="143"/>
        <v>0</v>
      </c>
      <c r="BK65" s="17">
        <f t="shared" si="143"/>
        <v>0</v>
      </c>
      <c r="BL65" s="17">
        <f t="shared" si="143"/>
        <v>0</v>
      </c>
      <c r="BM65" s="17">
        <f t="shared" si="143"/>
        <v>0</v>
      </c>
      <c r="BN65" s="17"/>
      <c r="BO65" s="17"/>
      <c r="BP65" s="17"/>
      <c r="BQ65" s="17"/>
      <c r="BR65" s="17"/>
    </row>
    <row r="66" ht="15.75" customHeight="1">
      <c r="A66" s="13">
        <v>330.0</v>
      </c>
      <c r="B66" s="13">
        <v>0.25</v>
      </c>
      <c r="C66" s="13">
        <v>0.0</v>
      </c>
      <c r="D66" s="13">
        <v>0.0</v>
      </c>
      <c r="E66" s="13">
        <v>0.0</v>
      </c>
      <c r="F66" s="13">
        <v>0.0</v>
      </c>
      <c r="G66" s="13">
        <v>0.0</v>
      </c>
      <c r="H66" s="13">
        <v>0.0</v>
      </c>
      <c r="I66" s="13">
        <v>0.0</v>
      </c>
      <c r="J66" s="13">
        <v>0.0</v>
      </c>
      <c r="K66" s="13">
        <v>0.0</v>
      </c>
      <c r="L66" s="13">
        <v>0.0</v>
      </c>
      <c r="M66" s="13">
        <v>0.0</v>
      </c>
      <c r="N66" s="13">
        <v>0.0</v>
      </c>
      <c r="O66" s="13">
        <f t="shared" si="11"/>
        <v>16110656450670</v>
      </c>
      <c r="P66" s="13">
        <f t="shared" si="12"/>
        <v>1062607956</v>
      </c>
      <c r="Q66" s="13">
        <v>0.2</v>
      </c>
      <c r="R66" s="13">
        <f t="shared" ref="R66:AD66" si="144">B66*$O66*$Q66</f>
        <v>805532822533</v>
      </c>
      <c r="S66" s="13">
        <f t="shared" si="144"/>
        <v>0</v>
      </c>
      <c r="T66" s="13">
        <f t="shared" si="144"/>
        <v>0</v>
      </c>
      <c r="U66" s="13">
        <f t="shared" si="144"/>
        <v>0</v>
      </c>
      <c r="V66" s="13">
        <f t="shared" si="144"/>
        <v>0</v>
      </c>
      <c r="W66" s="13">
        <f t="shared" si="144"/>
        <v>0</v>
      </c>
      <c r="X66" s="13">
        <f t="shared" si="144"/>
        <v>0</v>
      </c>
      <c r="Y66" s="13">
        <f t="shared" si="144"/>
        <v>0</v>
      </c>
      <c r="Z66" s="13">
        <f t="shared" si="144"/>
        <v>0</v>
      </c>
      <c r="AA66" s="13">
        <f t="shared" si="144"/>
        <v>0</v>
      </c>
      <c r="AB66" s="13">
        <f t="shared" si="144"/>
        <v>0</v>
      </c>
      <c r="AC66" s="13">
        <f t="shared" si="144"/>
        <v>0</v>
      </c>
      <c r="AD66" s="13">
        <f t="shared" si="144"/>
        <v>0</v>
      </c>
      <c r="AE66" s="34">
        <v>7.999999999999999E-25</v>
      </c>
      <c r="AF66" s="13">
        <f t="shared" si="14"/>
        <v>0.8712329782</v>
      </c>
      <c r="AG66" s="35">
        <v>3.5E-23</v>
      </c>
      <c r="AH66" s="13">
        <f t="shared" si="16"/>
        <v>0.9982784105</v>
      </c>
      <c r="AI66" s="35">
        <v>0.0</v>
      </c>
      <c r="AJ66" s="15">
        <f t="shared" si="17"/>
        <v>1</v>
      </c>
      <c r="AK66" s="34">
        <v>0.0</v>
      </c>
      <c r="AL66" s="15">
        <f t="shared" si="18"/>
        <v>1</v>
      </c>
      <c r="AM66" s="36">
        <f t="shared" si="19"/>
        <v>0</v>
      </c>
      <c r="AN66" s="15">
        <f t="shared" si="20"/>
        <v>0.5489210183</v>
      </c>
      <c r="AO66" s="36">
        <f t="shared" si="21"/>
        <v>0</v>
      </c>
      <c r="AP66" s="15">
        <f t="shared" si="22"/>
        <v>1</v>
      </c>
      <c r="AQ66" s="36">
        <f t="shared" si="23"/>
        <v>0</v>
      </c>
      <c r="AR66" s="15">
        <f t="shared" si="24"/>
        <v>0.8842927112</v>
      </c>
      <c r="AS66" s="36"/>
      <c r="AT66" s="18">
        <f t="shared" si="25"/>
        <v>448605871.8</v>
      </c>
      <c r="AU66" s="37">
        <f t="shared" si="26"/>
        <v>0.422174396</v>
      </c>
      <c r="AV66" s="13">
        <f t="shared" si="27"/>
        <v>314024110.3</v>
      </c>
      <c r="AW66" s="13"/>
      <c r="AX66" s="13"/>
      <c r="AY66" s="17"/>
      <c r="AZ66" s="17"/>
      <c r="BA66" s="17">
        <f t="shared" ref="BA66:BM66" si="145">B66*$AU66*$P66*$Q66</f>
        <v>22430293.59</v>
      </c>
      <c r="BB66" s="17">
        <f t="shared" si="145"/>
        <v>0</v>
      </c>
      <c r="BC66" s="17">
        <f t="shared" si="145"/>
        <v>0</v>
      </c>
      <c r="BD66" s="17">
        <f t="shared" si="145"/>
        <v>0</v>
      </c>
      <c r="BE66" s="17">
        <f t="shared" si="145"/>
        <v>0</v>
      </c>
      <c r="BF66" s="17">
        <f t="shared" si="145"/>
        <v>0</v>
      </c>
      <c r="BG66" s="17">
        <f t="shared" si="145"/>
        <v>0</v>
      </c>
      <c r="BH66" s="17">
        <f t="shared" si="145"/>
        <v>0</v>
      </c>
      <c r="BI66" s="17">
        <f t="shared" si="145"/>
        <v>0</v>
      </c>
      <c r="BJ66" s="17">
        <f t="shared" si="145"/>
        <v>0</v>
      </c>
      <c r="BK66" s="17">
        <f t="shared" si="145"/>
        <v>0</v>
      </c>
      <c r="BL66" s="17">
        <f t="shared" si="145"/>
        <v>0</v>
      </c>
      <c r="BM66" s="17">
        <f t="shared" si="145"/>
        <v>0</v>
      </c>
      <c r="BN66" s="17"/>
      <c r="BO66" s="17"/>
      <c r="BP66" s="17"/>
      <c r="BQ66" s="17"/>
      <c r="BR66" s="17"/>
    </row>
    <row r="67" ht="15.75" customHeight="1">
      <c r="A67" s="13">
        <v>320.0</v>
      </c>
      <c r="B67" s="13">
        <v>0.09</v>
      </c>
      <c r="C67" s="13">
        <v>0.0</v>
      </c>
      <c r="D67" s="13">
        <v>0.0</v>
      </c>
      <c r="E67" s="13">
        <v>0.0</v>
      </c>
      <c r="F67" s="13">
        <v>0.0</v>
      </c>
      <c r="G67" s="13">
        <v>0.0</v>
      </c>
      <c r="H67" s="13">
        <v>0.0</v>
      </c>
      <c r="I67" s="13">
        <v>0.0</v>
      </c>
      <c r="J67" s="13">
        <v>0.0</v>
      </c>
      <c r="K67" s="13">
        <v>0.0</v>
      </c>
      <c r="L67" s="13">
        <v>0.0</v>
      </c>
      <c r="M67" s="13">
        <v>0.0</v>
      </c>
      <c r="N67" s="13">
        <v>0.0</v>
      </c>
      <c r="O67" s="13">
        <f t="shared" si="11"/>
        <v>14841446219015</v>
      </c>
      <c r="P67" s="13">
        <f t="shared" si="12"/>
        <v>978894862.2</v>
      </c>
      <c r="Q67" s="13">
        <v>0.2</v>
      </c>
      <c r="R67" s="13">
        <f t="shared" ref="R67:AD67" si="146">B67*$O67*$Q67</f>
        <v>267146031942</v>
      </c>
      <c r="S67" s="13">
        <f t="shared" si="146"/>
        <v>0</v>
      </c>
      <c r="T67" s="13">
        <f t="shared" si="146"/>
        <v>0</v>
      </c>
      <c r="U67" s="13">
        <f t="shared" si="146"/>
        <v>0</v>
      </c>
      <c r="V67" s="13">
        <f t="shared" si="146"/>
        <v>0</v>
      </c>
      <c r="W67" s="13">
        <f t="shared" si="146"/>
        <v>0</v>
      </c>
      <c r="X67" s="13">
        <f t="shared" si="146"/>
        <v>0</v>
      </c>
      <c r="Y67" s="13">
        <f t="shared" si="146"/>
        <v>0</v>
      </c>
      <c r="Z67" s="13">
        <f t="shared" si="146"/>
        <v>0</v>
      </c>
      <c r="AA67" s="13">
        <f t="shared" si="146"/>
        <v>0</v>
      </c>
      <c r="AB67" s="13">
        <f t="shared" si="146"/>
        <v>0</v>
      </c>
      <c r="AC67" s="13">
        <f t="shared" si="146"/>
        <v>0</v>
      </c>
      <c r="AD67" s="13">
        <f t="shared" si="146"/>
        <v>0</v>
      </c>
      <c r="AE67" s="34">
        <v>2.9999999999999996E-24</v>
      </c>
      <c r="AF67" s="13">
        <f t="shared" si="14"/>
        <v>0.596353329</v>
      </c>
      <c r="AG67" s="35">
        <v>3.0E-23</v>
      </c>
      <c r="AH67" s="13">
        <f t="shared" si="16"/>
        <v>0.9985241702</v>
      </c>
      <c r="AI67" s="35">
        <v>0.0</v>
      </c>
      <c r="AJ67" s="15">
        <f t="shared" si="17"/>
        <v>1</v>
      </c>
      <c r="AK67" s="34">
        <v>0.0</v>
      </c>
      <c r="AL67" s="15">
        <f t="shared" si="18"/>
        <v>1</v>
      </c>
      <c r="AM67" s="36">
        <f t="shared" si="19"/>
        <v>0</v>
      </c>
      <c r="AN67" s="15">
        <f t="shared" si="20"/>
        <v>0.5074464714</v>
      </c>
      <c r="AO67" s="36">
        <f t="shared" si="21"/>
        <v>0</v>
      </c>
      <c r="AP67" s="15">
        <f t="shared" si="22"/>
        <v>1</v>
      </c>
      <c r="AQ67" s="36">
        <f t="shared" si="23"/>
        <v>0</v>
      </c>
      <c r="AR67" s="15">
        <f t="shared" si="24"/>
        <v>0.8701639105</v>
      </c>
      <c r="AS67" s="36"/>
      <c r="AT67" s="18">
        <f t="shared" si="25"/>
        <v>257388763.2</v>
      </c>
      <c r="AU67" s="37">
        <f t="shared" si="26"/>
        <v>0.2629381083</v>
      </c>
      <c r="AV67" s="13">
        <f t="shared" si="27"/>
        <v>180172134.3</v>
      </c>
      <c r="AW67" s="13"/>
      <c r="AX67" s="13"/>
      <c r="AY67" s="17"/>
      <c r="AZ67" s="17"/>
      <c r="BA67" s="17">
        <f t="shared" ref="BA67:BM67" si="147">B67*$AU67*$P67*$Q67</f>
        <v>4632997.738</v>
      </c>
      <c r="BB67" s="17">
        <f t="shared" si="147"/>
        <v>0</v>
      </c>
      <c r="BC67" s="17">
        <f t="shared" si="147"/>
        <v>0</v>
      </c>
      <c r="BD67" s="17">
        <f t="shared" si="147"/>
        <v>0</v>
      </c>
      <c r="BE67" s="17">
        <f t="shared" si="147"/>
        <v>0</v>
      </c>
      <c r="BF67" s="17">
        <f t="shared" si="147"/>
        <v>0</v>
      </c>
      <c r="BG67" s="17">
        <f t="shared" si="147"/>
        <v>0</v>
      </c>
      <c r="BH67" s="17">
        <f t="shared" si="147"/>
        <v>0</v>
      </c>
      <c r="BI67" s="17">
        <f t="shared" si="147"/>
        <v>0</v>
      </c>
      <c r="BJ67" s="17">
        <f t="shared" si="147"/>
        <v>0</v>
      </c>
      <c r="BK67" s="17">
        <f t="shared" si="147"/>
        <v>0</v>
      </c>
      <c r="BL67" s="17">
        <f t="shared" si="147"/>
        <v>0</v>
      </c>
      <c r="BM67" s="17">
        <f t="shared" si="147"/>
        <v>0</v>
      </c>
      <c r="BN67" s="17"/>
      <c r="BO67" s="17"/>
      <c r="BP67" s="17"/>
      <c r="BQ67" s="17"/>
      <c r="BR67" s="17"/>
    </row>
    <row r="68" ht="15.75" customHeight="1">
      <c r="A68" s="13">
        <v>310.0</v>
      </c>
      <c r="B68" s="13">
        <v>0.05</v>
      </c>
      <c r="C68" s="13">
        <v>0.0</v>
      </c>
      <c r="D68" s="13">
        <v>0.0</v>
      </c>
      <c r="E68" s="13">
        <v>0.0</v>
      </c>
      <c r="F68" s="13">
        <v>0.0</v>
      </c>
      <c r="G68" s="13">
        <v>0.0</v>
      </c>
      <c r="H68" s="13">
        <v>0.0</v>
      </c>
      <c r="I68" s="13">
        <v>0.0</v>
      </c>
      <c r="J68" s="13">
        <v>0.0</v>
      </c>
      <c r="K68" s="13">
        <v>0.0</v>
      </c>
      <c r="L68" s="13">
        <v>0.0</v>
      </c>
      <c r="M68" s="13">
        <v>0.0</v>
      </c>
      <c r="N68" s="13">
        <v>0.0</v>
      </c>
      <c r="O68" s="13">
        <f t="shared" si="11"/>
        <v>13531993751066</v>
      </c>
      <c r="P68" s="13">
        <f t="shared" si="12"/>
        <v>892527518</v>
      </c>
      <c r="Q68" s="13">
        <v>0.2</v>
      </c>
      <c r="R68" s="13">
        <f t="shared" ref="R68:AD68" si="148">B68*$O68*$Q68</f>
        <v>135319937511</v>
      </c>
      <c r="S68" s="13">
        <f t="shared" si="148"/>
        <v>0</v>
      </c>
      <c r="T68" s="13">
        <f t="shared" si="148"/>
        <v>0</v>
      </c>
      <c r="U68" s="13">
        <f t="shared" si="148"/>
        <v>0</v>
      </c>
      <c r="V68" s="13">
        <f t="shared" si="148"/>
        <v>0</v>
      </c>
      <c r="W68" s="13">
        <f t="shared" si="148"/>
        <v>0</v>
      </c>
      <c r="X68" s="13">
        <f t="shared" si="148"/>
        <v>0</v>
      </c>
      <c r="Y68" s="13">
        <f t="shared" si="148"/>
        <v>0</v>
      </c>
      <c r="Z68" s="13">
        <f t="shared" si="148"/>
        <v>0</v>
      </c>
      <c r="AA68" s="13">
        <f t="shared" si="148"/>
        <v>0</v>
      </c>
      <c r="AB68" s="13">
        <f t="shared" si="148"/>
        <v>0</v>
      </c>
      <c r="AC68" s="13">
        <f t="shared" si="148"/>
        <v>0</v>
      </c>
      <c r="AD68" s="13">
        <f t="shared" si="148"/>
        <v>0</v>
      </c>
      <c r="AE68" s="34">
        <v>1.0E-23</v>
      </c>
      <c r="AF68" s="13">
        <f t="shared" si="14"/>
        <v>0.1785166903</v>
      </c>
      <c r="AG68" s="35">
        <v>2.0E-23</v>
      </c>
      <c r="AH68" s="13">
        <f t="shared" si="16"/>
        <v>0.9990158713</v>
      </c>
      <c r="AI68" s="35">
        <v>0.0</v>
      </c>
      <c r="AJ68" s="15">
        <f t="shared" si="17"/>
        <v>1</v>
      </c>
      <c r="AK68" s="34">
        <v>0.0</v>
      </c>
      <c r="AL68" s="15">
        <f t="shared" si="18"/>
        <v>1</v>
      </c>
      <c r="AM68" s="36">
        <f t="shared" si="19"/>
        <v>0</v>
      </c>
      <c r="AN68" s="15">
        <f t="shared" si="20"/>
        <v>0.4629102562</v>
      </c>
      <c r="AO68" s="36">
        <f t="shared" si="21"/>
        <v>0</v>
      </c>
      <c r="AP68" s="15">
        <f t="shared" si="22"/>
        <v>1</v>
      </c>
      <c r="AQ68" s="36">
        <f t="shared" si="23"/>
        <v>0</v>
      </c>
      <c r="AR68" s="15">
        <f t="shared" si="24"/>
        <v>0.8539302156</v>
      </c>
      <c r="AS68" s="36"/>
      <c r="AT68" s="18">
        <f t="shared" si="25"/>
        <v>62920478.03</v>
      </c>
      <c r="AU68" s="37">
        <f t="shared" si="26"/>
        <v>0.07049696145</v>
      </c>
      <c r="AV68" s="13">
        <f t="shared" si="27"/>
        <v>44044334.62</v>
      </c>
      <c r="AW68" s="13"/>
      <c r="AX68" s="13"/>
      <c r="AY68" s="17"/>
      <c r="AZ68" s="17"/>
      <c r="BA68" s="17">
        <f t="shared" ref="BA68:BM68" si="149">B68*$AU68*$P68*$Q68</f>
        <v>629204.7803</v>
      </c>
      <c r="BB68" s="17">
        <f t="shared" si="149"/>
        <v>0</v>
      </c>
      <c r="BC68" s="17">
        <f t="shared" si="149"/>
        <v>0</v>
      </c>
      <c r="BD68" s="17">
        <f t="shared" si="149"/>
        <v>0</v>
      </c>
      <c r="BE68" s="17">
        <f t="shared" si="149"/>
        <v>0</v>
      </c>
      <c r="BF68" s="17">
        <f t="shared" si="149"/>
        <v>0</v>
      </c>
      <c r="BG68" s="17">
        <f t="shared" si="149"/>
        <v>0</v>
      </c>
      <c r="BH68" s="17">
        <f t="shared" si="149"/>
        <v>0</v>
      </c>
      <c r="BI68" s="17">
        <f t="shared" si="149"/>
        <v>0</v>
      </c>
      <c r="BJ68" s="17">
        <f t="shared" si="149"/>
        <v>0</v>
      </c>
      <c r="BK68" s="17">
        <f t="shared" si="149"/>
        <v>0</v>
      </c>
      <c r="BL68" s="17">
        <f t="shared" si="149"/>
        <v>0</v>
      </c>
      <c r="BM68" s="17">
        <f t="shared" si="149"/>
        <v>0</v>
      </c>
      <c r="BN68" s="17"/>
      <c r="BO68" s="17"/>
      <c r="BP68" s="17"/>
      <c r="BQ68" s="17"/>
      <c r="BR68" s="17"/>
    </row>
    <row r="69" ht="15.75" customHeight="1">
      <c r="A69" s="13">
        <v>300.0</v>
      </c>
      <c r="B69" s="13">
        <v>0.05</v>
      </c>
      <c r="C69" s="13">
        <v>0.0</v>
      </c>
      <c r="D69" s="13">
        <v>0.0</v>
      </c>
      <c r="E69" s="13">
        <v>0.0</v>
      </c>
      <c r="F69" s="13">
        <v>0.0</v>
      </c>
      <c r="G69" s="13">
        <v>0.0</v>
      </c>
      <c r="H69" s="13">
        <v>0.0</v>
      </c>
      <c r="I69" s="13">
        <v>0.0</v>
      </c>
      <c r="J69" s="13">
        <v>0.0</v>
      </c>
      <c r="K69" s="13">
        <v>0.0</v>
      </c>
      <c r="L69" s="13">
        <v>0.0</v>
      </c>
      <c r="M69" s="13">
        <v>0.0</v>
      </c>
      <c r="N69" s="13">
        <v>0.0</v>
      </c>
      <c r="O69" s="13">
        <f t="shared" si="11"/>
        <v>12196845930368</v>
      </c>
      <c r="P69" s="13">
        <f t="shared" si="12"/>
        <v>804465389.7</v>
      </c>
      <c r="Q69" s="13">
        <v>0.2</v>
      </c>
      <c r="R69" s="13">
        <f t="shared" ref="R69:AD69" si="150">B69*$O69*$Q69</f>
        <v>121968459304</v>
      </c>
      <c r="S69" s="13">
        <f t="shared" si="150"/>
        <v>0</v>
      </c>
      <c r="T69" s="13">
        <f t="shared" si="150"/>
        <v>0</v>
      </c>
      <c r="U69" s="13">
        <f t="shared" si="150"/>
        <v>0</v>
      </c>
      <c r="V69" s="13">
        <f t="shared" si="150"/>
        <v>0</v>
      </c>
      <c r="W69" s="13">
        <f t="shared" si="150"/>
        <v>0</v>
      </c>
      <c r="X69" s="13">
        <f t="shared" si="150"/>
        <v>0</v>
      </c>
      <c r="Y69" s="13">
        <f t="shared" si="150"/>
        <v>0</v>
      </c>
      <c r="Z69" s="13">
        <f t="shared" si="150"/>
        <v>0</v>
      </c>
      <c r="AA69" s="13">
        <f t="shared" si="150"/>
        <v>0</v>
      </c>
      <c r="AB69" s="13">
        <f t="shared" si="150"/>
        <v>0</v>
      </c>
      <c r="AC69" s="13">
        <f t="shared" si="150"/>
        <v>0</v>
      </c>
      <c r="AD69" s="13">
        <f t="shared" si="150"/>
        <v>0</v>
      </c>
      <c r="AE69" s="34">
        <v>6.0E-23</v>
      </c>
      <c r="AF69" s="13">
        <f t="shared" si="14"/>
        <v>0.00003236480235</v>
      </c>
      <c r="AG69" s="35">
        <v>1.3E-23</v>
      </c>
      <c r="AH69" s="13">
        <f t="shared" si="16"/>
        <v>0.9993602061</v>
      </c>
      <c r="AI69" s="35">
        <v>0.0</v>
      </c>
      <c r="AJ69" s="15">
        <f t="shared" si="17"/>
        <v>1</v>
      </c>
      <c r="AK69" s="34">
        <v>0.0</v>
      </c>
      <c r="AL69" s="15">
        <f t="shared" si="18"/>
        <v>1</v>
      </c>
      <c r="AM69" s="36">
        <f t="shared" si="19"/>
        <v>0</v>
      </c>
      <c r="AN69" s="15">
        <f t="shared" si="20"/>
        <v>0.4155433978</v>
      </c>
      <c r="AO69" s="36">
        <f t="shared" si="21"/>
        <v>0</v>
      </c>
      <c r="AP69" s="15">
        <f t="shared" si="22"/>
        <v>1</v>
      </c>
      <c r="AQ69" s="36">
        <f t="shared" si="23"/>
        <v>0</v>
      </c>
      <c r="AR69" s="15">
        <f t="shared" si="24"/>
        <v>0.8352399717</v>
      </c>
      <c r="AS69" s="36"/>
      <c r="AT69" s="18">
        <f t="shared" si="25"/>
        <v>9030.87918</v>
      </c>
      <c r="AU69" s="37">
        <f t="shared" si="26"/>
        <v>0.00001122593874</v>
      </c>
      <c r="AV69" s="13">
        <f t="shared" si="27"/>
        <v>6321.615426</v>
      </c>
      <c r="AW69" s="13"/>
      <c r="AX69" s="13"/>
      <c r="AY69" s="17"/>
      <c r="AZ69" s="17"/>
      <c r="BA69" s="17">
        <f t="shared" ref="BA69:BM69" si="151">B69*$AU69*$P69*$Q69</f>
        <v>90.3087918</v>
      </c>
      <c r="BB69" s="17">
        <f t="shared" si="151"/>
        <v>0</v>
      </c>
      <c r="BC69" s="17">
        <f t="shared" si="151"/>
        <v>0</v>
      </c>
      <c r="BD69" s="17">
        <f t="shared" si="151"/>
        <v>0</v>
      </c>
      <c r="BE69" s="17">
        <f t="shared" si="151"/>
        <v>0</v>
      </c>
      <c r="BF69" s="17">
        <f t="shared" si="151"/>
        <v>0</v>
      </c>
      <c r="BG69" s="17">
        <f t="shared" si="151"/>
        <v>0</v>
      </c>
      <c r="BH69" s="17">
        <f t="shared" si="151"/>
        <v>0</v>
      </c>
      <c r="BI69" s="17">
        <f t="shared" si="151"/>
        <v>0</v>
      </c>
      <c r="BJ69" s="17">
        <f t="shared" si="151"/>
        <v>0</v>
      </c>
      <c r="BK69" s="17">
        <f t="shared" si="151"/>
        <v>0</v>
      </c>
      <c r="BL69" s="17">
        <f t="shared" si="151"/>
        <v>0</v>
      </c>
      <c r="BM69" s="17">
        <f t="shared" si="151"/>
        <v>0</v>
      </c>
      <c r="BN69" s="17"/>
      <c r="BO69" s="17"/>
      <c r="BP69" s="17"/>
      <c r="BQ69" s="17"/>
      <c r="BR69" s="17"/>
    </row>
    <row r="70" ht="15.75" customHeight="1">
      <c r="A70" s="13">
        <v>290.0</v>
      </c>
      <c r="B70" s="13">
        <v>0.03</v>
      </c>
      <c r="C70" s="13">
        <v>0.0</v>
      </c>
      <c r="D70" s="13">
        <v>0.0</v>
      </c>
      <c r="E70" s="13">
        <v>0.0</v>
      </c>
      <c r="F70" s="13">
        <v>0.0</v>
      </c>
      <c r="G70" s="13">
        <v>0.0</v>
      </c>
      <c r="H70" s="13">
        <v>0.0</v>
      </c>
      <c r="I70" s="13">
        <v>0.0</v>
      </c>
      <c r="J70" s="13">
        <v>0.0</v>
      </c>
      <c r="K70" s="13">
        <v>0.0</v>
      </c>
      <c r="L70" s="13">
        <v>0.0</v>
      </c>
      <c r="M70" s="13">
        <v>0.0</v>
      </c>
      <c r="N70" s="13">
        <v>0.0</v>
      </c>
      <c r="O70" s="13">
        <f t="shared" si="11"/>
        <v>10852607884933</v>
      </c>
      <c r="P70" s="13">
        <f t="shared" si="12"/>
        <v>715803698.8</v>
      </c>
      <c r="Q70" s="13">
        <v>0.2</v>
      </c>
      <c r="R70" s="13">
        <f t="shared" ref="R70:AD70" si="152">B70*$O70*$Q70</f>
        <v>65115647310</v>
      </c>
      <c r="S70" s="13">
        <f t="shared" si="152"/>
        <v>0</v>
      </c>
      <c r="T70" s="13">
        <f t="shared" si="152"/>
        <v>0</v>
      </c>
      <c r="U70" s="13">
        <f t="shared" si="152"/>
        <v>0</v>
      </c>
      <c r="V70" s="13">
        <f t="shared" si="152"/>
        <v>0</v>
      </c>
      <c r="W70" s="13">
        <f t="shared" si="152"/>
        <v>0</v>
      </c>
      <c r="X70" s="13">
        <f t="shared" si="152"/>
        <v>0</v>
      </c>
      <c r="Y70" s="13">
        <f t="shared" si="152"/>
        <v>0</v>
      </c>
      <c r="Z70" s="13">
        <f t="shared" si="152"/>
        <v>0</v>
      </c>
      <c r="AA70" s="13">
        <f t="shared" si="152"/>
        <v>0</v>
      </c>
      <c r="AB70" s="13">
        <f t="shared" si="152"/>
        <v>0</v>
      </c>
      <c r="AC70" s="13">
        <f t="shared" si="152"/>
        <v>0</v>
      </c>
      <c r="AD70" s="13">
        <f t="shared" si="152"/>
        <v>0</v>
      </c>
      <c r="AE70" s="34">
        <v>2.0E-22</v>
      </c>
      <c r="AF70" s="13">
        <f t="shared" si="14"/>
        <v>0</v>
      </c>
      <c r="AG70" s="35">
        <v>9.0E-24</v>
      </c>
      <c r="AH70" s="13">
        <f t="shared" si="16"/>
        <v>0.9995570222</v>
      </c>
      <c r="AI70" s="35">
        <v>0.0</v>
      </c>
      <c r="AJ70" s="15">
        <f t="shared" si="17"/>
        <v>1</v>
      </c>
      <c r="AK70" s="34">
        <v>0.0</v>
      </c>
      <c r="AL70" s="15">
        <f t="shared" si="18"/>
        <v>1</v>
      </c>
      <c r="AM70" s="36">
        <f t="shared" si="19"/>
        <v>0</v>
      </c>
      <c r="AN70" s="15">
        <f t="shared" si="20"/>
        <v>0.3657865492</v>
      </c>
      <c r="AO70" s="36">
        <f t="shared" si="21"/>
        <v>0</v>
      </c>
      <c r="AP70" s="15">
        <f t="shared" si="22"/>
        <v>1</v>
      </c>
      <c r="AQ70" s="36">
        <f t="shared" si="23"/>
        <v>0</v>
      </c>
      <c r="AR70" s="15">
        <f t="shared" si="24"/>
        <v>0.8136841505</v>
      </c>
      <c r="AS70" s="36"/>
      <c r="AT70" s="18">
        <f t="shared" si="25"/>
        <v>0.0000002300708681</v>
      </c>
      <c r="AU70" s="37">
        <f t="shared" si="26"/>
        <v>0</v>
      </c>
      <c r="AV70" s="13">
        <f t="shared" si="27"/>
        <v>0.0000001610496077</v>
      </c>
      <c r="AW70" s="13"/>
      <c r="AX70" s="13"/>
      <c r="AY70" s="17"/>
      <c r="AZ70" s="17"/>
      <c r="BA70" s="17">
        <f t="shared" ref="BA70:BM70" si="153">B70*$AU70*$P70*$Q70</f>
        <v>0.000000001380425209</v>
      </c>
      <c r="BB70" s="17">
        <f t="shared" si="153"/>
        <v>0</v>
      </c>
      <c r="BC70" s="17">
        <f t="shared" si="153"/>
        <v>0</v>
      </c>
      <c r="BD70" s="17">
        <f t="shared" si="153"/>
        <v>0</v>
      </c>
      <c r="BE70" s="17">
        <f t="shared" si="153"/>
        <v>0</v>
      </c>
      <c r="BF70" s="17">
        <f t="shared" si="153"/>
        <v>0</v>
      </c>
      <c r="BG70" s="17">
        <f t="shared" si="153"/>
        <v>0</v>
      </c>
      <c r="BH70" s="17">
        <f t="shared" si="153"/>
        <v>0</v>
      </c>
      <c r="BI70" s="17">
        <f t="shared" si="153"/>
        <v>0</v>
      </c>
      <c r="BJ70" s="17">
        <f t="shared" si="153"/>
        <v>0</v>
      </c>
      <c r="BK70" s="17">
        <f t="shared" si="153"/>
        <v>0</v>
      </c>
      <c r="BL70" s="17">
        <f t="shared" si="153"/>
        <v>0</v>
      </c>
      <c r="BM70" s="17">
        <f t="shared" si="153"/>
        <v>0</v>
      </c>
      <c r="BN70" s="17"/>
      <c r="BO70" s="17"/>
      <c r="BP70" s="17"/>
      <c r="BQ70" s="17"/>
      <c r="BR70" s="17"/>
    </row>
    <row r="71" ht="15.75" customHeight="1">
      <c r="A71" s="13">
        <v>280.0</v>
      </c>
      <c r="B71" s="13">
        <v>0.02</v>
      </c>
      <c r="C71" s="13">
        <v>0.0</v>
      </c>
      <c r="D71" s="13">
        <v>0.0</v>
      </c>
      <c r="E71" s="13">
        <v>0.0</v>
      </c>
      <c r="F71" s="13">
        <v>0.0</v>
      </c>
      <c r="G71" s="13">
        <v>0.0</v>
      </c>
      <c r="H71" s="13">
        <v>0.0</v>
      </c>
      <c r="I71" s="13">
        <v>0.0</v>
      </c>
      <c r="J71" s="13">
        <v>0.0</v>
      </c>
      <c r="K71" s="13">
        <v>0.0</v>
      </c>
      <c r="L71" s="13">
        <v>0.0</v>
      </c>
      <c r="M71" s="13">
        <v>0.0</v>
      </c>
      <c r="N71" s="13">
        <v>0.0</v>
      </c>
      <c r="O71" s="13">
        <f t="shared" si="11"/>
        <v>9517675953898</v>
      </c>
      <c r="P71" s="13">
        <f t="shared" si="12"/>
        <v>627755809.9</v>
      </c>
      <c r="Q71" s="13">
        <v>0.2</v>
      </c>
      <c r="R71" s="13">
        <f t="shared" ref="R71:AD71" si="154">B71*$O71*$Q71</f>
        <v>38070703816</v>
      </c>
      <c r="S71" s="13">
        <f t="shared" si="154"/>
        <v>0</v>
      </c>
      <c r="T71" s="13">
        <f t="shared" si="154"/>
        <v>0</v>
      </c>
      <c r="U71" s="13">
        <f t="shared" si="154"/>
        <v>0</v>
      </c>
      <c r="V71" s="13">
        <f t="shared" si="154"/>
        <v>0</v>
      </c>
      <c r="W71" s="13">
        <f t="shared" si="154"/>
        <v>0</v>
      </c>
      <c r="X71" s="13">
        <f t="shared" si="154"/>
        <v>0</v>
      </c>
      <c r="Y71" s="13">
        <f t="shared" si="154"/>
        <v>0</v>
      </c>
      <c r="Z71" s="13">
        <f t="shared" si="154"/>
        <v>0</v>
      </c>
      <c r="AA71" s="13">
        <f t="shared" si="154"/>
        <v>0</v>
      </c>
      <c r="AB71" s="13">
        <f t="shared" si="154"/>
        <v>0</v>
      </c>
      <c r="AC71" s="13">
        <f t="shared" si="154"/>
        <v>0</v>
      </c>
      <c r="AD71" s="13">
        <f t="shared" si="154"/>
        <v>0</v>
      </c>
      <c r="AE71" s="34">
        <v>7.0E-22</v>
      </c>
      <c r="AF71" s="13">
        <f t="shared" si="14"/>
        <v>0</v>
      </c>
      <c r="AG71" s="35">
        <v>6.0E-24</v>
      </c>
      <c r="AH71" s="13">
        <f t="shared" si="16"/>
        <v>0.9997046596</v>
      </c>
      <c r="AI71" s="35">
        <v>0.0</v>
      </c>
      <c r="AJ71" s="15">
        <f t="shared" si="17"/>
        <v>1</v>
      </c>
      <c r="AK71" s="34">
        <v>0.0</v>
      </c>
      <c r="AL71" s="15">
        <f t="shared" si="18"/>
        <v>1</v>
      </c>
      <c r="AM71" s="36">
        <f t="shared" si="19"/>
        <v>0</v>
      </c>
      <c r="AN71" s="15">
        <f t="shared" si="20"/>
        <v>0.314346588</v>
      </c>
      <c r="AO71" s="36">
        <f t="shared" si="21"/>
        <v>0</v>
      </c>
      <c r="AP71" s="15">
        <f t="shared" si="22"/>
        <v>1</v>
      </c>
      <c r="AQ71" s="36">
        <f t="shared" si="23"/>
        <v>0</v>
      </c>
      <c r="AR71" s="15">
        <f t="shared" si="24"/>
        <v>0.7887912552</v>
      </c>
      <c r="AS71" s="36"/>
      <c r="AT71" s="18">
        <f t="shared" si="25"/>
        <v>0</v>
      </c>
      <c r="AU71" s="37">
        <f t="shared" si="26"/>
        <v>0</v>
      </c>
      <c r="AV71" s="13">
        <f t="shared" si="27"/>
        <v>0</v>
      </c>
      <c r="AW71" s="13"/>
      <c r="AX71" s="13"/>
      <c r="AY71" s="17"/>
      <c r="AZ71" s="17"/>
      <c r="BA71" s="17">
        <f t="shared" ref="BA71:BM71" si="155">B71*$AU71*$P71*$Q71</f>
        <v>0</v>
      </c>
      <c r="BB71" s="17">
        <f t="shared" si="155"/>
        <v>0</v>
      </c>
      <c r="BC71" s="17">
        <f t="shared" si="155"/>
        <v>0</v>
      </c>
      <c r="BD71" s="17">
        <f t="shared" si="155"/>
        <v>0</v>
      </c>
      <c r="BE71" s="17">
        <f t="shared" si="155"/>
        <v>0</v>
      </c>
      <c r="BF71" s="17">
        <f t="shared" si="155"/>
        <v>0</v>
      </c>
      <c r="BG71" s="17">
        <f t="shared" si="155"/>
        <v>0</v>
      </c>
      <c r="BH71" s="17">
        <f t="shared" si="155"/>
        <v>0</v>
      </c>
      <c r="BI71" s="17">
        <f t="shared" si="155"/>
        <v>0</v>
      </c>
      <c r="BJ71" s="17">
        <f t="shared" si="155"/>
        <v>0</v>
      </c>
      <c r="BK71" s="17">
        <f t="shared" si="155"/>
        <v>0</v>
      </c>
      <c r="BL71" s="17">
        <f t="shared" si="155"/>
        <v>0</v>
      </c>
      <c r="BM71" s="17">
        <f t="shared" si="155"/>
        <v>0</v>
      </c>
      <c r="BN71" s="17"/>
      <c r="BO71" s="17"/>
      <c r="BP71" s="17"/>
      <c r="BQ71" s="17"/>
      <c r="BR71" s="17"/>
    </row>
    <row r="72" ht="15.75" customHeight="1">
      <c r="A72" s="13">
        <v>270.0</v>
      </c>
      <c r="B72" s="13">
        <v>0.01</v>
      </c>
      <c r="C72" s="13">
        <v>0.0</v>
      </c>
      <c r="D72" s="13">
        <v>0.0</v>
      </c>
      <c r="E72" s="13">
        <v>0.0</v>
      </c>
      <c r="F72" s="13">
        <v>0.0</v>
      </c>
      <c r="G72" s="13">
        <v>0.0</v>
      </c>
      <c r="H72" s="13">
        <v>0.0</v>
      </c>
      <c r="I72" s="13">
        <v>0.0</v>
      </c>
      <c r="J72" s="13">
        <v>0.0</v>
      </c>
      <c r="K72" s="13">
        <v>0.0</v>
      </c>
      <c r="L72" s="13">
        <v>0.0</v>
      </c>
      <c r="M72" s="13">
        <v>0.0</v>
      </c>
      <c r="N72" s="13">
        <v>0.0</v>
      </c>
      <c r="O72" s="13">
        <f t="shared" si="11"/>
        <v>8211804148144</v>
      </c>
      <c r="P72" s="13">
        <f t="shared" si="12"/>
        <v>541624634.9</v>
      </c>
      <c r="Q72" s="13">
        <v>0.2</v>
      </c>
      <c r="R72" s="13">
        <f t="shared" ref="R72:AD72" si="156">B72*$O72*$Q72</f>
        <v>16423608296</v>
      </c>
      <c r="S72" s="13">
        <f t="shared" si="156"/>
        <v>0</v>
      </c>
      <c r="T72" s="13">
        <f t="shared" si="156"/>
        <v>0</v>
      </c>
      <c r="U72" s="13">
        <f t="shared" si="156"/>
        <v>0</v>
      </c>
      <c r="V72" s="13">
        <f t="shared" si="156"/>
        <v>0</v>
      </c>
      <c r="W72" s="13">
        <f t="shared" si="156"/>
        <v>0</v>
      </c>
      <c r="X72" s="13">
        <f t="shared" si="156"/>
        <v>0</v>
      </c>
      <c r="Y72" s="13">
        <f t="shared" si="156"/>
        <v>0</v>
      </c>
      <c r="Z72" s="13">
        <f t="shared" si="156"/>
        <v>0</v>
      </c>
      <c r="AA72" s="13">
        <f t="shared" si="156"/>
        <v>0</v>
      </c>
      <c r="AB72" s="13">
        <f t="shared" si="156"/>
        <v>0</v>
      </c>
      <c r="AC72" s="13">
        <f t="shared" si="156"/>
        <v>0</v>
      </c>
      <c r="AD72" s="13">
        <f t="shared" si="156"/>
        <v>0</v>
      </c>
      <c r="AE72" s="34">
        <v>8.0E-22</v>
      </c>
      <c r="AF72" s="13">
        <f t="shared" si="14"/>
        <v>0</v>
      </c>
      <c r="AG72" s="35">
        <v>3.0E-24</v>
      </c>
      <c r="AH72" s="13">
        <f t="shared" si="16"/>
        <v>0.9998523189</v>
      </c>
      <c r="AI72" s="35">
        <v>0.0</v>
      </c>
      <c r="AJ72" s="15">
        <f t="shared" si="17"/>
        <v>1</v>
      </c>
      <c r="AK72" s="34">
        <v>0.0</v>
      </c>
      <c r="AL72" s="15">
        <f t="shared" si="18"/>
        <v>1</v>
      </c>
      <c r="AM72" s="36">
        <f t="shared" si="19"/>
        <v>0</v>
      </c>
      <c r="AN72" s="15">
        <f t="shared" si="20"/>
        <v>0.2622473761</v>
      </c>
      <c r="AO72" s="36">
        <f t="shared" si="21"/>
        <v>0</v>
      </c>
      <c r="AP72" s="15">
        <f t="shared" si="22"/>
        <v>1</v>
      </c>
      <c r="AQ72" s="36">
        <f t="shared" si="23"/>
        <v>0</v>
      </c>
      <c r="AR72" s="15">
        <f t="shared" si="24"/>
        <v>0.7600252646</v>
      </c>
      <c r="AS72" s="36"/>
      <c r="AT72" s="18">
        <f t="shared" si="25"/>
        <v>0</v>
      </c>
      <c r="AU72" s="37">
        <f t="shared" si="26"/>
        <v>0</v>
      </c>
      <c r="AV72" s="13">
        <f t="shared" si="27"/>
        <v>0</v>
      </c>
      <c r="AW72" s="13"/>
      <c r="AX72" s="13"/>
      <c r="AY72" s="17"/>
      <c r="AZ72" s="17"/>
      <c r="BA72" s="17">
        <f t="shared" ref="BA72:BM72" si="157">B72*$AU72*$P72*$Q72</f>
        <v>0</v>
      </c>
      <c r="BB72" s="17">
        <f t="shared" si="157"/>
        <v>0</v>
      </c>
      <c r="BC72" s="17">
        <f t="shared" si="157"/>
        <v>0</v>
      </c>
      <c r="BD72" s="17">
        <f t="shared" si="157"/>
        <v>0</v>
      </c>
      <c r="BE72" s="17">
        <f t="shared" si="157"/>
        <v>0</v>
      </c>
      <c r="BF72" s="17">
        <f t="shared" si="157"/>
        <v>0</v>
      </c>
      <c r="BG72" s="17">
        <f t="shared" si="157"/>
        <v>0</v>
      </c>
      <c r="BH72" s="17">
        <f t="shared" si="157"/>
        <v>0</v>
      </c>
      <c r="BI72" s="17">
        <f t="shared" si="157"/>
        <v>0</v>
      </c>
      <c r="BJ72" s="17">
        <f t="shared" si="157"/>
        <v>0</v>
      </c>
      <c r="BK72" s="17">
        <f t="shared" si="157"/>
        <v>0</v>
      </c>
      <c r="BL72" s="17">
        <f t="shared" si="157"/>
        <v>0</v>
      </c>
      <c r="BM72" s="17">
        <f t="shared" si="157"/>
        <v>0</v>
      </c>
      <c r="BN72" s="17"/>
      <c r="BO72" s="17"/>
      <c r="BP72" s="17"/>
      <c r="BQ72" s="17"/>
      <c r="BR72" s="17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7"/>
      <c r="AZ73" s="17"/>
      <c r="BA73" s="17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3"/>
      <c r="BQ75" s="13"/>
      <c r="BR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4"/>
      <c r="BD76" s="14"/>
      <c r="BE76" s="35"/>
      <c r="BF76" s="38"/>
      <c r="BG76" s="35"/>
      <c r="BH76" s="35"/>
      <c r="BI76" s="14"/>
      <c r="BJ76" s="14"/>
      <c r="BK76" s="14"/>
      <c r="BL76" s="14"/>
      <c r="BM76" s="14"/>
      <c r="BN76" s="14"/>
      <c r="BO76" s="14"/>
      <c r="BP76" s="13"/>
      <c r="BQ76" s="13"/>
      <c r="BR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3"/>
      <c r="BQ77" s="13"/>
      <c r="BR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3"/>
      <c r="BQ78" s="13"/>
      <c r="BR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3"/>
      <c r="BQ79" s="13"/>
      <c r="BR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3"/>
      <c r="BQ80" s="13"/>
      <c r="BR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3"/>
      <c r="BQ81" s="13"/>
      <c r="BR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3"/>
      <c r="BQ82" s="13"/>
      <c r="BR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3"/>
      <c r="BQ83" s="13"/>
      <c r="BR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3"/>
      <c r="BQ84" s="13"/>
      <c r="BR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3"/>
      <c r="BQ85" s="13"/>
      <c r="BR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3"/>
      <c r="BQ86" s="13"/>
      <c r="BR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3"/>
      <c r="BQ87" s="13"/>
      <c r="BR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3"/>
      <c r="BQ88" s="13"/>
      <c r="BR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3"/>
      <c r="BQ89" s="13"/>
      <c r="BR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3"/>
      <c r="BQ90" s="13"/>
      <c r="BR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3"/>
      <c r="BQ91" s="13"/>
      <c r="BR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3"/>
      <c r="BQ92" s="13"/>
      <c r="BR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3"/>
      <c r="BQ93" s="13"/>
      <c r="BR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3"/>
      <c r="BQ94" s="13"/>
      <c r="BR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3"/>
      <c r="BQ95" s="13"/>
      <c r="BR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3"/>
      <c r="BQ96" s="13"/>
      <c r="BR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3"/>
      <c r="BQ97" s="13"/>
      <c r="BR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</row>
  </sheetData>
  <printOptions/>
  <pageMargins bottom="0.787401575" footer="0.0" header="0.0" left="0.7" right="0.7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t="s">
        <v>76</v>
      </c>
      <c r="B1" t="s">
        <v>26</v>
      </c>
      <c r="C1" t="s">
        <v>77</v>
      </c>
      <c r="I1" t="s">
        <v>78</v>
      </c>
    </row>
    <row r="2">
      <c r="A2">
        <v>890.0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0.03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</row>
    <row r="3">
      <c r="A3">
        <v>880.0</v>
      </c>
      <c r="B3">
        <v>0.0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0.2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</row>
    <row r="4">
      <c r="A4">
        <v>870.0</v>
      </c>
      <c r="B4">
        <v>0.0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0.6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</row>
    <row r="5">
      <c r="A5">
        <v>860.0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1.0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</row>
    <row r="6">
      <c r="A6">
        <v>850.0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0.01</v>
      </c>
      <c r="H6">
        <v>0.55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</row>
    <row r="7">
      <c r="A7">
        <v>840.0</v>
      </c>
      <c r="B7">
        <v>0.0</v>
      </c>
      <c r="C7">
        <v>0.0</v>
      </c>
      <c r="D7">
        <v>0.0</v>
      </c>
      <c r="E7">
        <v>0.0</v>
      </c>
      <c r="F7">
        <v>0.0</v>
      </c>
      <c r="G7">
        <v>0.03</v>
      </c>
      <c r="H7">
        <v>0.09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</row>
    <row r="8">
      <c r="A8">
        <v>830.0</v>
      </c>
      <c r="B8">
        <v>0.0</v>
      </c>
      <c r="C8">
        <v>0.0</v>
      </c>
      <c r="D8">
        <v>0.0</v>
      </c>
      <c r="E8">
        <v>0.0</v>
      </c>
      <c r="F8">
        <v>0.0</v>
      </c>
      <c r="G8">
        <v>0.18</v>
      </c>
      <c r="H8">
        <v>0.06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</row>
    <row r="9">
      <c r="A9">
        <v>820.0</v>
      </c>
      <c r="B9">
        <v>0.0</v>
      </c>
      <c r="C9">
        <v>0.0</v>
      </c>
      <c r="D9">
        <v>0.0</v>
      </c>
      <c r="E9">
        <v>0.0</v>
      </c>
      <c r="F9">
        <v>0.0</v>
      </c>
      <c r="G9">
        <v>0.4</v>
      </c>
      <c r="H9">
        <v>0.02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</row>
    <row r="10">
      <c r="A10">
        <v>810.0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0.95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</row>
    <row r="11">
      <c r="A11">
        <v>800.0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0.55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</row>
    <row r="12">
      <c r="A12">
        <v>790.0</v>
      </c>
      <c r="B12">
        <v>0.0</v>
      </c>
      <c r="C12">
        <v>0.0</v>
      </c>
      <c r="D12">
        <v>0.0</v>
      </c>
      <c r="E12">
        <v>0.0</v>
      </c>
      <c r="F12">
        <v>0.03</v>
      </c>
      <c r="G12">
        <v>0.1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</row>
    <row r="13">
      <c r="A13">
        <v>780.0</v>
      </c>
      <c r="B13">
        <v>0.0</v>
      </c>
      <c r="C13">
        <v>0.0</v>
      </c>
      <c r="D13">
        <v>0.0</v>
      </c>
      <c r="E13">
        <v>0.0</v>
      </c>
      <c r="F13">
        <v>0.15</v>
      </c>
      <c r="G13">
        <v>0.04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</row>
    <row r="14">
      <c r="A14">
        <v>770.0</v>
      </c>
      <c r="B14">
        <v>0.0</v>
      </c>
      <c r="C14">
        <v>0.0</v>
      </c>
      <c r="D14">
        <v>0.0</v>
      </c>
      <c r="E14">
        <v>0.0</v>
      </c>
      <c r="F14">
        <v>0.5</v>
      </c>
      <c r="G14">
        <v>0.03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</row>
    <row r="15">
      <c r="A15">
        <v>760.0</v>
      </c>
      <c r="B15">
        <v>0.0</v>
      </c>
      <c r="C15">
        <v>0.0</v>
      </c>
      <c r="D15">
        <v>0.0</v>
      </c>
      <c r="E15">
        <v>0.02</v>
      </c>
      <c r="F15">
        <v>0.95</v>
      </c>
      <c r="G15">
        <v>0.01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</row>
    <row r="16">
      <c r="A16">
        <v>750.0</v>
      </c>
      <c r="B16">
        <v>0.0</v>
      </c>
      <c r="C16">
        <v>0.0</v>
      </c>
      <c r="D16">
        <v>0.0</v>
      </c>
      <c r="E16">
        <v>0.1</v>
      </c>
      <c r="F16">
        <v>0.47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</row>
    <row r="17">
      <c r="A17">
        <v>740.0</v>
      </c>
      <c r="B17">
        <v>0.0</v>
      </c>
      <c r="C17">
        <v>0.0</v>
      </c>
      <c r="D17">
        <v>0.0</v>
      </c>
      <c r="E17">
        <v>0.5</v>
      </c>
      <c r="F17">
        <v>0.13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</row>
    <row r="18">
      <c r="A18">
        <v>730.0</v>
      </c>
      <c r="B18">
        <v>0.0</v>
      </c>
      <c r="C18">
        <v>0.0</v>
      </c>
      <c r="D18">
        <v>0.0</v>
      </c>
      <c r="E18">
        <v>0.9</v>
      </c>
      <c r="F18">
        <v>0.05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</row>
    <row r="19">
      <c r="A19">
        <v>720.0</v>
      </c>
      <c r="B19">
        <v>0.0</v>
      </c>
      <c r="C19">
        <v>0.0</v>
      </c>
      <c r="D19">
        <v>0.0</v>
      </c>
      <c r="E19">
        <v>0.45</v>
      </c>
      <c r="F19">
        <v>0.01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</row>
    <row r="20">
      <c r="A20">
        <v>710.0</v>
      </c>
      <c r="B20">
        <v>0.0</v>
      </c>
      <c r="C20">
        <v>0.0</v>
      </c>
      <c r="D20">
        <v>0.01</v>
      </c>
      <c r="E20">
        <v>0.18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0.01</v>
      </c>
    </row>
    <row r="21">
      <c r="A21">
        <v>700.0</v>
      </c>
      <c r="B21">
        <v>0.0</v>
      </c>
      <c r="C21">
        <v>0.0</v>
      </c>
      <c r="D21">
        <v>0.1</v>
      </c>
      <c r="E21">
        <v>0.03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0.06</v>
      </c>
    </row>
    <row r="22">
      <c r="A22">
        <v>690.0</v>
      </c>
      <c r="B22">
        <v>0.0</v>
      </c>
      <c r="C22">
        <v>0.0</v>
      </c>
      <c r="D22">
        <v>0.35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0.2</v>
      </c>
    </row>
    <row r="23">
      <c r="A23">
        <v>680.0</v>
      </c>
      <c r="B23">
        <v>0.0</v>
      </c>
      <c r="C23">
        <v>0.0</v>
      </c>
      <c r="D23">
        <v>1.0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0.3</v>
      </c>
    </row>
    <row r="24">
      <c r="A24">
        <v>670.0</v>
      </c>
      <c r="B24">
        <v>0.0</v>
      </c>
      <c r="C24">
        <v>0.0</v>
      </c>
      <c r="D24">
        <v>0.35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0.6</v>
      </c>
    </row>
    <row r="25">
      <c r="A25">
        <v>660.0</v>
      </c>
      <c r="B25">
        <v>0.0</v>
      </c>
      <c r="C25">
        <v>0.0</v>
      </c>
      <c r="D25">
        <v>0.12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0.85</v>
      </c>
    </row>
    <row r="26">
      <c r="A26">
        <v>650.0</v>
      </c>
      <c r="B26">
        <v>0.0</v>
      </c>
      <c r="C26">
        <v>0.0</v>
      </c>
      <c r="D26">
        <v>0.03</v>
      </c>
      <c r="E26">
        <v>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0.03</v>
      </c>
      <c r="N26">
        <v>1.0</v>
      </c>
    </row>
    <row r="27">
      <c r="A27">
        <v>640.0</v>
      </c>
      <c r="B27">
        <v>0.0</v>
      </c>
      <c r="C27">
        <v>0.01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0.1</v>
      </c>
      <c r="N27">
        <v>0.9</v>
      </c>
    </row>
    <row r="28">
      <c r="A28">
        <v>630.0</v>
      </c>
      <c r="B28">
        <v>0.0</v>
      </c>
      <c r="C28">
        <v>0.1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0.3</v>
      </c>
      <c r="N28">
        <v>0.5</v>
      </c>
    </row>
    <row r="29">
      <c r="A29">
        <v>620.0</v>
      </c>
      <c r="B29">
        <v>0.0</v>
      </c>
      <c r="C29">
        <v>0.3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0.03</v>
      </c>
      <c r="M29">
        <v>0.5</v>
      </c>
      <c r="N29">
        <v>0.23</v>
      </c>
    </row>
    <row r="30">
      <c r="A30">
        <v>610.0</v>
      </c>
      <c r="B30">
        <v>0.0</v>
      </c>
      <c r="C30">
        <v>0.9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0.08</v>
      </c>
      <c r="M30">
        <v>0.7</v>
      </c>
      <c r="N30">
        <v>0.1</v>
      </c>
    </row>
    <row r="31">
      <c r="A31">
        <v>600.0</v>
      </c>
      <c r="B31">
        <v>0.0</v>
      </c>
      <c r="C31">
        <v>0.6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0.01</v>
      </c>
      <c r="L31">
        <v>0.25</v>
      </c>
      <c r="M31">
        <v>1.0</v>
      </c>
      <c r="N31">
        <v>0.02</v>
      </c>
    </row>
    <row r="32">
      <c r="A32">
        <v>590.0</v>
      </c>
      <c r="B32">
        <v>0.0</v>
      </c>
      <c r="C32">
        <v>0.1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0.1</v>
      </c>
      <c r="L32">
        <v>0.51</v>
      </c>
      <c r="M32">
        <v>0.85</v>
      </c>
      <c r="N32">
        <v>0.0</v>
      </c>
    </row>
    <row r="33">
      <c r="A33">
        <v>580.0</v>
      </c>
      <c r="B33">
        <v>0.0</v>
      </c>
      <c r="C33">
        <v>0.01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0.25</v>
      </c>
      <c r="L33">
        <v>0.75</v>
      </c>
      <c r="M33">
        <v>0.6</v>
      </c>
      <c r="N33">
        <v>0.0</v>
      </c>
    </row>
    <row r="34">
      <c r="A34">
        <v>570.0</v>
      </c>
      <c r="B34">
        <v>0.0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0.5</v>
      </c>
      <c r="L34">
        <v>0.95</v>
      </c>
      <c r="M34">
        <v>0.2</v>
      </c>
      <c r="N34">
        <v>0.0</v>
      </c>
    </row>
    <row r="35">
      <c r="A35">
        <v>560.0</v>
      </c>
      <c r="B35">
        <v>0.0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0.8</v>
      </c>
      <c r="L35">
        <v>0.95</v>
      </c>
      <c r="M35">
        <v>0.08</v>
      </c>
      <c r="N35">
        <v>0.0</v>
      </c>
    </row>
    <row r="36">
      <c r="A36">
        <v>550.0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0.01</v>
      </c>
      <c r="K36">
        <v>1.0</v>
      </c>
      <c r="L36">
        <v>0.57</v>
      </c>
      <c r="M36">
        <v>0.02</v>
      </c>
      <c r="N36">
        <v>0.0</v>
      </c>
    </row>
    <row r="37">
      <c r="A37">
        <v>540.0</v>
      </c>
      <c r="B37">
        <v>0.0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0.1</v>
      </c>
      <c r="K37">
        <v>0.85</v>
      </c>
      <c r="L37">
        <v>0.27</v>
      </c>
      <c r="M37">
        <v>0.0</v>
      </c>
      <c r="N37">
        <v>0.0</v>
      </c>
    </row>
    <row r="38">
      <c r="A38">
        <v>530.0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0.2</v>
      </c>
      <c r="K38">
        <v>0.55</v>
      </c>
      <c r="L38">
        <v>0.09</v>
      </c>
      <c r="M38">
        <v>0.0</v>
      </c>
      <c r="N38">
        <v>0.0</v>
      </c>
    </row>
    <row r="39">
      <c r="A39">
        <v>520.0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0.5</v>
      </c>
      <c r="K39">
        <v>0.22</v>
      </c>
      <c r="L39">
        <v>0.07</v>
      </c>
      <c r="M39">
        <v>0.0</v>
      </c>
      <c r="N39">
        <v>0.0</v>
      </c>
    </row>
    <row r="40">
      <c r="A40">
        <v>510.0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0.8</v>
      </c>
      <c r="K40">
        <v>0.12</v>
      </c>
      <c r="L40">
        <v>0.03</v>
      </c>
      <c r="M40">
        <v>0.0</v>
      </c>
      <c r="N40">
        <v>0.0</v>
      </c>
    </row>
    <row r="41">
      <c r="A41">
        <v>500.0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0.01</v>
      </c>
      <c r="J41">
        <v>1.0</v>
      </c>
      <c r="K41">
        <v>0.03</v>
      </c>
      <c r="L41">
        <v>0.0</v>
      </c>
      <c r="M41">
        <v>0.0</v>
      </c>
      <c r="N41">
        <v>0.0</v>
      </c>
    </row>
    <row r="42">
      <c r="A42">
        <v>490.0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0.05</v>
      </c>
      <c r="J42">
        <v>0.72</v>
      </c>
      <c r="K42">
        <v>0.0</v>
      </c>
      <c r="L42">
        <v>0.0</v>
      </c>
      <c r="M42">
        <v>0.0</v>
      </c>
      <c r="N42">
        <v>0.0</v>
      </c>
    </row>
    <row r="43">
      <c r="A43">
        <v>480.0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0.1</v>
      </c>
      <c r="J43">
        <v>0.54</v>
      </c>
      <c r="K43">
        <v>0.0</v>
      </c>
      <c r="L43">
        <v>0.0</v>
      </c>
      <c r="M43">
        <v>0.0</v>
      </c>
      <c r="N43">
        <v>0.0</v>
      </c>
    </row>
    <row r="44">
      <c r="A44">
        <v>470.0</v>
      </c>
      <c r="B44">
        <v>0.0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0.4</v>
      </c>
      <c r="J44">
        <v>0.23</v>
      </c>
      <c r="K44">
        <v>0.0</v>
      </c>
      <c r="L44">
        <v>0.0</v>
      </c>
      <c r="M44">
        <v>0.0</v>
      </c>
      <c r="N44">
        <v>0.0</v>
      </c>
    </row>
    <row r="45">
      <c r="A45">
        <v>460.0</v>
      </c>
      <c r="B45">
        <v>0.02</v>
      </c>
      <c r="C45">
        <v>0.0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0.75</v>
      </c>
      <c r="J45">
        <v>0.12</v>
      </c>
      <c r="K45">
        <v>0.0</v>
      </c>
      <c r="L45">
        <v>0.0</v>
      </c>
      <c r="M45">
        <v>0.0</v>
      </c>
      <c r="N45">
        <v>0.0</v>
      </c>
    </row>
    <row r="46">
      <c r="A46">
        <v>450.0</v>
      </c>
      <c r="B46">
        <v>0.02</v>
      </c>
      <c r="C46">
        <v>0.0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1.0</v>
      </c>
      <c r="J46">
        <v>0.03</v>
      </c>
      <c r="K46">
        <v>0.0</v>
      </c>
      <c r="L46">
        <v>0.0</v>
      </c>
      <c r="M46">
        <v>0.0</v>
      </c>
      <c r="N46">
        <v>0.0</v>
      </c>
    </row>
    <row r="47">
      <c r="A47">
        <v>440.0</v>
      </c>
      <c r="B47">
        <v>0.03</v>
      </c>
      <c r="C47">
        <v>0.0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0.8</v>
      </c>
      <c r="J47">
        <v>0.0</v>
      </c>
      <c r="K47">
        <v>0.0</v>
      </c>
      <c r="L47">
        <v>0.0</v>
      </c>
      <c r="M47">
        <v>0.0</v>
      </c>
      <c r="N47">
        <v>0.0</v>
      </c>
    </row>
    <row r="48">
      <c r="A48">
        <v>430.0</v>
      </c>
      <c r="B48">
        <v>0.04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0.5</v>
      </c>
      <c r="J48">
        <v>0.0</v>
      </c>
      <c r="K48">
        <v>0.0</v>
      </c>
      <c r="L48">
        <v>0.0</v>
      </c>
      <c r="M48">
        <v>0.0</v>
      </c>
      <c r="N48">
        <v>0.0</v>
      </c>
    </row>
    <row r="49">
      <c r="A49">
        <v>420.0</v>
      </c>
      <c r="B49">
        <v>0.07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0.2</v>
      </c>
      <c r="J49">
        <v>0.0</v>
      </c>
      <c r="K49">
        <v>0.0</v>
      </c>
      <c r="L49">
        <v>0.0</v>
      </c>
      <c r="M49">
        <v>0.0</v>
      </c>
      <c r="N49">
        <v>0.0</v>
      </c>
    </row>
    <row r="50">
      <c r="A50">
        <v>410.0</v>
      </c>
      <c r="B50">
        <v>0.1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0.1</v>
      </c>
      <c r="J50">
        <v>0.0</v>
      </c>
      <c r="K50">
        <v>0.0</v>
      </c>
      <c r="L50">
        <v>0.0</v>
      </c>
      <c r="M50">
        <v>0.0</v>
      </c>
      <c r="N50">
        <v>0.0</v>
      </c>
    </row>
    <row r="51">
      <c r="A51">
        <v>400.0</v>
      </c>
      <c r="B51">
        <v>0.16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0.03</v>
      </c>
      <c r="J51">
        <v>0.0</v>
      </c>
      <c r="K51">
        <v>0.0</v>
      </c>
      <c r="L51">
        <v>0.0</v>
      </c>
      <c r="M51">
        <v>0.0</v>
      </c>
      <c r="N51">
        <v>0.0</v>
      </c>
    </row>
    <row r="52">
      <c r="A52">
        <v>390.0</v>
      </c>
      <c r="B52">
        <v>0.3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</row>
    <row r="53">
      <c r="A53">
        <v>380.0</v>
      </c>
      <c r="B53">
        <v>0.5</v>
      </c>
      <c r="C53">
        <v>0.0</v>
      </c>
      <c r="D53">
        <v>0.0</v>
      </c>
      <c r="E53">
        <v>0.0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</row>
    <row r="54">
      <c r="A54">
        <v>370.0</v>
      </c>
      <c r="B54">
        <v>0.73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</row>
    <row r="55">
      <c r="A55">
        <v>360.0</v>
      </c>
      <c r="B55">
        <v>0.95</v>
      </c>
      <c r="C55">
        <v>0.0</v>
      </c>
      <c r="D55">
        <v>0.0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</row>
    <row r="56">
      <c r="A56">
        <v>350.0</v>
      </c>
      <c r="B56">
        <v>0.9</v>
      </c>
      <c r="C56">
        <v>0.0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</row>
    <row r="57">
      <c r="A57">
        <v>340.0</v>
      </c>
      <c r="B57">
        <v>0.5</v>
      </c>
      <c r="C57">
        <v>0.0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</row>
    <row r="58">
      <c r="A58">
        <v>330.0</v>
      </c>
      <c r="B58">
        <v>0.25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</row>
    <row r="59">
      <c r="A59">
        <v>320.0</v>
      </c>
      <c r="B59">
        <v>0.09</v>
      </c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</row>
    <row r="60">
      <c r="A60">
        <v>310.0</v>
      </c>
      <c r="B60">
        <v>0.05</v>
      </c>
      <c r="C60">
        <v>0.0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</row>
    <row r="61">
      <c r="A61">
        <v>300.0</v>
      </c>
      <c r="B61">
        <v>0.05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</row>
    <row r="62">
      <c r="A62">
        <v>290.0</v>
      </c>
      <c r="B62">
        <v>0.03</v>
      </c>
      <c r="C62">
        <v>0.0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</row>
    <row r="63">
      <c r="A63">
        <v>280.0</v>
      </c>
      <c r="B63">
        <v>0.02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</row>
    <row r="64">
      <c r="A64">
        <v>270.0</v>
      </c>
      <c r="B64">
        <v>0.01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76</v>
      </c>
      <c r="B1" s="5" t="s">
        <v>79</v>
      </c>
      <c r="C1" s="14" t="s">
        <v>80</v>
      </c>
      <c r="D1" s="14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5" t="s">
        <v>87</v>
      </c>
    </row>
    <row r="2">
      <c r="A2" s="13">
        <v>890.0</v>
      </c>
      <c r="B2">
        <v>0.999077634363602</v>
      </c>
      <c r="C2" s="13">
        <v>0.99999926063766</v>
      </c>
      <c r="D2" s="15">
        <v>1.0</v>
      </c>
      <c r="E2">
        <v>1.0</v>
      </c>
      <c r="F2">
        <v>0.9885995334606407</v>
      </c>
      <c r="G2">
        <v>0.9999113973746322</v>
      </c>
      <c r="H2">
        <v>0.9970783074882422</v>
      </c>
      <c r="I2">
        <v>0.9867034847016662</v>
      </c>
      <c r="J2" s="5">
        <v>1.0</v>
      </c>
    </row>
    <row r="3">
      <c r="A3" s="13">
        <v>880.0</v>
      </c>
      <c r="B3">
        <v>0.9989209168349339</v>
      </c>
      <c r="C3" s="13">
        <v>0.9999991164620674</v>
      </c>
      <c r="D3" s="15">
        <v>1.0</v>
      </c>
      <c r="E3">
        <v>1.0</v>
      </c>
      <c r="F3">
        <v>0.9880755853103622</v>
      </c>
      <c r="G3">
        <v>0.9999073010021775</v>
      </c>
      <c r="H3">
        <v>0.9969434290317216</v>
      </c>
      <c r="I3">
        <v>0.9859802888499771</v>
      </c>
      <c r="J3" s="5">
        <v>1.0</v>
      </c>
    </row>
    <row r="4">
      <c r="A4" s="13">
        <v>870.0</v>
      </c>
      <c r="B4">
        <v>0.9987375885330784</v>
      </c>
      <c r="C4" s="13">
        <v>0.9999989441722614</v>
      </c>
      <c r="D4" s="15">
        <v>1.0</v>
      </c>
      <c r="E4">
        <v>1.0</v>
      </c>
      <c r="F4">
        <v>0.9875213055374779</v>
      </c>
      <c r="G4">
        <v>0.9999029651418101</v>
      </c>
      <c r="H4">
        <v>0.9968006843951958</v>
      </c>
      <c r="I4">
        <v>0.9851981296075095</v>
      </c>
      <c r="J4" s="5">
        <v>1.0</v>
      </c>
    </row>
    <row r="5">
      <c r="A5" s="13">
        <v>860.0</v>
      </c>
      <c r="B5">
        <v>0.9985231371308353</v>
      </c>
      <c r="C5" s="13">
        <v>0.9999987382859823</v>
      </c>
      <c r="D5" s="15">
        <v>1.0</v>
      </c>
      <c r="E5">
        <v>1.0</v>
      </c>
      <c r="F5">
        <v>0.9869345739019343</v>
      </c>
      <c r="G5">
        <v>0.9998983727944999</v>
      </c>
      <c r="H5">
        <v>0.996649517341488</v>
      </c>
      <c r="I5">
        <v>0.9843503259238295</v>
      </c>
      <c r="J5" s="5">
        <v>1.0</v>
      </c>
    </row>
    <row r="6">
      <c r="A6" s="13">
        <v>850.0</v>
      </c>
      <c r="B6">
        <v>0.9982722874445428</v>
      </c>
      <c r="C6" s="13">
        <v>0.9999984922519344</v>
      </c>
      <c r="D6" s="15">
        <v>1.0</v>
      </c>
      <c r="E6">
        <v>1.0</v>
      </c>
      <c r="F6">
        <v>0.986313096502649</v>
      </c>
      <c r="G6">
        <v>0.9998935055367875</v>
      </c>
      <c r="H6">
        <v>0.9964893252833822</v>
      </c>
      <c r="I6">
        <v>0.98342927639176</v>
      </c>
      <c r="J6" s="5">
        <v>1.0</v>
      </c>
    </row>
    <row r="7">
      <c r="A7" s="13">
        <v>840.0</v>
      </c>
      <c r="B7">
        <v>0.9979788733094478</v>
      </c>
      <c r="C7" s="13">
        <v>0.9999981982413264</v>
      </c>
      <c r="D7" s="15">
        <v>0.9877677639817591</v>
      </c>
      <c r="E7">
        <v>1.0</v>
      </c>
      <c r="F7">
        <v>0.9856543894913963</v>
      </c>
      <c r="G7">
        <v>0.9998883433827356</v>
      </c>
      <c r="H7">
        <v>0.9963194548271684</v>
      </c>
      <c r="I7">
        <v>0.9704090501883006</v>
      </c>
      <c r="J7" s="5">
        <v>1.0</v>
      </c>
    </row>
    <row r="8">
      <c r="A8" s="13">
        <v>830.0</v>
      </c>
      <c r="B8">
        <v>0.9976356882480154</v>
      </c>
      <c r="C8" s="13">
        <v>0.9999978468987633</v>
      </c>
      <c r="D8" s="15">
        <v>0.9696993888603563</v>
      </c>
      <c r="E8">
        <v>1.0</v>
      </c>
      <c r="F8">
        <v>0.984955761070967</v>
      </c>
      <c r="G8">
        <v>0.9998828646306462</v>
      </c>
      <c r="H8">
        <v>0.9961391968297852</v>
      </c>
      <c r="I8">
        <v>0.9515966338704257</v>
      </c>
      <c r="J8" s="5">
        <v>1.0</v>
      </c>
    </row>
    <row r="9">
      <c r="A9" s="13">
        <v>820.0</v>
      </c>
      <c r="B9">
        <v>0.9972343115367379</v>
      </c>
      <c r="C9" s="13">
        <v>0.9999974270445623</v>
      </c>
      <c r="D9" s="15">
        <v>0.7351419721192611</v>
      </c>
      <c r="E9">
        <v>1.0</v>
      </c>
      <c r="F9">
        <v>0.984214291577988</v>
      </c>
      <c r="G9">
        <v>0.999877045692652</v>
      </c>
      <c r="H9">
        <v>0.995947780910078</v>
      </c>
      <c r="I9">
        <v>0.720537475579221</v>
      </c>
      <c r="J9" s="5">
        <v>1.0</v>
      </c>
    </row>
    <row r="10">
      <c r="A10" s="13">
        <v>810.0</v>
      </c>
      <c r="B10">
        <v>0.9967649057770855</v>
      </c>
      <c r="C10" s="13">
        <v>0.9999969253190232</v>
      </c>
      <c r="D10" s="15">
        <v>0.8841958813701837</v>
      </c>
      <c r="E10">
        <v>1.0</v>
      </c>
      <c r="F10">
        <v>0.9834268114255664</v>
      </c>
      <c r="G10">
        <v>0.999870860905032</v>
      </c>
      <c r="H10">
        <v>0.9957443693466347</v>
      </c>
      <c r="I10">
        <v>0.8654686171343565</v>
      </c>
      <c r="J10" s="5">
        <v>1.0</v>
      </c>
    </row>
    <row r="11">
      <c r="A11" s="13">
        <v>800.0</v>
      </c>
      <c r="B11">
        <v>0.9962159815194104</v>
      </c>
      <c r="C11" s="13">
        <v>0.9999963257573342</v>
      </c>
      <c r="D11" s="15">
        <v>0.9403169047561486</v>
      </c>
      <c r="E11">
        <v>1.0</v>
      </c>
      <c r="F11">
        <v>0.9825898766523086</v>
      </c>
      <c r="G11">
        <v>0.9998642823167955</v>
      </c>
      <c r="H11">
        <v>0.9955280502853995</v>
      </c>
      <c r="I11">
        <v>0.9190427220991635</v>
      </c>
      <c r="J11" s="5">
        <v>1.0</v>
      </c>
    </row>
    <row r="12">
      <c r="A12" s="13">
        <v>790.0</v>
      </c>
      <c r="B12">
        <v>0.9955741238753517</v>
      </c>
      <c r="C12" s="13">
        <v>0.9999956092815874</v>
      </c>
      <c r="D12" s="15">
        <v>1.0</v>
      </c>
      <c r="E12">
        <v>1.0</v>
      </c>
      <c r="F12">
        <v>0.9816997417917773</v>
      </c>
      <c r="G12">
        <v>0.9998572794537349</v>
      </c>
      <c r="H12">
        <v>0.9952978301696098</v>
      </c>
      <c r="I12">
        <v>0.9757834176652062</v>
      </c>
      <c r="J12" s="5">
        <v>1.0</v>
      </c>
    </row>
    <row r="13">
      <c r="A13" s="13">
        <v>780.0</v>
      </c>
      <c r="B13">
        <v>0.9948236753887321</v>
      </c>
      <c r="C13" s="13">
        <v>0.9999947530937431</v>
      </c>
      <c r="D13" s="15">
        <v>1.0</v>
      </c>
      <c r="E13">
        <v>1.0</v>
      </c>
      <c r="F13">
        <v>0.980752329739554</v>
      </c>
      <c r="G13">
        <v>0.9998498190547435</v>
      </c>
      <c r="H13">
        <v>0.9950526252923336</v>
      </c>
      <c r="I13">
        <v>0.9740243449181066</v>
      </c>
      <c r="J13" s="5">
        <v>1.0</v>
      </c>
    </row>
    <row r="14">
      <c r="A14" s="13">
        <v>770.0</v>
      </c>
      <c r="B14">
        <v>0.9939463687267995</v>
      </c>
      <c r="C14" s="13">
        <v>0.9999937299502305</v>
      </c>
      <c r="D14" s="15">
        <v>1.0</v>
      </c>
      <c r="E14">
        <v>0.7191322136007386</v>
      </c>
      <c r="F14">
        <v>0.9797431982531456</v>
      </c>
      <c r="G14">
        <v>0.9998418647767269</v>
      </c>
      <c r="H14">
        <v>0.9947912523577152</v>
      </c>
      <c r="I14">
        <v>0.699051244092805</v>
      </c>
      <c r="J14" s="5">
        <v>1.0</v>
      </c>
    </row>
    <row r="15">
      <c r="A15" s="13">
        <v>760.0</v>
      </c>
      <c r="B15">
        <v>0.9929209020208591</v>
      </c>
      <c r="C15" s="13">
        <v>0.999992507295106</v>
      </c>
      <c r="D15" s="15">
        <v>1.0</v>
      </c>
      <c r="E15">
        <v>0.4933573391450343</v>
      </c>
      <c r="F15">
        <v>0.9786675026723309</v>
      </c>
      <c r="G15">
        <v>0.9998333768638997</v>
      </c>
      <c r="H15">
        <v>0.9945124179206686</v>
      </c>
      <c r="I15">
        <v>0.47851382703970075</v>
      </c>
      <c r="J15" s="5">
        <v>1.0</v>
      </c>
    </row>
    <row r="16">
      <c r="A16" s="13">
        <v>750.0</v>
      </c>
      <c r="B16">
        <v>0.991722448957494</v>
      </c>
      <c r="C16" s="13">
        <v>0.9999910462241928</v>
      </c>
      <c r="D16" s="15">
        <v>0.9938650632665177</v>
      </c>
      <c r="E16">
        <v>1.0</v>
      </c>
      <c r="F16">
        <v>0.9775199543933676</v>
      </c>
      <c r="G16">
        <v>0.9998243117766256</v>
      </c>
      <c r="H16">
        <v>0.9942147065558119</v>
      </c>
      <c r="I16">
        <v>0.9615710334267715</v>
      </c>
      <c r="J16" s="5">
        <v>1.0</v>
      </c>
    </row>
    <row r="17">
      <c r="A17" s="13">
        <v>740.0</v>
      </c>
      <c r="B17">
        <v>0.9903220950450746</v>
      </c>
      <c r="C17" s="13">
        <v>0.9999893002472512</v>
      </c>
      <c r="D17" s="15">
        <v>0.8314243343681459</v>
      </c>
      <c r="E17">
        <v>1.0</v>
      </c>
      <c r="F17">
        <v>0.9762947745689102</v>
      </c>
      <c r="G17">
        <v>0.9998146217742261</v>
      </c>
      <c r="H17">
        <v>0.993896567584457</v>
      </c>
      <c r="I17">
        <v>0.8021770909972274</v>
      </c>
      <c r="J17" s="5">
        <v>1.0</v>
      </c>
    </row>
    <row r="18">
      <c r="A18" s="13">
        <v>730.0</v>
      </c>
      <c r="B18">
        <v>0.9886861909247212</v>
      </c>
      <c r="C18" s="13">
        <v>0.9999872138088042</v>
      </c>
      <c r="D18" s="15">
        <v>0.7351419721192611</v>
      </c>
      <c r="E18">
        <v>1.0</v>
      </c>
      <c r="F18">
        <v>0.9749856424354959</v>
      </c>
      <c r="G18">
        <v>0.9998042544453314</v>
      </c>
      <c r="H18">
        <v>0.9935563001629625</v>
      </c>
      <c r="I18">
        <v>0.7070765913598138</v>
      </c>
      <c r="J18" s="5">
        <v>1.0</v>
      </c>
    </row>
    <row r="19">
      <c r="A19" s="13">
        <v>720.0</v>
      </c>
      <c r="B19">
        <v>0.9867756132621437</v>
      </c>
      <c r="C19" s="13">
        <v>0.9999847205205692</v>
      </c>
      <c r="D19" s="15">
        <v>0.9938650632665177</v>
      </c>
      <c r="E19">
        <v>1.0</v>
      </c>
      <c r="F19">
        <v>0.9735856375909303</v>
      </c>
      <c r="G19">
        <v>0.9997931521783379</v>
      </c>
      <c r="H19">
        <v>0.9931920365060696</v>
      </c>
      <c r="I19">
        <v>0.9525839021115855</v>
      </c>
      <c r="J19" s="5">
        <v>1.0</v>
      </c>
    </row>
    <row r="20">
      <c r="A20" s="13">
        <v>710.0</v>
      </c>
      <c r="B20">
        <v>0.9845449237925031</v>
      </c>
      <c r="C20" s="13">
        <v>0.9999817410492816</v>
      </c>
      <c r="D20" s="15">
        <v>0.9519615227831156</v>
      </c>
      <c r="E20">
        <v>1.0</v>
      </c>
      <c r="F20">
        <v>0.9720871754535961</v>
      </c>
      <c r="G20">
        <v>0.9997812515633684</v>
      </c>
      <c r="H20">
        <v>0.992801722984264</v>
      </c>
      <c r="I20">
        <v>0.908832768770057</v>
      </c>
      <c r="J20" s="5">
        <v>1.0</v>
      </c>
    </row>
    <row r="21">
      <c r="A21" s="13">
        <v>700.0</v>
      </c>
      <c r="B21">
        <v>0.9819414176994101</v>
      </c>
      <c r="C21" s="13">
        <v>0.9999781805927358</v>
      </c>
      <c r="D21" s="15">
        <v>0.9345481200360456</v>
      </c>
      <c r="E21">
        <v>0.9859689351262875</v>
      </c>
      <c r="F21">
        <v>0.9704819350332464</v>
      </c>
      <c r="G21">
        <v>0.9997684827157488</v>
      </c>
      <c r="H21">
        <v>0.992383098793841</v>
      </c>
      <c r="I21">
        <v>0.8757857144694949</v>
      </c>
      <c r="J21" s="5">
        <v>1.0</v>
      </c>
    </row>
    <row r="22">
      <c r="A22" s="13">
        <v>690.0</v>
      </c>
      <c r="B22">
        <v>0.9789040539749181</v>
      </c>
      <c r="C22" s="13">
        <v>0.9999739258637896</v>
      </c>
      <c r="D22" s="15">
        <v>0.9938650632665177</v>
      </c>
      <c r="E22">
        <v>0.8682250633746728</v>
      </c>
      <c r="F22">
        <v>0.9687607780267345</v>
      </c>
      <c r="G22">
        <v>0.999754768509391</v>
      </c>
      <c r="H22">
        <v>0.9919336718511654</v>
      </c>
      <c r="I22">
        <v>0.816032604397889</v>
      </c>
      <c r="J22" s="5">
        <v>1.0</v>
      </c>
    </row>
    <row r="23">
      <c r="A23" s="13">
        <v>680.0</v>
      </c>
      <c r="B23">
        <v>0.9753622631167977</v>
      </c>
      <c r="C23" s="13">
        <v>0.9999688414864414</v>
      </c>
      <c r="D23" s="15">
        <v>1.0</v>
      </c>
      <c r="E23">
        <v>1.0</v>
      </c>
      <c r="F23">
        <v>0.9669136581207816</v>
      </c>
      <c r="G23">
        <v>0.9997400237065538</v>
      </c>
      <c r="H23">
        <v>0.9914506915073592</v>
      </c>
      <c r="I23">
        <v>0.9403088291135216</v>
      </c>
      <c r="J23" s="5">
        <v>1.0</v>
      </c>
    </row>
    <row r="24">
      <c r="A24" s="13">
        <v>670.0</v>
      </c>
      <c r="B24">
        <v>0.9712346319930949</v>
      </c>
      <c r="C24" s="13">
        <v>0.9999627656894149</v>
      </c>
      <c r="D24" s="15">
        <v>1.0</v>
      </c>
      <c r="E24">
        <v>1.0</v>
      </c>
      <c r="F24">
        <v>0.964929519235608</v>
      </c>
      <c r="G24">
        <v>0.9997241539681878</v>
      </c>
      <c r="H24">
        <v>0.99093111761482</v>
      </c>
      <c r="I24">
        <v>0.9342357310446707</v>
      </c>
      <c r="J24" s="5">
        <v>1.0</v>
      </c>
    </row>
    <row r="25">
      <c r="A25" s="13">
        <v>660.0</v>
      </c>
      <c r="B25">
        <v>0.966427472632153</v>
      </c>
      <c r="C25" s="13">
        <v>0.9999555051603847</v>
      </c>
      <c r="D25" s="15">
        <v>0.9756851555615241</v>
      </c>
      <c r="E25">
        <v>1.0</v>
      </c>
      <c r="F25">
        <v>0.9627961812763766</v>
      </c>
      <c r="G25">
        <v>0.9997070547263808</v>
      </c>
      <c r="H25">
        <v>0.9903715854007978</v>
      </c>
      <c r="I25">
        <v>0.9048224634860488</v>
      </c>
      <c r="J25" s="5">
        <v>1.0</v>
      </c>
    </row>
    <row r="26">
      <c r="A26" s="13">
        <v>650.0</v>
      </c>
      <c r="B26">
        <v>0.9608332919790382</v>
      </c>
      <c r="C26" s="13">
        <v>0.9999468288973328</v>
      </c>
      <c r="D26" s="15">
        <v>0.9696993888603563</v>
      </c>
      <c r="E26">
        <v>1.0</v>
      </c>
      <c r="F26">
        <v>0.9605002117722456</v>
      </c>
      <c r="G26">
        <v>0.9996886098972243</v>
      </c>
      <c r="H26">
        <v>0.9897683655135814</v>
      </c>
      <c r="I26">
        <v>0.8917411756218474</v>
      </c>
      <c r="J26" s="5">
        <v>1.0</v>
      </c>
    </row>
    <row r="27">
      <c r="A27" s="13">
        <v>640.0</v>
      </c>
      <c r="B27">
        <v>0.9543291944483318</v>
      </c>
      <c r="C27" s="13">
        <v>0.9999364608617176</v>
      </c>
      <c r="D27" s="15">
        <v>1.0</v>
      </c>
      <c r="E27">
        <v>1.0</v>
      </c>
      <c r="F27">
        <v>0.958026781574001</v>
      </c>
      <c r="G27">
        <v>0.9996686904086179</v>
      </c>
      <c r="H27">
        <v>0.9891173185011013</v>
      </c>
      <c r="I27">
        <v>0.910815162893133</v>
      </c>
      <c r="J27" s="5">
        <v>1.0</v>
      </c>
    </row>
    <row r="28">
      <c r="A28" s="13">
        <v>630.0</v>
      </c>
      <c r="B28">
        <v>0.9467752698380828</v>
      </c>
      <c r="C28" s="13">
        <v>0.9999240712001474</v>
      </c>
      <c r="D28" s="15">
        <v>0.9938650632665177</v>
      </c>
      <c r="E28">
        <v>1.0</v>
      </c>
      <c r="F28">
        <v>0.9553595025496242</v>
      </c>
      <c r="G28">
        <v>0.9996471525129748</v>
      </c>
      <c r="H28">
        <v>0.9884138428568578</v>
      </c>
      <c r="I28">
        <v>0.8953337707016843</v>
      </c>
      <c r="J28" s="5">
        <v>1.0</v>
      </c>
    </row>
    <row r="29">
      <c r="A29" s="13">
        <v>620.0</v>
      </c>
      <c r="B29">
        <v>0.9380130475959632</v>
      </c>
      <c r="C29" s="13">
        <v>0.9999092657559057</v>
      </c>
      <c r="D29" s="15">
        <v>1.0</v>
      </c>
      <c r="E29">
        <v>0.9539906235846327</v>
      </c>
      <c r="F29">
        <v>0.9524802449624049</v>
      </c>
      <c r="G29">
        <v>0.9996238358493501</v>
      </c>
      <c r="H29">
        <v>0.9876528156202914</v>
      </c>
      <c r="I29">
        <v>0.8486574857098941</v>
      </c>
      <c r="J29" s="5">
        <v>1.0</v>
      </c>
    </row>
    <row r="30">
      <c r="A30" s="13">
        <v>610.0</v>
      </c>
      <c r="B30">
        <v>0.9278641365767026</v>
      </c>
      <c r="C30" s="13">
        <v>0.9998915735375434</v>
      </c>
      <c r="D30" s="15">
        <v>1.0</v>
      </c>
      <c r="E30">
        <v>1.0</v>
      </c>
      <c r="F30">
        <v>0.949368931938997</v>
      </c>
      <c r="G30">
        <v>0.9995985612129681</v>
      </c>
      <c r="H30">
        <v>0.9868285243435693</v>
      </c>
      <c r="I30">
        <v>0.8768226152211424</v>
      </c>
      <c r="J30" s="5">
        <v>1.0</v>
      </c>
    </row>
    <row r="31">
      <c r="A31" s="13">
        <v>600.0</v>
      </c>
      <c r="B31">
        <v>0.9161292195183609</v>
      </c>
      <c r="C31" s="13">
        <v>0.9998704317471598</v>
      </c>
      <c r="D31" s="15">
        <v>0.9938650632665177</v>
      </c>
      <c r="E31">
        <v>1.0</v>
      </c>
      <c r="F31">
        <v>0.9460033081375655</v>
      </c>
      <c r="G31">
        <v>0.9995711279822429</v>
      </c>
      <c r="H31">
        <v>0.9859345890288389</v>
      </c>
      <c r="I31">
        <v>0.8570890790158281</v>
      </c>
      <c r="J31" s="5">
        <v>1.0</v>
      </c>
    </row>
    <row r="32">
      <c r="A32" s="13">
        <v>590.0</v>
      </c>
      <c r="B32">
        <v>0.9234538869033182</v>
      </c>
      <c r="C32" s="13">
        <v>0.999845167893928</v>
      </c>
      <c r="D32" s="15">
        <v>0.9696993888603563</v>
      </c>
      <c r="E32">
        <v>1.0</v>
      </c>
      <c r="F32">
        <v>0.9423586794138172</v>
      </c>
      <c r="G32">
        <v>0.9995413111438707</v>
      </c>
      <c r="H32">
        <v>0.9849638723927999</v>
      </c>
      <c r="I32">
        <v>0.839384774248871</v>
      </c>
      <c r="J32" s="5">
        <v>1.0</v>
      </c>
    </row>
    <row r="33">
      <c r="A33" s="13">
        <v>580.0</v>
      </c>
      <c r="B33">
        <v>0.9301634817861922</v>
      </c>
      <c r="C33" s="13">
        <v>0.999814978426512</v>
      </c>
      <c r="D33" s="15">
        <v>1.0</v>
      </c>
      <c r="E33">
        <v>1.0</v>
      </c>
      <c r="F33">
        <v>0.9384076199639826</v>
      </c>
      <c r="G33">
        <v>0.999508857845034</v>
      </c>
      <c r="H33">
        <v>0.9839083765210899</v>
      </c>
      <c r="I33">
        <v>0.86790396693923</v>
      </c>
      <c r="J33" s="5">
        <v>1.0</v>
      </c>
    </row>
    <row r="34">
      <c r="A34" s="13">
        <v>570.0</v>
      </c>
      <c r="B34">
        <v>0.9363054081902722</v>
      </c>
      <c r="C34" s="13">
        <v>0.9997789032084503</v>
      </c>
      <c r="D34" s="15">
        <v>0.9938650632665177</v>
      </c>
      <c r="E34">
        <v>1.0</v>
      </c>
      <c r="F34">
        <v>0.9341196431129208</v>
      </c>
      <c r="G34">
        <v>0.9994734833877423</v>
      </c>
      <c r="H34">
        <v>0.982759123624005</v>
      </c>
      <c r="I34">
        <v>0.8639325482712465</v>
      </c>
      <c r="J34" s="5">
        <v>1.0</v>
      </c>
    </row>
    <row r="35">
      <c r="A35" s="13">
        <v>560.0</v>
      </c>
      <c r="B35">
        <v>0.9419241634224741</v>
      </c>
      <c r="C35" s="13">
        <v>0.9997357950300088</v>
      </c>
      <c r="D35" s="15">
        <v>1.0</v>
      </c>
      <c r="E35">
        <v>1.0</v>
      </c>
      <c r="F35">
        <v>0.929460831634557</v>
      </c>
      <c r="G35">
        <v>0.9994348665632388</v>
      </c>
      <c r="H35">
        <v>0.9815060181860285</v>
      </c>
      <c r="I35">
        <v>0.8697050979154226</v>
      </c>
      <c r="J35" s="5">
        <v>1.0</v>
      </c>
    </row>
    <row r="36">
      <c r="A36" s="13">
        <v>550.0</v>
      </c>
      <c r="B36">
        <v>0.9513637843902792</v>
      </c>
      <c r="C36" s="13">
        <v>0.9996842831945066</v>
      </c>
      <c r="D36" s="15">
        <v>1.0</v>
      </c>
      <c r="E36">
        <v>1.0</v>
      </c>
      <c r="F36">
        <v>0.9243934232741575</v>
      </c>
      <c r="G36">
        <v>0.9993926442034927</v>
      </c>
      <c r="H36">
        <v>0.9801376873007924</v>
      </c>
      <c r="I36">
        <v>0.8731719612583037</v>
      </c>
      <c r="J36" s="5">
        <v>1.0</v>
      </c>
    </row>
    <row r="37">
      <c r="A37" s="13">
        <v>540.0</v>
      </c>
      <c r="B37">
        <v>0.9593023593082315</v>
      </c>
      <c r="C37" s="13">
        <v>0.9996227300320477</v>
      </c>
      <c r="D37" s="15">
        <v>0.9981555532519362</v>
      </c>
      <c r="E37">
        <v>1.0</v>
      </c>
      <c r="F37">
        <v>0.9188753470367576</v>
      </c>
      <c r="G37">
        <v>0.9993464048011287</v>
      </c>
      <c r="H37">
        <v>0.9786412953838941</v>
      </c>
      <c r="I37">
        <v>0.873079907669971</v>
      </c>
      <c r="J37" s="5">
        <v>1.0</v>
      </c>
    </row>
    <row r="38">
      <c r="A38" s="13">
        <v>530.0</v>
      </c>
      <c r="B38">
        <v>0.9659684171208193</v>
      </c>
      <c r="C38" s="13">
        <v>0.9995491789735065</v>
      </c>
      <c r="D38" s="15">
        <v>1.0</v>
      </c>
      <c r="E38">
        <v>1.0</v>
      </c>
      <c r="F38">
        <v>0.9128597058849589</v>
      </c>
      <c r="G38">
        <v>0.9992956810175228</v>
      </c>
      <c r="H38">
        <v>0.9770023287386634</v>
      </c>
      <c r="I38">
        <v>0.8744416126219786</v>
      </c>
      <c r="J38" s="5">
        <v>1.0</v>
      </c>
    </row>
    <row r="39">
      <c r="A39" s="13">
        <v>520.0</v>
      </c>
      <c r="B39">
        <v>0.9737176020340875</v>
      </c>
      <c r="C39" s="13">
        <v>0.9994612925561591</v>
      </c>
      <c r="D39" s="15">
        <v>1.0</v>
      </c>
      <c r="E39">
        <v>1.0</v>
      </c>
      <c r="F39">
        <v>0.9062942018552383</v>
      </c>
      <c r="G39">
        <v>0.9992399408597005</v>
      </c>
      <c r="H39">
        <v>0.9752043445909312</v>
      </c>
      <c r="I39">
        <v>0.8744913438807559</v>
      </c>
      <c r="J39" s="5">
        <v>1.0</v>
      </c>
    </row>
    <row r="40">
      <c r="A40" s="13">
        <v>510.0</v>
      </c>
      <c r="B40">
        <v>0.9797207894031558</v>
      </c>
      <c r="C40" s="13">
        <v>0.9993562784220918</v>
      </c>
      <c r="D40" s="15">
        <v>0.9938650632665177</v>
      </c>
      <c r="E40">
        <v>1.0</v>
      </c>
      <c r="F40">
        <v>0.8991205004012278</v>
      </c>
      <c r="G40">
        <v>0.9991785772581506</v>
      </c>
      <c r="H40">
        <v>0.9732286781801428</v>
      </c>
      <c r="I40">
        <v>0.8668729242944919</v>
      </c>
      <c r="J40" s="5">
        <v>1.0</v>
      </c>
    </row>
    <row r="41">
      <c r="A41" s="13">
        <v>500.0</v>
      </c>
      <c r="B41">
        <v>0.9843637989170585</v>
      </c>
      <c r="C41" s="13">
        <v>0.9992308010028966</v>
      </c>
      <c r="D41" s="15">
        <v>0.9938650632665177</v>
      </c>
      <c r="E41">
        <v>1.0</v>
      </c>
      <c r="F41">
        <v>0.8912735322118666</v>
      </c>
      <c r="G41">
        <v>0.9991108957172115</v>
      </c>
      <c r="H41">
        <v>0.9710541002630142</v>
      </c>
      <c r="I41">
        <v>0.8626141183065928</v>
      </c>
      <c r="J41" s="5">
        <v>1.0</v>
      </c>
    </row>
    <row r="42">
      <c r="A42" s="13">
        <v>490.0</v>
      </c>
      <c r="B42">
        <v>0.9888061682097229</v>
      </c>
      <c r="C42" s="13">
        <v>0.9990808761493077</v>
      </c>
      <c r="D42" s="15">
        <v>1.0</v>
      </c>
      <c r="E42">
        <v>1.0</v>
      </c>
      <c r="F42">
        <v>0.8826807331215357</v>
      </c>
      <c r="G42">
        <v>0.9990360996340567</v>
      </c>
      <c r="H42">
        <v>0.9686564159143382</v>
      </c>
      <c r="I42">
        <v>0.8625942976514858</v>
      </c>
      <c r="J42" s="5">
        <v>1.0</v>
      </c>
    </row>
    <row r="43">
      <c r="A43" s="13">
        <v>480.0</v>
      </c>
      <c r="B43">
        <v>0.9919915582251658</v>
      </c>
      <c r="C43" s="13">
        <v>0.9989017454511463</v>
      </c>
      <c r="D43" s="15">
        <v>1.0</v>
      </c>
      <c r="E43">
        <v>1.0</v>
      </c>
      <c r="F43">
        <v>0.873261226431555</v>
      </c>
      <c r="G43">
        <v>0.9989532727872893</v>
      </c>
      <c r="H43">
        <v>0.9660079937543298</v>
      </c>
      <c r="I43">
        <v>0.8551872324112721</v>
      </c>
      <c r="J43" s="5">
        <v>1.0</v>
      </c>
    </row>
    <row r="44">
      <c r="A44" s="13">
        <v>470.0</v>
      </c>
      <c r="B44">
        <v>0.9942731174795799</v>
      </c>
      <c r="C44" s="13">
        <v>0.998687726388628</v>
      </c>
      <c r="D44" s="15">
        <v>1.0</v>
      </c>
      <c r="E44">
        <v>1.0</v>
      </c>
      <c r="F44">
        <v>0.8629249575553259</v>
      </c>
      <c r="G44">
        <v>0.9988613583762583</v>
      </c>
      <c r="H44">
        <v>0.9630772126452869</v>
      </c>
      <c r="I44">
        <v>0.8459514215996087</v>
      </c>
      <c r="J44" s="5">
        <v>1.0</v>
      </c>
    </row>
    <row r="45">
      <c r="A45" s="13">
        <v>460.0</v>
      </c>
      <c r="B45">
        <v>0.9959060147359737</v>
      </c>
      <c r="C45" s="13">
        <v>0.9984320337468562</v>
      </c>
      <c r="D45" s="15">
        <v>1.0</v>
      </c>
      <c r="E45">
        <v>1.0</v>
      </c>
      <c r="F45">
        <v>0.8515717991483892</v>
      </c>
      <c r="G45">
        <v>0.9987591338402435</v>
      </c>
      <c r="H45">
        <v>0.9598278104318498</v>
      </c>
      <c r="I45">
        <v>0.8350171068886083</v>
      </c>
      <c r="J45" s="5">
        <v>1.0</v>
      </c>
    </row>
    <row r="46">
      <c r="A46" s="13">
        <v>450.0</v>
      </c>
      <c r="B46">
        <v>0.9970740115265025</v>
      </c>
      <c r="C46" s="13">
        <v>0.9981265668961963</v>
      </c>
      <c r="D46" s="15">
        <v>1.0</v>
      </c>
      <c r="E46">
        <v>1.0</v>
      </c>
      <c r="F46">
        <v>0.8390906568317171</v>
      </c>
      <c r="G46">
        <v>0.9986451804931151</v>
      </c>
      <c r="H46">
        <v>0.956218116399391</v>
      </c>
      <c r="I46">
        <v>0.8224357765961106</v>
      </c>
      <c r="J46" s="5">
        <v>1.0</v>
      </c>
    </row>
    <row r="47">
      <c r="A47" s="13">
        <v>440.0</v>
      </c>
      <c r="B47">
        <v>0.9983733923923102</v>
      </c>
      <c r="C47" s="13">
        <v>0.9977616565766322</v>
      </c>
      <c r="D47" s="15">
        <v>0.9981555532519362</v>
      </c>
      <c r="E47">
        <v>1.0</v>
      </c>
      <c r="F47">
        <v>0.8253586226660498</v>
      </c>
      <c r="G47">
        <v>0.9985178467613974</v>
      </c>
      <c r="H47">
        <v>0.9522001457530731</v>
      </c>
      <c r="I47">
        <v>0.807082977031746</v>
      </c>
      <c r="J47" s="5">
        <v>1.0</v>
      </c>
    </row>
    <row r="48">
      <c r="A48" s="13">
        <v>430.0</v>
      </c>
      <c r="B48">
        <v>0.9990960022023262</v>
      </c>
      <c r="C48" s="13">
        <v>0.9973257637087889</v>
      </c>
      <c r="D48" s="15">
        <v>1.0</v>
      </c>
      <c r="E48">
        <v>1.0</v>
      </c>
      <c r="F48">
        <v>0.8102402475559084</v>
      </c>
      <c r="G48">
        <v>0.9983752034950756</v>
      </c>
      <c r="H48">
        <v>0.9477185305561046</v>
      </c>
      <c r="I48">
        <v>0.7927165718890943</v>
      </c>
      <c r="J48" s="5">
        <v>1.0</v>
      </c>
    </row>
    <row r="49">
      <c r="A49" s="13">
        <v>420.0</v>
      </c>
      <c r="B49">
        <v>0.9994976780669821</v>
      </c>
      <c r="C49" s="13">
        <v>0.9968051214744241</v>
      </c>
      <c r="D49" s="15">
        <v>1.0</v>
      </c>
      <c r="E49">
        <v>1.0</v>
      </c>
      <c r="F49">
        <v>0.7935870371997124</v>
      </c>
      <c r="G49">
        <v>0.9982149894085286</v>
      </c>
      <c r="H49">
        <v>0.9427092572331959</v>
      </c>
      <c r="I49">
        <v>0.7749306514378155</v>
      </c>
      <c r="J49" s="5">
        <v>1.0</v>
      </c>
    </row>
    <row r="50">
      <c r="A50" s="13">
        <v>410.0</v>
      </c>
      <c r="B50">
        <v>0.9997209011003764</v>
      </c>
      <c r="C50" s="13">
        <v>0.9968051214744241</v>
      </c>
      <c r="D50" s="15">
        <v>1.0</v>
      </c>
      <c r="E50">
        <v>1.0</v>
      </c>
      <c r="F50">
        <v>0.7752373221843419</v>
      </c>
      <c r="G50">
        <v>0.9980345441733273</v>
      </c>
      <c r="H50">
        <v>0.9370981760476247</v>
      </c>
      <c r="I50">
        <v>0.7556439017468878</v>
      </c>
      <c r="J50" s="5">
        <v>1.0</v>
      </c>
    </row>
    <row r="51">
      <c r="A51" s="13">
        <v>400.0</v>
      </c>
      <c r="B51">
        <v>0.9998449354376578</v>
      </c>
      <c r="C51" s="13">
        <v>0.9968051214744241</v>
      </c>
      <c r="D51" s="15">
        <v>1.0</v>
      </c>
      <c r="E51">
        <v>1.0</v>
      </c>
      <c r="F51">
        <v>0.7550167152145608</v>
      </c>
      <c r="G51">
        <v>0.997830725984188</v>
      </c>
      <c r="H51">
        <v>0.9307992431413925</v>
      </c>
      <c r="I51">
        <v>0.7343374443632417</v>
      </c>
      <c r="J51" s="5">
        <v>1.0</v>
      </c>
    </row>
    <row r="52">
      <c r="A52" s="13">
        <v>390.0</v>
      </c>
      <c r="B52">
        <v>0.9998621636459971</v>
      </c>
      <c r="C52" s="13">
        <v>0.9968051214744241</v>
      </c>
      <c r="D52" s="15">
        <v>1.0</v>
      </c>
      <c r="E52">
        <v>1.0</v>
      </c>
      <c r="F52">
        <v>0.7327394518049397</v>
      </c>
      <c r="G52">
        <v>0.9975998094979314</v>
      </c>
      <c r="H52">
        <v>0.923712451269579</v>
      </c>
      <c r="I52">
        <v>0.710830488058448</v>
      </c>
      <c r="J52" s="5">
        <v>1.0</v>
      </c>
    </row>
    <row r="53">
      <c r="A53" s="13">
        <v>380.0</v>
      </c>
      <c r="B53">
        <v>0.9998793921511936</v>
      </c>
      <c r="C53" s="13">
        <v>0.9970505185571702</v>
      </c>
      <c r="D53" s="15">
        <v>1.0</v>
      </c>
      <c r="E53">
        <v>1.0</v>
      </c>
      <c r="F53">
        <v>0.7082110198991072</v>
      </c>
      <c r="G53">
        <v>0.9973373588255744</v>
      </c>
      <c r="H53">
        <v>0.9157214021394053</v>
      </c>
      <c r="I53">
        <v>0.6851864582826738</v>
      </c>
      <c r="J53" s="5">
        <v>1.0</v>
      </c>
    </row>
    <row r="54">
      <c r="A54" s="13">
        <v>370.0</v>
      </c>
      <c r="B54">
        <v>0.9998277075261706</v>
      </c>
      <c r="C54" s="13">
        <v>0.9970505185571702</v>
      </c>
      <c r="D54" s="15">
        <v>1.0</v>
      </c>
      <c r="E54">
        <v>1.0</v>
      </c>
      <c r="F54">
        <v>0.6812326230909608</v>
      </c>
      <c r="G54">
        <v>0.9970380686326547</v>
      </c>
      <c r="H54">
        <v>0.9066904728049358</v>
      </c>
      <c r="I54">
        <v>0.6568308764359797</v>
      </c>
      <c r="J54" s="5">
        <v>1.0</v>
      </c>
    </row>
    <row r="55">
      <c r="A55" s="13">
        <v>360.0</v>
      </c>
      <c r="B55">
        <v>0.9987945758828467</v>
      </c>
      <c r="C55" s="13">
        <v>0.9972959760526557</v>
      </c>
      <c r="D55" s="15">
        <v>1.0</v>
      </c>
      <c r="E55">
        <v>1.0</v>
      </c>
      <c r="F55">
        <v>0.6516081931670812</v>
      </c>
      <c r="G55">
        <v>0.996695564223186</v>
      </c>
      <c r="H55">
        <v>0.8964615334353101</v>
      </c>
      <c r="I55">
        <v>0.6253525221732594</v>
      </c>
      <c r="J55" s="5">
        <v>1.0</v>
      </c>
    </row>
    <row r="56">
      <c r="A56" s="13">
        <v>350.0</v>
      </c>
      <c r="B56">
        <v>0.9948441178875735</v>
      </c>
      <c r="C56" s="13">
        <v>0.9972959760526557</v>
      </c>
      <c r="D56" s="15">
        <v>1.0</v>
      </c>
      <c r="E56">
        <v>1.0</v>
      </c>
      <c r="F56">
        <v>0.619154866083123</v>
      </c>
      <c r="G56">
        <v>0.9963021485382998</v>
      </c>
      <c r="H56">
        <v>0.884850188197412</v>
      </c>
      <c r="I56">
        <v>0.5892353197304746</v>
      </c>
      <c r="J56" s="5">
        <v>1.0</v>
      </c>
    </row>
    <row r="57">
      <c r="A57" s="13">
        <v>340.0</v>
      </c>
      <c r="B57">
        <v>0.9661255699932083</v>
      </c>
      <c r="C57" s="13">
        <v>0.9977870723413399</v>
      </c>
      <c r="D57" s="15">
        <v>1.0</v>
      </c>
      <c r="E57">
        <v>1.0</v>
      </c>
      <c r="F57">
        <v>0.5837180437224533</v>
      </c>
      <c r="G57">
        <v>0.9958484799940808</v>
      </c>
      <c r="H57">
        <v>0.871641541831506</v>
      </c>
      <c r="I57">
        <v>0.5369835837697127</v>
      </c>
      <c r="J57" s="5">
        <v>1.0</v>
      </c>
    </row>
    <row r="58">
      <c r="A58" s="13">
        <v>330.0</v>
      </c>
      <c r="B58">
        <v>0.8712329782076219</v>
      </c>
      <c r="C58" s="13">
        <v>0.9982784104595014</v>
      </c>
      <c r="D58" s="15">
        <v>1.0</v>
      </c>
      <c r="E58">
        <v>1.0</v>
      </c>
      <c r="F58">
        <v>0.5451923397545855</v>
      </c>
      <c r="G58">
        <v>0.9953231595892739</v>
      </c>
      <c r="H58">
        <v>0.856585552716583</v>
      </c>
      <c r="I58">
        <v>0.4498272110807566</v>
      </c>
      <c r="J58" s="5">
        <v>1.0</v>
      </c>
    </row>
    <row r="59">
      <c r="A59" s="13">
        <v>320.0</v>
      </c>
      <c r="B59">
        <v>0.5963533290194967</v>
      </c>
      <c r="C59" s="13">
        <v>0.9985241702418476</v>
      </c>
      <c r="D59" s="15">
        <v>1.0</v>
      </c>
      <c r="E59">
        <v>1.0</v>
      </c>
      <c r="F59">
        <v>0.5035497662920839</v>
      </c>
      <c r="G59">
        <v>0.9947121981199748</v>
      </c>
      <c r="H59">
        <v>0.8393921361157344</v>
      </c>
      <c r="I59">
        <v>0.2824986871253871</v>
      </c>
      <c r="J59" s="5">
        <v>1.0</v>
      </c>
    </row>
    <row r="60">
      <c r="A60" s="13">
        <v>310.0</v>
      </c>
      <c r="B60">
        <v>0.17851669034024759</v>
      </c>
      <c r="C60" s="13">
        <v>0.9990158713275253</v>
      </c>
      <c r="D60" s="15">
        <v>1.0</v>
      </c>
      <c r="E60">
        <v>1.0</v>
      </c>
      <c r="F60">
        <v>0.45887630268930446</v>
      </c>
      <c r="G60">
        <v>0.9939983237550619</v>
      </c>
      <c r="H60">
        <v>0.8197263557266107</v>
      </c>
      <c r="I60">
        <v>0.07648091957042676</v>
      </c>
      <c r="J60" s="5">
        <v>1.0</v>
      </c>
    </row>
    <row r="61">
      <c r="A61" s="13">
        <v>300.0</v>
      </c>
      <c r="B61">
        <v>3.236480234772408E-5</v>
      </c>
      <c r="C61" s="13">
        <v>0.999360206146148</v>
      </c>
      <c r="D61" s="15">
        <v>1.0</v>
      </c>
      <c r="E61">
        <v>1.0</v>
      </c>
      <c r="F61">
        <v>0.41141723570404887</v>
      </c>
      <c r="G61">
        <v>0.9931600753478577</v>
      </c>
      <c r="H61">
        <v>0.7972043285883118</v>
      </c>
      <c r="I61">
        <v>1.2318681715706585E-5</v>
      </c>
      <c r="J61" s="5">
        <v>1.0</v>
      </c>
    </row>
    <row r="62">
      <c r="A62" s="13">
        <v>290.0</v>
      </c>
      <c r="B62">
        <v>1.0803799862469018E-15</v>
      </c>
      <c r="C62" s="13">
        <v>0.9995570221833879</v>
      </c>
      <c r="D62" s="15">
        <v>1.0</v>
      </c>
      <c r="E62">
        <v>1.0</v>
      </c>
      <c r="F62">
        <v>0.36162996569933553</v>
      </c>
      <c r="G62">
        <v>0.9921706057550626</v>
      </c>
      <c r="H62">
        <v>0.771390928620512</v>
      </c>
      <c r="I62">
        <v>3.5749345754230704E-16</v>
      </c>
      <c r="J62" s="5">
        <v>1.0</v>
      </c>
    </row>
    <row r="63">
      <c r="A63" s="13">
        <v>280.0</v>
      </c>
      <c r="B63">
        <v>4.1449362595689416E-53</v>
      </c>
      <c r="C63" s="13">
        <v>0.9997046596480376</v>
      </c>
      <c r="D63" s="15">
        <v>1.0</v>
      </c>
      <c r="E63">
        <v>1.0</v>
      </c>
      <c r="F63">
        <v>0.31023978199822694</v>
      </c>
      <c r="G63">
        <v>0.9909960892190036</v>
      </c>
      <c r="H63">
        <v>0.7418010943874036</v>
      </c>
      <c r="I63">
        <v>1.161242553466098E-53</v>
      </c>
      <c r="J63" s="5">
        <v>1.0</v>
      </c>
    </row>
    <row r="64">
      <c r="A64" s="13">
        <v>270.0</v>
      </c>
      <c r="B64">
        <v>1.3624046636730818E-60</v>
      </c>
      <c r="C64" s="13">
        <v>0.9998523189191679</v>
      </c>
      <c r="D64" s="15">
        <v>1.0</v>
      </c>
      <c r="E64">
        <v>1.0</v>
      </c>
      <c r="F64">
        <v>0.2582888130327131</v>
      </c>
      <c r="G64">
        <v>0.9895935831957338</v>
      </c>
      <c r="H64">
        <v>0.7079076431014696</v>
      </c>
      <c r="I64">
        <v>3.12800960507351E-61</v>
      </c>
      <c r="J64" s="5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76</v>
      </c>
      <c r="B1" s="16" t="s">
        <v>88</v>
      </c>
      <c r="C1" s="14" t="s">
        <v>89</v>
      </c>
      <c r="D1" s="16" t="s">
        <v>90</v>
      </c>
    </row>
    <row r="2">
      <c r="A2" s="13">
        <v>890.0</v>
      </c>
      <c r="C2" s="17"/>
    </row>
    <row r="3">
      <c r="A3" s="13">
        <v>880.0</v>
      </c>
      <c r="C3" s="17"/>
    </row>
    <row r="4">
      <c r="A4" s="13">
        <v>870.0</v>
      </c>
      <c r="C4" s="17"/>
    </row>
    <row r="5">
      <c r="A5" s="13">
        <v>860.0</v>
      </c>
      <c r="B5">
        <v>11752.06234451373</v>
      </c>
      <c r="C5" s="17">
        <v>11562.138075059209</v>
      </c>
      <c r="D5">
        <v>1708.2355262979393</v>
      </c>
    </row>
    <row r="6">
      <c r="A6" s="13">
        <v>850.0</v>
      </c>
      <c r="C6" s="17"/>
    </row>
    <row r="7">
      <c r="A7" s="13">
        <v>840.0</v>
      </c>
      <c r="C7" s="17"/>
    </row>
    <row r="8">
      <c r="A8" s="13">
        <v>830.0</v>
      </c>
      <c r="C8" s="17"/>
    </row>
    <row r="9">
      <c r="A9" s="13">
        <v>820.0</v>
      </c>
      <c r="C9" s="17"/>
    </row>
    <row r="10">
      <c r="A10" s="13">
        <v>810.0</v>
      </c>
      <c r="B10">
        <v>10378.995974608733</v>
      </c>
      <c r="C10" s="17">
        <v>9591.421414333525</v>
      </c>
      <c r="D10">
        <v>1516.1789603099717</v>
      </c>
    </row>
    <row r="11">
      <c r="A11" s="13">
        <v>800.0</v>
      </c>
      <c r="C11" s="17"/>
    </row>
    <row r="12">
      <c r="A12" s="13">
        <v>790.0</v>
      </c>
      <c r="C12" s="17"/>
    </row>
    <row r="13">
      <c r="A13" s="13">
        <v>780.0</v>
      </c>
      <c r="C13" s="17"/>
    </row>
    <row r="14">
      <c r="A14" s="13">
        <v>770.0</v>
      </c>
      <c r="C14" s="17"/>
    </row>
    <row r="15">
      <c r="A15" s="13">
        <v>760.0</v>
      </c>
      <c r="B15">
        <v>11623.12105280972</v>
      </c>
      <c r="C15" s="17">
        <v>7682.032838155603</v>
      </c>
      <c r="D15">
        <v>2842.83148535115</v>
      </c>
    </row>
    <row r="16">
      <c r="A16" s="13">
        <v>750.0</v>
      </c>
      <c r="C16" s="17"/>
    </row>
    <row r="17">
      <c r="A17" s="13">
        <v>740.0</v>
      </c>
      <c r="B17">
        <v>8878.826564760737</v>
      </c>
      <c r="C17" s="17">
        <v>9711.870552866738</v>
      </c>
      <c r="D17">
        <v>3147.7686576204524</v>
      </c>
    </row>
    <row r="18">
      <c r="A18" s="13">
        <v>730.0</v>
      </c>
      <c r="C18" s="17"/>
    </row>
    <row r="19">
      <c r="A19" s="13">
        <v>720.0</v>
      </c>
      <c r="C19" s="17"/>
    </row>
    <row r="20">
      <c r="A20" s="13">
        <v>710.0</v>
      </c>
      <c r="C20" s="17"/>
    </row>
    <row r="21">
      <c r="A21" s="13">
        <v>700.0</v>
      </c>
      <c r="C21" s="17"/>
    </row>
    <row r="22">
      <c r="A22" s="13">
        <v>690.0</v>
      </c>
      <c r="C22" s="17"/>
    </row>
    <row r="23">
      <c r="A23" s="13">
        <v>680.0</v>
      </c>
      <c r="B23">
        <v>16545.238822607615</v>
      </c>
      <c r="C23" s="17">
        <v>11539.783402993195</v>
      </c>
      <c r="D23">
        <v>3718.8639941349275</v>
      </c>
    </row>
    <row r="24">
      <c r="A24" s="13">
        <v>670.0</v>
      </c>
      <c r="C24" s="17"/>
    </row>
    <row r="25">
      <c r="A25" s="13">
        <v>660.0</v>
      </c>
      <c r="C25" s="17"/>
    </row>
    <row r="26">
      <c r="A26" s="13">
        <v>650.0</v>
      </c>
      <c r="B26">
        <v>23624.521527068347</v>
      </c>
      <c r="C26" s="17">
        <v>28875.22281573913</v>
      </c>
      <c r="D26">
        <v>5074.843884762841</v>
      </c>
    </row>
    <row r="27">
      <c r="A27" s="13">
        <v>640.0</v>
      </c>
      <c r="C27" s="17"/>
    </row>
    <row r="28">
      <c r="A28" s="13">
        <v>630.0</v>
      </c>
      <c r="C28" s="17"/>
    </row>
    <row r="29">
      <c r="A29" s="13">
        <v>620.0</v>
      </c>
      <c r="C29" s="17"/>
    </row>
    <row r="30">
      <c r="A30" s="13">
        <v>610.0</v>
      </c>
      <c r="B30">
        <v>10287.562446108863</v>
      </c>
      <c r="C30" s="17">
        <v>12283.324495137207</v>
      </c>
      <c r="D30">
        <v>3597.0658274514003</v>
      </c>
    </row>
    <row r="31">
      <c r="A31" s="13">
        <v>600.0</v>
      </c>
      <c r="B31">
        <v>23685.567437753376</v>
      </c>
      <c r="C31" s="17">
        <v>26710.891892550266</v>
      </c>
      <c r="D31">
        <v>4916.256994955553</v>
      </c>
    </row>
    <row r="32">
      <c r="A32" s="13">
        <v>590.0</v>
      </c>
      <c r="C32" s="17"/>
    </row>
    <row r="33">
      <c r="A33" s="13">
        <v>580.0</v>
      </c>
      <c r="C33" s="17"/>
    </row>
    <row r="34">
      <c r="A34" s="13">
        <v>570.0</v>
      </c>
      <c r="C34" s="17"/>
    </row>
    <row r="35">
      <c r="A35" s="13">
        <v>560.0</v>
      </c>
      <c r="B35">
        <v>24745.16087286362</v>
      </c>
      <c r="C35" s="17">
        <v>28933.89604049352</v>
      </c>
      <c r="D35">
        <v>5410.037375777662</v>
      </c>
    </row>
    <row r="36">
      <c r="A36" s="13">
        <v>550.0</v>
      </c>
      <c r="B36">
        <v>20173.080821377403</v>
      </c>
      <c r="C36" s="17">
        <v>28922.561944030833</v>
      </c>
      <c r="D36">
        <v>5995.212326099546</v>
      </c>
    </row>
    <row r="37">
      <c r="A37" s="13">
        <v>540.0</v>
      </c>
      <c r="C37" s="17"/>
    </row>
    <row r="38">
      <c r="A38" s="13">
        <v>530.0</v>
      </c>
      <c r="C38" s="17"/>
    </row>
    <row r="39">
      <c r="A39" s="13">
        <v>520.0</v>
      </c>
      <c r="C39" s="17"/>
    </row>
    <row r="40">
      <c r="A40" s="13">
        <v>510.0</v>
      </c>
      <c r="C40" s="17"/>
    </row>
    <row r="41">
      <c r="A41" s="13">
        <v>500.0</v>
      </c>
      <c r="B41">
        <v>33481.83011071837</v>
      </c>
      <c r="C41" s="17">
        <v>27860.813154618754</v>
      </c>
      <c r="D41">
        <v>6411.920563895074</v>
      </c>
    </row>
    <row r="42">
      <c r="A42" s="13">
        <v>490.0</v>
      </c>
      <c r="C42" s="17"/>
    </row>
    <row r="43">
      <c r="A43" s="13">
        <v>480.0</v>
      </c>
      <c r="C43" s="17"/>
    </row>
    <row r="44">
      <c r="A44" s="13">
        <v>470.0</v>
      </c>
      <c r="C44" s="17"/>
    </row>
    <row r="45">
      <c r="A45" s="13">
        <v>460.0</v>
      </c>
      <c r="C45" s="17"/>
    </row>
    <row r="46">
      <c r="A46" s="13">
        <v>450.0</v>
      </c>
      <c r="B46">
        <v>24782.080473014827</v>
      </c>
      <c r="C46" s="17">
        <v>22936.91965744858</v>
      </c>
      <c r="D46">
        <v>9247.438189534367</v>
      </c>
    </row>
    <row r="47">
      <c r="A47" s="13">
        <v>440.0</v>
      </c>
      <c r="C47" s="17"/>
    </row>
    <row r="48">
      <c r="A48" s="13">
        <v>430.0</v>
      </c>
      <c r="C48" s="17"/>
    </row>
    <row r="49">
      <c r="A49" s="13">
        <v>420.0</v>
      </c>
      <c r="C49" s="17"/>
    </row>
    <row r="50">
      <c r="A50" s="13">
        <v>410.0</v>
      </c>
      <c r="C50" s="17"/>
    </row>
    <row r="51">
      <c r="A51" s="13">
        <v>400.0</v>
      </c>
      <c r="C51" s="17"/>
    </row>
    <row r="52">
      <c r="A52" s="13">
        <v>390.0</v>
      </c>
      <c r="C52" s="17"/>
    </row>
    <row r="53">
      <c r="A53" s="13">
        <v>380.0</v>
      </c>
      <c r="C53" s="17"/>
    </row>
    <row r="54">
      <c r="A54" s="13">
        <v>370.0</v>
      </c>
      <c r="C54" s="17"/>
    </row>
    <row r="55">
      <c r="A55" s="13">
        <v>360.0</v>
      </c>
      <c r="B55">
        <v>10258.612668554379</v>
      </c>
      <c r="C55" s="17">
        <v>14104.677919362844</v>
      </c>
      <c r="D55">
        <v>2369.241076732641</v>
      </c>
    </row>
    <row r="56">
      <c r="A56" s="13">
        <v>350.0</v>
      </c>
      <c r="C56" s="17"/>
    </row>
    <row r="57">
      <c r="A57" s="13">
        <v>340.0</v>
      </c>
      <c r="C57" s="17"/>
    </row>
    <row r="58">
      <c r="A58" s="13">
        <v>330.0</v>
      </c>
      <c r="C58" s="17"/>
    </row>
    <row r="59">
      <c r="A59" s="13">
        <v>320.0</v>
      </c>
      <c r="C59" s="17"/>
    </row>
    <row r="60">
      <c r="A60" s="13">
        <v>310.0</v>
      </c>
      <c r="C60" s="17"/>
    </row>
    <row r="61">
      <c r="A61" s="13">
        <v>300.0</v>
      </c>
      <c r="C61" s="17"/>
    </row>
    <row r="62">
      <c r="A62" s="13">
        <v>290.0</v>
      </c>
      <c r="C62" s="17"/>
    </row>
    <row r="63">
      <c r="A63" s="13">
        <v>280.0</v>
      </c>
      <c r="C63" s="17"/>
    </row>
    <row r="64">
      <c r="A64" s="13">
        <v>270.0</v>
      </c>
      <c r="C64" s="1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76</v>
      </c>
      <c r="B1" s="16" t="s">
        <v>91</v>
      </c>
      <c r="C1" s="14" t="s">
        <v>92</v>
      </c>
      <c r="D1" s="16" t="s">
        <v>92</v>
      </c>
    </row>
    <row r="2">
      <c r="A2" s="13">
        <v>890.0</v>
      </c>
      <c r="B2">
        <v>9.142181944837291E8</v>
      </c>
      <c r="C2" s="18">
        <v>9.00243436343107E8</v>
      </c>
      <c r="D2">
        <v>7.203544421285951E8</v>
      </c>
    </row>
    <row r="3">
      <c r="A3" s="13">
        <v>880.0</v>
      </c>
      <c r="B3">
        <v>9.351850528759264E8</v>
      </c>
      <c r="C3" s="18">
        <v>9.201289672026824E8</v>
      </c>
      <c r="D3">
        <v>7.362663942856346E8</v>
      </c>
    </row>
    <row r="4">
      <c r="A4" s="13">
        <v>870.0</v>
      </c>
      <c r="B4">
        <v>9.56573362962881E8</v>
      </c>
      <c r="C4" s="18">
        <v>9.403334339945841E8</v>
      </c>
      <c r="D4">
        <v>7.524335517641803E8</v>
      </c>
    </row>
    <row r="5">
      <c r="A5" s="13">
        <v>860.0</v>
      </c>
      <c r="B5">
        <v>9.783803718365321E8</v>
      </c>
      <c r="C5" s="18">
        <v>9.608420509503516E8</v>
      </c>
      <c r="D5">
        <v>7.688440833266346E8</v>
      </c>
    </row>
    <row r="6">
      <c r="A6" s="13">
        <v>850.0</v>
      </c>
      <c r="B6">
        <v>1.000601854580381E9</v>
      </c>
      <c r="C6" s="18">
        <v>9.816368697642562E8</v>
      </c>
      <c r="D6">
        <v>7.854836271445874E8</v>
      </c>
    </row>
    <row r="7">
      <c r="A7" s="13">
        <v>840.0</v>
      </c>
      <c r="B7">
        <v>1.0232319482653222E9</v>
      </c>
      <c r="C7" s="18">
        <v>9.9043112974497E8</v>
      </c>
      <c r="D7">
        <v>7.925205951319069E8</v>
      </c>
    </row>
    <row r="8">
      <c r="A8" s="13">
        <v>830.0</v>
      </c>
      <c r="B8">
        <v>1.0462629712731817E9</v>
      </c>
      <c r="C8" s="18">
        <v>9.929671902484463E8</v>
      </c>
      <c r="D8">
        <v>7.9454989340328E8</v>
      </c>
    </row>
    <row r="9">
      <c r="A9" s="13">
        <v>820.0</v>
      </c>
      <c r="B9">
        <v>1.0696852269156799E9</v>
      </c>
      <c r="C9" s="18">
        <v>7.685925065112259E8</v>
      </c>
      <c r="D9">
        <v>6.150103448697608E8</v>
      </c>
    </row>
    <row r="10">
      <c r="A10" s="13">
        <v>810.0</v>
      </c>
      <c r="B10">
        <v>1.09348679028624E9</v>
      </c>
      <c r="C10" s="18">
        <v>9.435985129843403E8</v>
      </c>
      <c r="D10">
        <v>7.550461941442523E8</v>
      </c>
    </row>
    <row r="11">
      <c r="A11" s="13">
        <v>800.0</v>
      </c>
      <c r="B11">
        <v>1.117653277260822E9</v>
      </c>
      <c r="C11" s="18">
        <v>1.0240003140473633E9</v>
      </c>
      <c r="D11">
        <v>8.193818973693233E8</v>
      </c>
    </row>
    <row r="12">
      <c r="A12" s="13">
        <v>790.0</v>
      </c>
      <c r="B12">
        <v>1.1421675945544395E9</v>
      </c>
      <c r="C12" s="18">
        <v>1.1108905554781005E9</v>
      </c>
      <c r="D12">
        <v>8.889095038648648E8</v>
      </c>
    </row>
    <row r="13">
      <c r="A13" s="13">
        <v>780.0</v>
      </c>
      <c r="B13">
        <v>1.1670096697459137E9</v>
      </c>
      <c r="C13" s="18">
        <v>1.1328136118683248E9</v>
      </c>
      <c r="D13">
        <v>9.064518378805219E8</v>
      </c>
    </row>
    <row r="14">
      <c r="A14" s="13">
        <v>770.0</v>
      </c>
      <c r="B14">
        <v>1.1921561602086744E9</v>
      </c>
      <c r="C14" s="18">
        <v>8.303814735295252E8</v>
      </c>
      <c r="D14">
        <v>6.644524791517653E8</v>
      </c>
    </row>
    <row r="15">
      <c r="A15" s="13">
        <v>760.0</v>
      </c>
      <c r="B15">
        <v>1.2175801399351642E9</v>
      </c>
      <c r="C15" s="18">
        <v>5.804215867559797E8</v>
      </c>
      <c r="D15">
        <v>4.6444022966210777E8</v>
      </c>
    </row>
    <row r="16">
      <c r="A16" s="13">
        <v>750.0</v>
      </c>
      <c r="B16">
        <v>1.2432507633225024E9</v>
      </c>
      <c r="C16" s="18">
        <v>1.1906988163773959E9</v>
      </c>
      <c r="D16">
        <v>9.527702696716084E8</v>
      </c>
    </row>
    <row r="17">
      <c r="A17" s="13">
        <v>740.0</v>
      </c>
      <c r="B17">
        <v>1.2691329051045902E9</v>
      </c>
      <c r="C17" s="18">
        <v>1.0137790144583467E9</v>
      </c>
      <c r="D17">
        <v>8.112030445545952E8</v>
      </c>
    </row>
    <row r="18">
      <c r="A18" s="13">
        <v>730.0</v>
      </c>
      <c r="B18">
        <v>1.2951867757790723E9</v>
      </c>
      <c r="C18" s="18">
        <v>9.117215460174644E8</v>
      </c>
      <c r="D18">
        <v>7.295389659555606E8</v>
      </c>
    </row>
    <row r="19">
      <c r="A19" s="13">
        <v>720.0</v>
      </c>
      <c r="B19">
        <v>1.3213675120964549E9</v>
      </c>
      <c r="C19" s="18">
        <v>1.2527960239148142E9</v>
      </c>
      <c r="D19">
        <v>1.0024590510473074E9</v>
      </c>
    </row>
    <row r="20">
      <c r="A20" s="13">
        <v>710.0</v>
      </c>
      <c r="B20">
        <v>1.3476247424644935E9</v>
      </c>
      <c r="C20" s="18">
        <v>1.21867724689492E9</v>
      </c>
      <c r="D20">
        <v>9.751579771443274E8</v>
      </c>
    </row>
    <row r="21">
      <c r="A21" s="13">
        <v>700.0</v>
      </c>
      <c r="B21">
        <v>1.3739021274873571E9</v>
      </c>
      <c r="C21" s="18">
        <v>1.1969142986039875E9</v>
      </c>
      <c r="D21">
        <v>9.577437580094786E8</v>
      </c>
    </row>
    <row r="22">
      <c r="A22" s="13">
        <v>690.0</v>
      </c>
      <c r="B22">
        <v>1.4001368763214674E9</v>
      </c>
      <c r="C22" s="18">
        <v>1.1361919413338892E9</v>
      </c>
      <c r="D22">
        <v>9.091551007306004E8</v>
      </c>
    </row>
    <row r="23">
      <c r="A23" s="13">
        <v>680.0</v>
      </c>
      <c r="B23">
        <v>1.4262592401064153E9</v>
      </c>
      <c r="C23" s="18">
        <v>1.3332045325883155E9</v>
      </c>
      <c r="D23">
        <v>1.0668001215506155E9</v>
      </c>
    </row>
    <row r="24">
      <c r="A24" s="13">
        <v>670.0</v>
      </c>
      <c r="B24">
        <v>1.4521919844406128E9</v>
      </c>
      <c r="C24" s="18">
        <v>1.3481905182614646E9</v>
      </c>
      <c r="D24">
        <v>1.0787915684343383E9</v>
      </c>
    </row>
    <row r="25">
      <c r="A25" s="13">
        <v>660.0</v>
      </c>
      <c r="B25">
        <v>1.4778498437410874E9</v>
      </c>
      <c r="C25" s="18">
        <v>1.3282971409773922E9</v>
      </c>
      <c r="D25">
        <v>1.0628733377458338E9</v>
      </c>
    </row>
    <row r="26">
      <c r="A26" s="13">
        <v>650.0</v>
      </c>
      <c r="B26">
        <v>1.5031389613818042E9</v>
      </c>
      <c r="C26" s="18">
        <v>1.330935415825861E9</v>
      </c>
      <c r="D26">
        <v>1.0649844256248753E9</v>
      </c>
    </row>
    <row r="27">
      <c r="A27" s="13">
        <v>640.0</v>
      </c>
      <c r="B27">
        <v>1.5279563207753744E9</v>
      </c>
      <c r="C27" s="18">
        <v>1.3812207679537253E9</v>
      </c>
      <c r="D27">
        <v>1.105221627382714E9</v>
      </c>
    </row>
    <row r="28">
      <c r="A28" s="13">
        <v>630.0</v>
      </c>
      <c r="B28">
        <v>1.5521891740826075E9</v>
      </c>
      <c r="C28" s="18">
        <v>1.3786003463377514E9</v>
      </c>
      <c r="D28">
        <v>1.103124825256631E9</v>
      </c>
    </row>
    <row r="29">
      <c r="A29" s="13">
        <v>620.0</v>
      </c>
      <c r="B29">
        <v>1.5757144770400903E9</v>
      </c>
      <c r="C29" s="18">
        <v>1.325830452364656E9</v>
      </c>
      <c r="D29">
        <v>1.0608995492928455E9</v>
      </c>
    </row>
    <row r="30">
      <c r="A30" s="13">
        <v>610.0</v>
      </c>
      <c r="B30">
        <v>1.5983983405282438E9</v>
      </c>
      <c r="C30" s="18">
        <v>1.3887518462154145E9</v>
      </c>
      <c r="D30">
        <v>1.111247825920593E9</v>
      </c>
    </row>
    <row r="31">
      <c r="A31" s="13">
        <v>600.0</v>
      </c>
      <c r="B31">
        <v>1.620095512003902E9</v>
      </c>
      <c r="C31" s="18">
        <v>1.3750641683367968E9</v>
      </c>
      <c r="D31">
        <v>1.1002952555776865E9</v>
      </c>
    </row>
    <row r="32">
      <c r="A32" s="13">
        <v>590.0</v>
      </c>
      <c r="B32">
        <v>1.640648902837313E9</v>
      </c>
      <c r="C32" s="18">
        <v>1.3628185126247964E9</v>
      </c>
      <c r="D32">
        <v>1.0904965587665777E9</v>
      </c>
    </row>
    <row r="33">
      <c r="A33" s="13">
        <v>580.0</v>
      </c>
      <c r="B33">
        <v>1.659889180968692E9</v>
      </c>
      <c r="C33" s="18">
        <v>1.4245931407746122E9</v>
      </c>
      <c r="D33">
        <v>1.1399272194102416E9</v>
      </c>
    </row>
    <row r="34">
      <c r="A34" s="13">
        <v>570.0</v>
      </c>
      <c r="B34">
        <v>1.6776344521774921E9</v>
      </c>
      <c r="C34" s="18">
        <v>1.4320794952029967E9</v>
      </c>
      <c r="D34">
        <v>1.1459176309479723E9</v>
      </c>
    </row>
    <row r="35">
      <c r="A35" s="13">
        <v>560.0</v>
      </c>
      <c r="B35">
        <v>1.6936900576772692E9</v>
      </c>
      <c r="C35" s="18">
        <v>1.454164956099366E9</v>
      </c>
      <c r="D35">
        <v>1.163589917377277E9</v>
      </c>
    </row>
    <row r="36">
      <c r="A36" s="13">
        <v>550.0</v>
      </c>
      <c r="B36">
        <v>1.7078485207397947E9</v>
      </c>
      <c r="C36" s="18">
        <v>1.4707501840942929E9</v>
      </c>
      <c r="D36">
        <v>1.1768610418060117E9</v>
      </c>
    </row>
    <row r="37">
      <c r="A37" s="13">
        <v>540.0</v>
      </c>
      <c r="B37">
        <v>1.71988968062886E9</v>
      </c>
      <c r="C37" s="18">
        <v>1.4794035115093446E9</v>
      </c>
      <c r="D37">
        <v>1.1837852387409503E9</v>
      </c>
    </row>
    <row r="38">
      <c r="A38" s="13">
        <v>530.0</v>
      </c>
      <c r="B38">
        <v>1.7295810582787206E9</v>
      </c>
      <c r="C38" s="18">
        <v>1.4883383114018598E9</v>
      </c>
      <c r="D38">
        <v>1.1909346635879097E9</v>
      </c>
    </row>
    <row r="39">
      <c r="A39" s="13">
        <v>520.0</v>
      </c>
      <c r="B39">
        <v>1.7366785048429437E9</v>
      </c>
      <c r="C39" s="18">
        <v>1.492633014076033E9</v>
      </c>
      <c r="D39">
        <v>1.1943711875591695E9</v>
      </c>
    </row>
    <row r="40">
      <c r="A40" s="13">
        <v>510.0</v>
      </c>
      <c r="B40">
        <v>1.740927191378094E9</v>
      </c>
      <c r="C40" s="18">
        <v>1.4811758202359345E9</v>
      </c>
      <c r="D40">
        <v>1.1852034001098447E9</v>
      </c>
    </row>
    <row r="41">
      <c r="A41" s="13">
        <v>500.0</v>
      </c>
      <c r="B41">
        <v>1.742063005360347E9</v>
      </c>
      <c r="C41" s="18">
        <v>1.472586653252604E9</v>
      </c>
      <c r="D41">
        <v>1.1783305429016213E9</v>
      </c>
    </row>
    <row r="42">
      <c r="A42" s="13">
        <v>490.0</v>
      </c>
      <c r="B42">
        <v>1.7398144272222536E9</v>
      </c>
      <c r="C42" s="18">
        <v>1.4681462789097874E9</v>
      </c>
      <c r="D42">
        <v>1.1747774557549324E9</v>
      </c>
    </row>
    <row r="43">
      <c r="A43" s="13">
        <v>480.0</v>
      </c>
      <c r="B43">
        <v>1.7339049672875943E9</v>
      </c>
      <c r="C43" s="18">
        <v>1.4478584695205526E9</v>
      </c>
      <c r="D43">
        <v>1.1585436094144814E9</v>
      </c>
    </row>
    <row r="44">
      <c r="A44" s="13">
        <v>470.0</v>
      </c>
      <c r="B44">
        <v>1.724056249873168E9</v>
      </c>
      <c r="C44" s="18">
        <v>1.421105075824616E9</v>
      </c>
      <c r="D44">
        <v>1.1371361487067778E9</v>
      </c>
    </row>
    <row r="45">
      <c r="A45" s="13">
        <v>460.0</v>
      </c>
      <c r="B45">
        <v>1.7099918362273822E9</v>
      </c>
      <c r="C45" s="18">
        <v>1.3880536831271734E9</v>
      </c>
      <c r="D45">
        <v>1.1106891716037254E9</v>
      </c>
    </row>
    <row r="46">
      <c r="A46" s="13">
        <v>450.0</v>
      </c>
      <c r="B46">
        <v>1.691441880461701E9</v>
      </c>
      <c r="C46" s="18">
        <v>1.34879874986891E9</v>
      </c>
      <c r="D46">
        <v>1.0792782616137366E9</v>
      </c>
    </row>
    <row r="47">
      <c r="A47" s="13">
        <v>440.0</v>
      </c>
      <c r="B47">
        <v>1.6681487114893293E9</v>
      </c>
      <c r="C47" s="18">
        <v>1.3016060781226537E9</v>
      </c>
      <c r="D47">
        <v>1.0415157527678785E9</v>
      </c>
    </row>
    <row r="48">
      <c r="A48" s="13">
        <v>430.0</v>
      </c>
      <c r="B48">
        <v>1.6398734276583214E9</v>
      </c>
      <c r="C48" s="18">
        <v>1.2526840818337262E9</v>
      </c>
      <c r="D48">
        <v>1.0023694775251715E9</v>
      </c>
    </row>
    <row r="49">
      <c r="A49" s="13">
        <v>420.0</v>
      </c>
      <c r="B49">
        <v>1.6064035772950175E9</v>
      </c>
      <c r="C49" s="18">
        <v>1.1952070244249473E9</v>
      </c>
      <c r="D49">
        <v>9.56377635815021E8</v>
      </c>
    </row>
    <row r="50">
      <c r="A50" s="13">
        <v>410.0</v>
      </c>
      <c r="B50">
        <v>1.5675619753509233E9</v>
      </c>
      <c r="C50" s="18">
        <v>1.1326066092080271E9</v>
      </c>
      <c r="D50">
        <v>9.062861990323415E8</v>
      </c>
    </row>
    <row r="51">
      <c r="A51" s="13">
        <v>400.0</v>
      </c>
      <c r="B51">
        <v>1.5232166708872783E9</v>
      </c>
      <c r="C51" s="18">
        <v>1.0645695918943202E9</v>
      </c>
      <c r="D51">
        <v>8.518445161802051E8</v>
      </c>
    </row>
    <row r="52">
      <c r="A52" s="13">
        <v>390.0</v>
      </c>
      <c r="B52">
        <v>1.473292028884841E9</v>
      </c>
      <c r="C52" s="18">
        <v>9.914754491121294E8</v>
      </c>
      <c r="D52">
        <v>7.933562358761371E8</v>
      </c>
    </row>
    <row r="53">
      <c r="A53" s="13">
        <v>380.0</v>
      </c>
      <c r="B53">
        <v>1.4177808190913076E9</v>
      </c>
      <c r="C53" s="18">
        <v>9.142016692631048E8</v>
      </c>
      <c r="D53">
        <v>7.31523504498025E8</v>
      </c>
    </row>
    <row r="54">
      <c r="A54" s="13">
        <v>370.0</v>
      </c>
      <c r="B54">
        <v>1.3567571103677812E9</v>
      </c>
      <c r="C54" s="18">
        <v>8.329341499746001E8</v>
      </c>
      <c r="D54">
        <v>6.664950731238983E8</v>
      </c>
    </row>
    <row r="55">
      <c r="A55" s="13">
        <v>360.0</v>
      </c>
      <c r="B55">
        <v>1.290389647460388E9</v>
      </c>
      <c r="C55" s="18">
        <v>7.483449510315542E8</v>
      </c>
      <c r="D55">
        <v>5.988087087975508E8</v>
      </c>
    </row>
    <row r="56">
      <c r="A56" s="13">
        <v>350.0</v>
      </c>
      <c r="B56">
        <v>1.2189552352098715E9</v>
      </c>
      <c r="C56" s="18">
        <v>6.601261925958003E8</v>
      </c>
      <c r="D56">
        <v>5.282180530340306E8</v>
      </c>
    </row>
    <row r="57">
      <c r="A57" s="13">
        <v>340.0</v>
      </c>
      <c r="B57">
        <v>1.1428514714437418E9</v>
      </c>
      <c r="C57" s="18">
        <v>5.582073420989845E8</v>
      </c>
      <c r="D57">
        <v>4.466648933795124E8</v>
      </c>
    </row>
    <row r="58">
      <c r="A58" s="13">
        <v>330.0</v>
      </c>
      <c r="B58">
        <v>1.0626079556376715E9</v>
      </c>
      <c r="C58" s="18">
        <v>4.2957959870684093E8</v>
      </c>
      <c r="D58">
        <v>3.4373988155171907E8</v>
      </c>
    </row>
    <row r="59">
      <c r="A59" s="13">
        <v>320.0</v>
      </c>
      <c r="B59">
        <v>9.78894862154285E8</v>
      </c>
      <c r="C59" s="18">
        <v>2.4507726073436624E8</v>
      </c>
      <c r="D59">
        <v>1.961052825354047E8</v>
      </c>
    </row>
    <row r="60">
      <c r="A60" s="13">
        <v>310.0</v>
      </c>
      <c r="B60">
        <v>8.925275180158243E8</v>
      </c>
      <c r="C60" s="18">
        <v>5.951453031349374E7</v>
      </c>
      <c r="D60">
        <v>4.762218145868563E7</v>
      </c>
    </row>
    <row r="61">
      <c r="A61" s="13">
        <v>300.0</v>
      </c>
      <c r="B61">
        <v>8.044653896618435E8</v>
      </c>
      <c r="C61" s="18">
        <v>8475.66451904841</v>
      </c>
      <c r="D61">
        <v>6782.03510273779</v>
      </c>
    </row>
    <row r="62">
      <c r="A62" s="13">
        <v>290.0</v>
      </c>
      <c r="B62">
        <v>7.158036988285526E8</v>
      </c>
      <c r="C62" s="18">
        <v>2.139455891099113E-7</v>
      </c>
      <c r="D62">
        <v>1.711944228276559E-7</v>
      </c>
    </row>
    <row r="63">
      <c r="A63" s="13">
        <v>280.0</v>
      </c>
      <c r="B63">
        <v>6.277558098740518E8</v>
      </c>
      <c r="C63" s="18">
        <v>5.932492672392455E-45</v>
      </c>
      <c r="D63">
        <v>4.747046495348732E-45</v>
      </c>
    </row>
    <row r="64">
      <c r="A64" s="13">
        <v>270.0</v>
      </c>
      <c r="B64">
        <v>5.416246348915062E8</v>
      </c>
      <c r="C64" s="18">
        <v>1.3349944414319068E-52</v>
      </c>
      <c r="D64">
        <v>1.0682323661351734E-52</v>
      </c>
    </row>
  </sheetData>
  <drawing r:id="rId1"/>
</worksheet>
</file>