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cha\programming\offset_me\calculations\environments\"/>
    </mc:Choice>
  </mc:AlternateContent>
  <xr:revisionPtr revIDLastSave="0" documentId="13_ncr:1_{F6ED88B5-B814-4BC9-B453-70D348694B95}" xr6:coauthVersionLast="46" xr6:coauthVersionMax="46" xr10:uidLastSave="{00000000-0000-0000-0000-000000000000}"/>
  <bookViews>
    <workbookView xWindow="16845" yWindow="6000" windowWidth="21600" windowHeight="11385" firstSheet="4" activeTab="5" xr2:uid="{00000000-000D-0000-FFFF-FFFF00000000}"/>
  </bookViews>
  <sheets>
    <sheet name="Forrest_loss" sheetId="1" r:id="rId1"/>
    <sheet name="climate" sheetId="2" r:id="rId2"/>
    <sheet name="biodiversity" sheetId="3" r:id="rId3"/>
    <sheet name="nitrogen_phosphorus_cycles" sheetId="4" r:id="rId4"/>
    <sheet name="freshwater" sheetId="5" r:id="rId5"/>
    <sheet name="chemical_pollu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6" l="1"/>
  <c r="G23" i="6"/>
  <c r="F23" i="6"/>
  <c r="H27" i="6"/>
  <c r="G27" i="6"/>
  <c r="F27" i="6"/>
  <c r="J12" i="6" l="1"/>
  <c r="H11" i="6"/>
  <c r="J4" i="6"/>
  <c r="I4" i="6"/>
  <c r="I8" i="6"/>
  <c r="J8" i="6"/>
  <c r="I9" i="6"/>
  <c r="J9" i="6"/>
  <c r="H8" i="6"/>
  <c r="D5" i="6"/>
  <c r="F10" i="6" s="1"/>
  <c r="D3" i="6"/>
  <c r="I12" i="6" s="1"/>
  <c r="F6" i="6"/>
  <c r="F9" i="6" s="1"/>
  <c r="D7" i="2"/>
  <c r="C12" i="2" s="1"/>
  <c r="H5" i="6"/>
  <c r="H9" i="6" s="1"/>
  <c r="H15" i="6" s="1"/>
  <c r="B7" i="5"/>
  <c r="C7" i="5"/>
  <c r="D7" i="5"/>
  <c r="F2" i="5"/>
  <c r="E2" i="5"/>
  <c r="D12" i="2"/>
  <c r="B12" i="2"/>
  <c r="A8" i="4"/>
  <c r="B8" i="4"/>
  <c r="C8" i="4"/>
  <c r="E5" i="4"/>
  <c r="D5" i="4"/>
  <c r="D2" i="4"/>
  <c r="E2" i="4" s="1"/>
  <c r="C3" i="3"/>
  <c r="D3" i="3"/>
  <c r="B3" i="3"/>
  <c r="D34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13" i="1"/>
  <c r="C10" i="1"/>
  <c r="B32" i="1"/>
  <c r="C7" i="1"/>
  <c r="F8" i="2"/>
  <c r="B2" i="2"/>
  <c r="C7" i="2" a="1"/>
  <c r="C7" i="2" s="1"/>
  <c r="B7" i="2" a="1"/>
  <c r="B7" i="2" s="1"/>
  <c r="B4" i="2"/>
  <c r="B3" i="2"/>
  <c r="B37" i="1"/>
  <c r="C37" i="1"/>
  <c r="D37" i="1"/>
  <c r="C36" i="1"/>
  <c r="D36" i="1"/>
  <c r="F11" i="6" l="1"/>
  <c r="H12" i="6"/>
  <c r="G15" i="6" s="1"/>
  <c r="I10" i="6"/>
  <c r="J10" i="6"/>
  <c r="J11" i="6"/>
  <c r="F12" i="6"/>
  <c r="I11" i="6"/>
  <c r="H10" i="6"/>
  <c r="F15" i="6" s="1"/>
  <c r="F8" i="6"/>
  <c r="F17" i="1"/>
  <c r="F25" i="1"/>
  <c r="C15" i="1"/>
  <c r="E14" i="1"/>
  <c r="B23" i="1"/>
  <c r="E23" i="1" s="1"/>
  <c r="B26" i="1"/>
  <c r="E26" i="1" s="1"/>
  <c r="B25" i="1"/>
  <c r="E25" i="1" s="1"/>
  <c r="D25" i="1"/>
  <c r="D26" i="1"/>
  <c r="C26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D14" i="1"/>
  <c r="C14" i="1"/>
  <c r="D13" i="1"/>
  <c r="C13" i="1"/>
  <c r="B24" i="1"/>
  <c r="E24" i="1" s="1"/>
  <c r="B22" i="1"/>
  <c r="E22" i="1" s="1"/>
  <c r="B21" i="1"/>
  <c r="E21" i="1" s="1"/>
  <c r="B20" i="1"/>
  <c r="E20" i="1" s="1"/>
  <c r="B19" i="1"/>
  <c r="E19" i="1" s="1"/>
  <c r="B18" i="1"/>
  <c r="E18" i="1" s="1"/>
  <c r="B17" i="1"/>
  <c r="E17" i="1" s="1"/>
  <c r="B16" i="1"/>
  <c r="F16" i="1" s="1"/>
  <c r="B15" i="1"/>
  <c r="E15" i="1" s="1"/>
  <c r="B14" i="1"/>
  <c r="F14" i="1" s="1"/>
  <c r="B13" i="1"/>
  <c r="E13" i="1" s="1"/>
  <c r="E16" i="1" l="1"/>
  <c r="F24" i="1"/>
  <c r="F15" i="1"/>
  <c r="I13" i="1"/>
  <c r="I18" i="1"/>
  <c r="F21" i="1"/>
  <c r="I26" i="1"/>
  <c r="I24" i="1"/>
  <c r="F20" i="1"/>
  <c r="F23" i="1"/>
  <c r="F22" i="1"/>
  <c r="I19" i="1"/>
  <c r="F13" i="1"/>
  <c r="F19" i="1"/>
  <c r="F26" i="1"/>
  <c r="F18" i="1"/>
  <c r="I23" i="1"/>
  <c r="E27" i="1"/>
  <c r="I25" i="1"/>
  <c r="I17" i="1"/>
  <c r="I22" i="1"/>
  <c r="I14" i="1"/>
  <c r="I21" i="1"/>
  <c r="I20" i="1"/>
  <c r="F27" i="1" l="1"/>
  <c r="I27" i="1"/>
  <c r="G27" i="1"/>
  <c r="H27" i="1"/>
  <c r="B5" i="1" l="1"/>
  <c r="F28" i="1" s="1"/>
  <c r="E28" i="1" l="1"/>
  <c r="I28" i="1"/>
  <c r="G28" i="1"/>
  <c r="B34" i="1" s="1"/>
  <c r="B38" i="1" s="1"/>
  <c r="H28" i="1"/>
  <c r="C5" i="1"/>
  <c r="C6" i="1" s="1"/>
  <c r="D5" i="1"/>
  <c r="D6" i="1" s="1"/>
  <c r="B36" i="1" l="1"/>
  <c r="D38" i="1"/>
  <c r="C34" i="1"/>
  <c r="C38" i="1" s="1"/>
  <c r="B33" i="1"/>
  <c r="D33" i="1"/>
  <c r="C33" i="1"/>
  <c r="C8" i="1"/>
  <c r="D32" i="1" l="1"/>
  <c r="C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<sst xmlns="http://schemas.openxmlformats.org/spreadsheetml/2006/main" count="112" uniqueCount="91">
  <si>
    <t>per UK person</t>
  </si>
  <si>
    <t>primary forrest</t>
  </si>
  <si>
    <t>secondary forest</t>
  </si>
  <si>
    <t>loss (km^3 / annum)</t>
  </si>
  <si>
    <t>UK per capita gdp (USD)</t>
  </si>
  <si>
    <t>world gdp (USD)</t>
  </si>
  <si>
    <t>treeplanting cost (1$ = 1 tree)</t>
  </si>
  <si>
    <t>protecting rainforest cost estimate</t>
  </si>
  <si>
    <t>Norway is currently paying</t>
  </si>
  <si>
    <t>Tropical &amp; Subtropical Grasslands &amp; Savannas</t>
  </si>
  <si>
    <t>Deserts &amp; Xeric Shrublands</t>
  </si>
  <si>
    <t>Tropical &amp; Subtropical Moist Broadleaf Forests</t>
  </si>
  <si>
    <t>Boreal Forests/Taiga</t>
  </si>
  <si>
    <t>Temperate Broadleaf &amp; Mixed Forests</t>
  </si>
  <si>
    <t>Temperate Grasslands, Savannas &amp; Shrublands</t>
  </si>
  <si>
    <t>Tundra</t>
  </si>
  <si>
    <t>Montane Grasslands &amp; Shrublands</t>
  </si>
  <si>
    <t>Temperate Coniferous Forests</t>
  </si>
  <si>
    <t>Mediterranean Forests Woodlands &amp; Scrub</t>
  </si>
  <si>
    <t>Tropical &amp; Subtropical Dry Broadleaf Forests</t>
  </si>
  <si>
    <t>Flooded Grasslands &amp; Savannas</t>
  </si>
  <si>
    <t>Tropical &amp; Subtropical Coniferous Forests</t>
  </si>
  <si>
    <t>Mangroves</t>
  </si>
  <si>
    <t>Wilderness</t>
  </si>
  <si>
    <t>lost 1990 - 2015</t>
  </si>
  <si>
    <t>remaining</t>
  </si>
  <si>
    <t>protected</t>
  </si>
  <si>
    <t>taking $3 per km2 of remaining wilderness</t>
  </si>
  <si>
    <t>taking $950k per km2 lost</t>
  </si>
  <si>
    <t>Has been suggested that is 3x the needed amount</t>
  </si>
  <si>
    <t>assuming desert and tundra cost 1/10 to protect than rainforest</t>
  </si>
  <si>
    <t>Other wilderness:</t>
  </si>
  <si>
    <t>low</t>
  </si>
  <si>
    <t>mid</t>
  </si>
  <si>
    <t>high</t>
  </si>
  <si>
    <t>taking $10k per km2 of remaining wilderness</t>
  </si>
  <si>
    <t>Primary forest loss</t>
  </si>
  <si>
    <t>Secondary forest loss</t>
  </si>
  <si>
    <t>Other land changes</t>
  </si>
  <si>
    <t>in Pounds</t>
  </si>
  <si>
    <t>Carbon estimates</t>
  </si>
  <si>
    <t>WWF from consumption</t>
  </si>
  <si>
    <t>tCO2</t>
  </si>
  <si>
    <t>Woldwite production</t>
  </si>
  <si>
    <t>Equal worldwide proportion</t>
  </si>
  <si>
    <t>Per income worldwide proportion</t>
  </si>
  <si>
    <t>offsets</t>
  </si>
  <si>
    <t>cheap (7.4 pounds/tonne)</t>
  </si>
  <si>
    <t>average (12.6 ponds / tonne)</t>
  </si>
  <si>
    <t>taking £10k per km2 lost</t>
  </si>
  <si>
    <t>global shortfall (USD)</t>
  </si>
  <si>
    <t>per uk person (GBP)</t>
  </si>
  <si>
    <t>Fertilizer market size</t>
  </si>
  <si>
    <t>average profit margins</t>
  </si>
  <si>
    <t>runoff-rate</t>
  </si>
  <si>
    <t>cost to reduce</t>
  </si>
  <si>
    <t>per capita in gbp</t>
  </si>
  <si>
    <t>Arable land for livestock feed</t>
  </si>
  <si>
    <t>runoff fertilizer reduction from switching to vegan</t>
  </si>
  <si>
    <t>Meat consumption rate UK vs global</t>
  </si>
  <si>
    <t>Low</t>
  </si>
  <si>
    <t>Mid</t>
  </si>
  <si>
    <t>High</t>
  </si>
  <si>
    <t>agriculture water use rate</t>
  </si>
  <si>
    <t>of which for livestock feed</t>
  </si>
  <si>
    <t>reduction by going vegan</t>
  </si>
  <si>
    <t>Plastics</t>
  </si>
  <si>
    <t>Going to landfills</t>
  </si>
  <si>
    <t>Going to mismanaged coastal</t>
  </si>
  <si>
    <t>Going into the ocean</t>
  </si>
  <si>
    <t>Incineration</t>
  </si>
  <si>
    <t>OceanCleanup</t>
  </si>
  <si>
    <t>$/kg</t>
  </si>
  <si>
    <t>overall cost</t>
  </si>
  <si>
    <t>equal proportion</t>
  </si>
  <si>
    <t>proportion by income</t>
  </si>
  <si>
    <t>proportion by uk consumption</t>
  </si>
  <si>
    <t>tCO2/kg</t>
  </si>
  <si>
    <t>15$/tCO2</t>
  </si>
  <si>
    <t>cost per kg</t>
  </si>
  <si>
    <t>capital cost per tonne of annual capacity</t>
  </si>
  <si>
    <t>world</t>
  </si>
  <si>
    <t>UK per capita</t>
  </si>
  <si>
    <t>Recycling projects</t>
  </si>
  <si>
    <t>Annual waste production</t>
  </si>
  <si>
    <t>med</t>
  </si>
  <si>
    <t>POPs</t>
  </si>
  <si>
    <t>Others</t>
  </si>
  <si>
    <t>DDT phase out cost to developing nations</t>
  </si>
  <si>
    <t>low est</t>
  </si>
  <si>
    <t>high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</si>
</sst>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workbookViewId="0">
      <selection activeCell="E6" sqref="E6"/>
    </sheetView>
  </sheetViews>
  <sheetFormatPr defaultRowHeight="15" x14ac:dyDescent="0.25"/>
  <cols>
    <col min="1" max="1" width="25.5703125" customWidth="1"/>
    <col min="2" max="2" width="19.28515625" customWidth="1"/>
    <col min="3" max="3" width="21" customWidth="1"/>
    <col min="4" max="5" width="17.85546875" customWidth="1"/>
    <col min="6" max="6" width="12.42578125" customWidth="1"/>
    <col min="7" max="7" width="11.85546875" customWidth="1"/>
    <col min="8" max="9" width="12" bestFit="1" customWidth="1"/>
  </cols>
  <sheetData>
    <row r="1" spans="1:9" x14ac:dyDescent="0.25">
      <c r="C1" t="s">
        <v>1</v>
      </c>
      <c r="D1" t="s">
        <v>2</v>
      </c>
    </row>
    <row r="2" spans="1:9" x14ac:dyDescent="0.25">
      <c r="A2" t="s">
        <v>3</v>
      </c>
      <c r="C2">
        <v>37500</v>
      </c>
      <c r="D2">
        <v>204500</v>
      </c>
    </row>
    <row r="3" spans="1:9" x14ac:dyDescent="0.25">
      <c r="A3" t="s">
        <v>4</v>
      </c>
      <c r="B3" s="1">
        <v>42330.12</v>
      </c>
    </row>
    <row r="4" spans="1:9" x14ac:dyDescent="0.25">
      <c r="A4" t="s">
        <v>5</v>
      </c>
      <c r="B4" s="2">
        <v>80934771028340</v>
      </c>
    </row>
    <row r="5" spans="1:9" x14ac:dyDescent="0.25">
      <c r="A5" t="s">
        <v>0</v>
      </c>
      <c r="B5">
        <f>B3/B4</f>
        <v>5.2301525613975911E-10</v>
      </c>
      <c r="C5">
        <f>C2*B5</f>
        <v>1.9613072105240968E-5</v>
      </c>
      <c r="D5">
        <f>D2*B5</f>
        <v>1.0695661988058074E-4</v>
      </c>
    </row>
    <row r="6" spans="1:9" x14ac:dyDescent="0.25">
      <c r="A6" t="s">
        <v>6</v>
      </c>
      <c r="B6">
        <v>200000</v>
      </c>
      <c r="C6">
        <f>C5*B6</f>
        <v>3.9226144210481935</v>
      </c>
      <c r="D6">
        <f>B6*D5</f>
        <v>21.391323976116148</v>
      </c>
    </row>
    <row r="7" spans="1:9" x14ac:dyDescent="0.25">
      <c r="A7" t="s">
        <v>7</v>
      </c>
      <c r="B7">
        <v>10000</v>
      </c>
      <c r="C7">
        <f>F15*B5</f>
        <v>14.09235551265462</v>
      </c>
    </row>
    <row r="8" spans="1:9" x14ac:dyDescent="0.25">
      <c r="A8" t="s">
        <v>8</v>
      </c>
      <c r="B8">
        <v>950000</v>
      </c>
      <c r="C8">
        <f>C5*B8</f>
        <v>18.632418499978918</v>
      </c>
    </row>
    <row r="9" spans="1:9" x14ac:dyDescent="0.25">
      <c r="A9" t="s">
        <v>29</v>
      </c>
    </row>
    <row r="10" spans="1:9" x14ac:dyDescent="0.25">
      <c r="C10">
        <f>B8*C36/C8</f>
        <v>346749.99999999994</v>
      </c>
    </row>
    <row r="11" spans="1:9" x14ac:dyDescent="0.25">
      <c r="A11" t="s">
        <v>31</v>
      </c>
    </row>
    <row r="12" spans="1:9" x14ac:dyDescent="0.25">
      <c r="A12" t="s">
        <v>23</v>
      </c>
      <c r="B12" t="s">
        <v>25</v>
      </c>
      <c r="C12" t="s">
        <v>24</v>
      </c>
      <c r="D12" t="s">
        <v>26</v>
      </c>
      <c r="E12" t="s">
        <v>27</v>
      </c>
      <c r="F12" t="s">
        <v>35</v>
      </c>
      <c r="G12" t="s">
        <v>49</v>
      </c>
      <c r="H12" t="s">
        <v>28</v>
      </c>
      <c r="I12" t="s">
        <v>30</v>
      </c>
    </row>
    <row r="13" spans="1:9" x14ac:dyDescent="0.25">
      <c r="A13" t="s">
        <v>10</v>
      </c>
      <c r="B13">
        <f>30/10.8*2.9</f>
        <v>8.0555555555555554</v>
      </c>
      <c r="C13">
        <f>1.5/6.15*2.54</f>
        <v>0.61951219512195121</v>
      </c>
      <c r="D13">
        <f>1.5/6.15*2.2</f>
        <v>0.53658536585365857</v>
      </c>
      <c r="E13">
        <f t="shared" ref="E13:E26" si="0">B13*3000000</f>
        <v>24166666.666666668</v>
      </c>
      <c r="F13">
        <f>10000*1000000*B13</f>
        <v>80555555555.555557</v>
      </c>
      <c r="G13">
        <f>10000*1000000*C13/25/0.74</f>
        <v>334871456.8226763</v>
      </c>
      <c r="H13">
        <f>950000*1000000*C13/25/2</f>
        <v>11770731707.317072</v>
      </c>
      <c r="I13">
        <f>H13/10</f>
        <v>1177073170.7317071</v>
      </c>
    </row>
    <row r="14" spans="1:9" x14ac:dyDescent="0.25">
      <c r="A14" t="s">
        <v>9</v>
      </c>
      <c r="B14">
        <f>30/10.8*0.53</f>
        <v>1.4722222222222223</v>
      </c>
      <c r="C14">
        <f>1.5/6.15*1.67</f>
        <v>0.40731707317073168</v>
      </c>
      <c r="D14">
        <f>1.5/6.15*0.42</f>
        <v>0.1024390243902439</v>
      </c>
      <c r="E14">
        <f t="shared" si="0"/>
        <v>4416666.666666667</v>
      </c>
      <c r="F14">
        <f t="shared" ref="F14:F26" si="1">10000*1000000*B14</f>
        <v>14722222222.222223</v>
      </c>
      <c r="G14">
        <f t="shared" ref="G14:G26" si="2">10000*1000000*C14/25/0.74</f>
        <v>220171390.9030982</v>
      </c>
      <c r="H14">
        <f t="shared" ref="H14:H26" si="3">950000*1000000*C14/25/2</f>
        <v>7739024390.2439013</v>
      </c>
      <c r="I14">
        <f t="shared" ref="I14:I26" si="4">H14</f>
        <v>7739024390.2439013</v>
      </c>
    </row>
    <row r="15" spans="1:9" x14ac:dyDescent="0.25">
      <c r="A15" t="s">
        <v>11</v>
      </c>
      <c r="B15">
        <f>30/10.8*0.97</f>
        <v>2.6944444444444442</v>
      </c>
      <c r="C15">
        <f>1.5/6.15*5.2</f>
        <v>1.2682926829268293</v>
      </c>
      <c r="D15">
        <f>1.5/6.15*2.28</f>
        <v>0.55609756097560969</v>
      </c>
      <c r="E15">
        <f t="shared" si="0"/>
        <v>8083333.333333333</v>
      </c>
      <c r="F15">
        <f t="shared" si="1"/>
        <v>26944444444.444443</v>
      </c>
      <c r="G15">
        <f t="shared" si="2"/>
        <v>685563612.39288068</v>
      </c>
      <c r="H15">
        <f t="shared" si="3"/>
        <v>24097560975.609756</v>
      </c>
    </row>
    <row r="16" spans="1:9" x14ac:dyDescent="0.25">
      <c r="A16" t="s">
        <v>12</v>
      </c>
      <c r="B16">
        <f>30/10.8*3.23</f>
        <v>8.9722222222222214</v>
      </c>
      <c r="C16">
        <f>1.5/6.15*1.3</f>
        <v>0.31707317073170732</v>
      </c>
      <c r="D16">
        <f>1.5/6.15*1.57</f>
        <v>0.38292682926829269</v>
      </c>
      <c r="E16">
        <f t="shared" si="0"/>
        <v>26916666.666666664</v>
      </c>
      <c r="F16">
        <f t="shared" si="1"/>
        <v>89722222222.222214</v>
      </c>
      <c r="G16">
        <f t="shared" si="2"/>
        <v>171390903.09822017</v>
      </c>
      <c r="H16">
        <f t="shared" si="3"/>
        <v>6024390243.9024391</v>
      </c>
    </row>
    <row r="17" spans="1:9" x14ac:dyDescent="0.25">
      <c r="A17" t="s">
        <v>13</v>
      </c>
      <c r="B17">
        <f>30/10.8*0.17</f>
        <v>0.47222222222222227</v>
      </c>
      <c r="C17">
        <f>1.5/6.15*0.24</f>
        <v>5.8536585365853655E-2</v>
      </c>
      <c r="D17">
        <f>1.5/6.15*0.08</f>
        <v>1.9512195121951219E-2</v>
      </c>
      <c r="E17">
        <f t="shared" si="0"/>
        <v>1416666.6666666667</v>
      </c>
      <c r="F17">
        <f t="shared" si="1"/>
        <v>4722222222.2222223</v>
      </c>
      <c r="G17">
        <f t="shared" si="2"/>
        <v>31641397.495056029</v>
      </c>
      <c r="H17">
        <f t="shared" si="3"/>
        <v>1112195121.9512196</v>
      </c>
      <c r="I17">
        <f t="shared" si="4"/>
        <v>1112195121.9512196</v>
      </c>
    </row>
    <row r="18" spans="1:9" x14ac:dyDescent="0.25">
      <c r="A18" t="s">
        <v>14</v>
      </c>
      <c r="B18">
        <f>30/10.8*0.1</f>
        <v>0.27777777777777779</v>
      </c>
      <c r="C18">
        <f>1.5/6.15*0.17</f>
        <v>4.1463414634146344E-2</v>
      </c>
      <c r="D18">
        <f>1.5/6.15*0.02</f>
        <v>4.8780487804878049E-3</v>
      </c>
      <c r="E18">
        <f t="shared" si="0"/>
        <v>833333.33333333337</v>
      </c>
      <c r="F18">
        <f t="shared" si="1"/>
        <v>2777777777.7777777</v>
      </c>
      <c r="G18">
        <f t="shared" si="2"/>
        <v>22412656.558998026</v>
      </c>
      <c r="H18">
        <f t="shared" si="3"/>
        <v>787804878.04878056</v>
      </c>
      <c r="I18">
        <f t="shared" si="4"/>
        <v>787804878.04878056</v>
      </c>
    </row>
    <row r="19" spans="1:9" x14ac:dyDescent="0.25">
      <c r="A19" t="s">
        <v>15</v>
      </c>
      <c r="B19">
        <f>30/10.8*2.47</f>
        <v>6.8611111111111116</v>
      </c>
      <c r="C19">
        <f>1.5/6.15*0.92</f>
        <v>0.22439024390243903</v>
      </c>
      <c r="D19">
        <f>1.5/6.15*1.18</f>
        <v>0.28780487804878047</v>
      </c>
      <c r="E19">
        <f t="shared" si="0"/>
        <v>20583333.333333336</v>
      </c>
      <c r="F19">
        <f t="shared" si="1"/>
        <v>68611111111.111115</v>
      </c>
      <c r="G19">
        <f t="shared" si="2"/>
        <v>121292023.73104812</v>
      </c>
      <c r="H19">
        <f t="shared" si="3"/>
        <v>4263414634.1463413</v>
      </c>
      <c r="I19">
        <f>H19/10</f>
        <v>426341463.41463411</v>
      </c>
    </row>
    <row r="20" spans="1:9" x14ac:dyDescent="0.25">
      <c r="A20" t="s">
        <v>16</v>
      </c>
      <c r="B20">
        <f>30/10.8*0.36</f>
        <v>0.99999999999999989</v>
      </c>
      <c r="C20">
        <f>1.5/6.15*0.57</f>
        <v>0.13902439024390242</v>
      </c>
      <c r="D20">
        <f>1.5/6.15*1.72</f>
        <v>0.4195121951219512</v>
      </c>
      <c r="E20">
        <f t="shared" si="0"/>
        <v>2999999.9999999995</v>
      </c>
      <c r="F20">
        <f t="shared" si="1"/>
        <v>9999999999.9999981</v>
      </c>
      <c r="G20">
        <f t="shared" si="2"/>
        <v>75148319.050758064</v>
      </c>
      <c r="H20">
        <f t="shared" si="3"/>
        <v>2641463414.6341462</v>
      </c>
      <c r="I20">
        <f t="shared" si="4"/>
        <v>2641463414.6341462</v>
      </c>
    </row>
    <row r="21" spans="1:9" x14ac:dyDescent="0.25">
      <c r="A21" t="s">
        <v>17</v>
      </c>
      <c r="B21">
        <f>30/10.8*0.27</f>
        <v>0.75</v>
      </c>
      <c r="C21">
        <f>1.5/6.15*0.22</f>
        <v>5.3658536585365853E-2</v>
      </c>
      <c r="D21">
        <f>1.5/6.15*0.13</f>
        <v>3.1707317073170732E-2</v>
      </c>
      <c r="E21">
        <f t="shared" si="0"/>
        <v>2250000</v>
      </c>
      <c r="F21">
        <f t="shared" si="1"/>
        <v>7500000000</v>
      </c>
      <c r="G21">
        <f t="shared" si="2"/>
        <v>29004614.370468032</v>
      </c>
      <c r="H21">
        <f t="shared" si="3"/>
        <v>1019512195.1219511</v>
      </c>
      <c r="I21">
        <f t="shared" si="4"/>
        <v>1019512195.1219511</v>
      </c>
    </row>
    <row r="22" spans="1:9" x14ac:dyDescent="0.25">
      <c r="A22" t="s">
        <v>18</v>
      </c>
      <c r="B22">
        <f>30/10.8*0.05</f>
        <v>0.1388888888888889</v>
      </c>
      <c r="C22">
        <f>1.5/6.15*0.07</f>
        <v>1.7073170731707318E-2</v>
      </c>
      <c r="D22">
        <f>1.5/6.15*0.03</f>
        <v>7.3170731707317069E-3</v>
      </c>
      <c r="E22">
        <f t="shared" si="0"/>
        <v>416666.66666666669</v>
      </c>
      <c r="F22">
        <f t="shared" si="1"/>
        <v>1388888888.8888888</v>
      </c>
      <c r="G22">
        <f t="shared" si="2"/>
        <v>9228740.9360580109</v>
      </c>
      <c r="H22">
        <f t="shared" si="3"/>
        <v>324390243.90243906</v>
      </c>
      <c r="I22">
        <f t="shared" si="4"/>
        <v>324390243.90243906</v>
      </c>
    </row>
    <row r="23" spans="1:9" x14ac:dyDescent="0.25">
      <c r="A23" t="s">
        <v>19</v>
      </c>
      <c r="B23">
        <f>1.5/6.15*0.02</f>
        <v>4.8780487804878049E-3</v>
      </c>
      <c r="C23">
        <f>1.5/6.15*0.12</f>
        <v>2.9268292682926828E-2</v>
      </c>
      <c r="D23">
        <f>1.5/6.15*0.02</f>
        <v>4.8780487804878049E-3</v>
      </c>
      <c r="E23">
        <f t="shared" si="0"/>
        <v>14634.146341463415</v>
      </c>
      <c r="F23">
        <f t="shared" si="1"/>
        <v>48780487.804878049</v>
      </c>
      <c r="G23">
        <f t="shared" si="2"/>
        <v>15820698.747528015</v>
      </c>
      <c r="H23">
        <f t="shared" si="3"/>
        <v>556097560.97560978</v>
      </c>
      <c r="I23">
        <f t="shared" si="4"/>
        <v>556097560.97560978</v>
      </c>
    </row>
    <row r="24" spans="1:9" x14ac:dyDescent="0.25">
      <c r="A24" t="s">
        <v>20</v>
      </c>
      <c r="B24">
        <f>30/10.8*0.01</f>
        <v>2.7777777777777776E-2</v>
      </c>
      <c r="C24">
        <f>1.5/6.15*0.06</f>
        <v>1.4634146341463414E-2</v>
      </c>
      <c r="D24">
        <f>1.5/6.15*0.015</f>
        <v>3.6585365853658534E-3</v>
      </c>
      <c r="E24">
        <f t="shared" si="0"/>
        <v>83333.333333333328</v>
      </c>
      <c r="F24">
        <f t="shared" si="1"/>
        <v>277777777.77777779</v>
      </c>
      <c r="G24">
        <f t="shared" si="2"/>
        <v>7910349.3737640074</v>
      </c>
      <c r="H24">
        <f t="shared" si="3"/>
        <v>278048780.48780489</v>
      </c>
      <c r="I24">
        <f t="shared" si="4"/>
        <v>278048780.48780489</v>
      </c>
    </row>
    <row r="25" spans="1:9" x14ac:dyDescent="0.25">
      <c r="A25" t="s">
        <v>21</v>
      </c>
      <c r="B25">
        <f>1.5/6.15*0.01</f>
        <v>2.4390243902439024E-3</v>
      </c>
      <c r="C25">
        <f>1.5/6.15*0.015</f>
        <v>3.6585365853658534E-3</v>
      </c>
      <c r="D25">
        <f>1.5/6.15*0.01</f>
        <v>2.4390243902439024E-3</v>
      </c>
      <c r="E25">
        <f t="shared" si="0"/>
        <v>7317.0731707317073</v>
      </c>
      <c r="F25">
        <f t="shared" si="1"/>
        <v>24390243.902439024</v>
      </c>
      <c r="G25">
        <f t="shared" si="2"/>
        <v>1977587.3434410018</v>
      </c>
      <c r="H25">
        <f t="shared" si="3"/>
        <v>69512195.121951222</v>
      </c>
      <c r="I25">
        <f t="shared" si="4"/>
        <v>69512195.121951222</v>
      </c>
    </row>
    <row r="26" spans="1:9" x14ac:dyDescent="0.25">
      <c r="A26" t="s">
        <v>22</v>
      </c>
      <c r="B26">
        <f>1.5/6.15*0.01</f>
        <v>2.4390243902439024E-3</v>
      </c>
      <c r="C26">
        <f>1.5/6.15*0.02</f>
        <v>4.8780487804878049E-3</v>
      </c>
      <c r="D26">
        <f>1.5/6.15*0.01</f>
        <v>2.4390243902439024E-3</v>
      </c>
      <c r="E26">
        <f t="shared" si="0"/>
        <v>7317.0731707317073</v>
      </c>
      <c r="F26">
        <f t="shared" si="1"/>
        <v>24390243.902439024</v>
      </c>
      <c r="G26">
        <f t="shared" si="2"/>
        <v>2636783.1245880029</v>
      </c>
      <c r="H26">
        <f t="shared" si="3"/>
        <v>92682926.829268277</v>
      </c>
      <c r="I26">
        <f t="shared" si="4"/>
        <v>92682926.829268277</v>
      </c>
    </row>
    <row r="27" spans="1:9" x14ac:dyDescent="0.25">
      <c r="E27">
        <f>SUM(E13:E26)</f>
        <v>92195934.959349602</v>
      </c>
      <c r="F27">
        <f>SUM(F13:F26)</f>
        <v>307319783197.83203</v>
      </c>
      <c r="G27">
        <f>SUM(G13:G26)</f>
        <v>1729070533.9485829</v>
      </c>
      <c r="H27">
        <f>SUM(H13:H26)</f>
        <v>60776829268.292671</v>
      </c>
      <c r="I27">
        <f>SUM(I13:I26)</f>
        <v>16224146341.463411</v>
      </c>
    </row>
    <row r="28" spans="1:9" x14ac:dyDescent="0.25">
      <c r="E28">
        <f>B5*E27</f>
        <v>4.8219880537808804E-2</v>
      </c>
      <c r="F28">
        <f>B5*F27</f>
        <v>160.73293512602936</v>
      </c>
      <c r="G28">
        <f>B5*G27</f>
        <v>0.90433026819682816</v>
      </c>
      <c r="H28">
        <f>B5*H27</f>
        <v>31.787208927118499</v>
      </c>
      <c r="I28">
        <f>B5*I27</f>
        <v>8.4854760544294212</v>
      </c>
    </row>
    <row r="31" spans="1:9" x14ac:dyDescent="0.25">
      <c r="B31" t="s">
        <v>32</v>
      </c>
      <c r="C31" t="s">
        <v>33</v>
      </c>
      <c r="D31" t="s">
        <v>34</v>
      </c>
    </row>
    <row r="32" spans="1:9" x14ac:dyDescent="0.25">
      <c r="A32" t="s">
        <v>36</v>
      </c>
      <c r="B32">
        <f>C6</f>
        <v>3.9226144210481935</v>
      </c>
      <c r="C32">
        <f>C8/2</f>
        <v>9.3162092499894591</v>
      </c>
      <c r="D32">
        <f>C8*2</f>
        <v>37.264836999957836</v>
      </c>
    </row>
    <row r="33" spans="1:4" x14ac:dyDescent="0.25">
      <c r="A33" t="s">
        <v>37</v>
      </c>
      <c r="B33">
        <f>D6/2</f>
        <v>10.695661988058074</v>
      </c>
      <c r="C33">
        <f>D6</f>
        <v>21.391323976116148</v>
      </c>
      <c r="D33">
        <f>D6*2</f>
        <v>42.782647952232296</v>
      </c>
    </row>
    <row r="34" spans="1:4" x14ac:dyDescent="0.25">
      <c r="A34" t="s">
        <v>38</v>
      </c>
      <c r="B34">
        <f>G28</f>
        <v>0.90433026819682816</v>
      </c>
      <c r="C34">
        <f>I28</f>
        <v>8.4854760544294212</v>
      </c>
      <c r="D34">
        <f>I28*4</f>
        <v>33.941904217717685</v>
      </c>
    </row>
    <row r="35" spans="1:4" x14ac:dyDescent="0.25">
      <c r="A35" t="s">
        <v>39</v>
      </c>
    </row>
    <row r="36" spans="1:4" x14ac:dyDescent="0.25">
      <c r="A36" t="s">
        <v>36</v>
      </c>
      <c r="B36">
        <f>B32 *0.73</f>
        <v>2.8635085273651812</v>
      </c>
      <c r="C36">
        <f t="shared" ref="C36:D36" si="5">C32 *0.73</f>
        <v>6.8008327524923047</v>
      </c>
      <c r="D36">
        <f t="shared" si="5"/>
        <v>27.203331009969219</v>
      </c>
    </row>
    <row r="37" spans="1:4" x14ac:dyDescent="0.25">
      <c r="A37" t="s">
        <v>37</v>
      </c>
      <c r="B37">
        <f t="shared" ref="B37:D37" si="6">B33 *0.73</f>
        <v>7.8078332512823936</v>
      </c>
      <c r="C37">
        <f t="shared" si="6"/>
        <v>15.615666502564787</v>
      </c>
      <c r="D37">
        <f t="shared" si="6"/>
        <v>31.231333005129574</v>
      </c>
    </row>
    <row r="38" spans="1:4" x14ac:dyDescent="0.25">
      <c r="A38" t="s">
        <v>38</v>
      </c>
      <c r="B38">
        <f t="shared" ref="B38:D38" si="7">B34 *0.73</f>
        <v>0.66016109578368454</v>
      </c>
      <c r="C38">
        <f t="shared" si="7"/>
        <v>6.1943975197334771</v>
      </c>
      <c r="D38">
        <f t="shared" si="7"/>
        <v>24.777590078933908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3200-0F8F-430F-8C89-AEE905A7D7DD}">
  <dimension ref="A1:F12"/>
  <sheetViews>
    <sheetView workbookViewId="0">
      <selection activeCell="D7" sqref="D7"/>
    </sheetView>
  </sheetViews>
  <sheetFormatPr defaultRowHeight="15" x14ac:dyDescent="0.25"/>
  <cols>
    <col min="1" max="1" width="22.7109375" customWidth="1"/>
    <col min="4" max="4" width="12" bestFit="1" customWidth="1"/>
  </cols>
  <sheetData>
    <row r="1" spans="1:6" x14ac:dyDescent="0.25">
      <c r="A1" t="s">
        <v>40</v>
      </c>
      <c r="B1" t="s">
        <v>42</v>
      </c>
      <c r="D1" t="s">
        <v>43</v>
      </c>
    </row>
    <row r="2" spans="1:6" x14ac:dyDescent="0.25">
      <c r="A2" t="s">
        <v>41</v>
      </c>
      <c r="B2">
        <f>800/66.65</f>
        <v>12.003000750187546</v>
      </c>
      <c r="D2">
        <v>33000000000</v>
      </c>
    </row>
    <row r="3" spans="1:6" x14ac:dyDescent="0.25">
      <c r="A3" t="s">
        <v>44</v>
      </c>
      <c r="B3">
        <f>D2/7700000000</f>
        <v>4.2857142857142856</v>
      </c>
    </row>
    <row r="4" spans="1:6" x14ac:dyDescent="0.25">
      <c r="A4" t="s">
        <v>45</v>
      </c>
      <c r="B4">
        <f>D2*Forrest_loss!B5</f>
        <v>17.259503452612051</v>
      </c>
    </row>
    <row r="6" spans="1:6" x14ac:dyDescent="0.25">
      <c r="A6" t="s">
        <v>46</v>
      </c>
      <c r="B6" t="s">
        <v>47</v>
      </c>
      <c r="C6" t="s">
        <v>48</v>
      </c>
      <c r="D6" t="s">
        <v>78</v>
      </c>
    </row>
    <row r="7" spans="1:6" x14ac:dyDescent="0.25">
      <c r="B7" cm="1">
        <f t="array" ref="B7:B9">B2:B4*7.4</f>
        <v>88.822205551387839</v>
      </c>
      <c r="C7" cm="1">
        <f t="array" ref="C7:C9">B2:B4*12.6</f>
        <v>151.23780945236308</v>
      </c>
      <c r="D7">
        <f>B2*F8</f>
        <v>133.23330832708174</v>
      </c>
    </row>
    <row r="8" spans="1:6" x14ac:dyDescent="0.25">
      <c r="B8">
        <v>31.714285714285715</v>
      </c>
      <c r="C8">
        <v>54</v>
      </c>
      <c r="F8">
        <f>15*0.74</f>
        <v>11.1</v>
      </c>
    </row>
    <row r="9" spans="1:6" x14ac:dyDescent="0.25">
      <c r="B9">
        <v>127.72032554932919</v>
      </c>
      <c r="C9">
        <v>217.46974350291185</v>
      </c>
    </row>
    <row r="11" spans="1:6" x14ac:dyDescent="0.25">
      <c r="B11" t="s">
        <v>32</v>
      </c>
      <c r="C11" t="s">
        <v>33</v>
      </c>
      <c r="D11" t="s">
        <v>34</v>
      </c>
    </row>
    <row r="12" spans="1:6" x14ac:dyDescent="0.25">
      <c r="B12">
        <f>B8</f>
        <v>31.714285714285715</v>
      </c>
      <c r="C12">
        <f>D7</f>
        <v>133.23330832708174</v>
      </c>
      <c r="D12">
        <f>C9</f>
        <v>217.46974350291185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F124-469E-48B4-8235-5F906E866836}">
  <dimension ref="A1:D3"/>
  <sheetViews>
    <sheetView workbookViewId="0">
      <selection activeCell="B3" sqref="B3:D3"/>
    </sheetView>
  </sheetViews>
  <sheetFormatPr defaultRowHeight="15" x14ac:dyDescent="0.25"/>
  <cols>
    <col min="2" max="2" width="11" bestFit="1" customWidth="1"/>
  </cols>
  <sheetData>
    <row r="1" spans="1:4" x14ac:dyDescent="0.25">
      <c r="B1" t="s">
        <v>32</v>
      </c>
      <c r="C1" t="s">
        <v>33</v>
      </c>
      <c r="D1" t="s">
        <v>34</v>
      </c>
    </row>
    <row r="2" spans="1:4" x14ac:dyDescent="0.25">
      <c r="A2" t="s">
        <v>50</v>
      </c>
      <c r="B2">
        <v>3400000000</v>
      </c>
      <c r="C2">
        <v>12700000000</v>
      </c>
      <c r="D2" s="3">
        <v>38100000000</v>
      </c>
    </row>
    <row r="3" spans="1:4" x14ac:dyDescent="0.25">
      <c r="A3" t="s">
        <v>51</v>
      </c>
      <c r="B3">
        <f>B2*Forrest_loss!$B5*0.74</f>
        <v>1.3159063844476337</v>
      </c>
      <c r="C3">
        <f>C2*Forrest_loss!$B5*0.74</f>
        <v>4.9152973772014557</v>
      </c>
      <c r="D3">
        <f>D2*Forrest_loss!$B5*0.74</f>
        <v>14.745892131604368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3D82-4FEE-4819-824A-7303C1AEF487}">
  <dimension ref="A1:E8"/>
  <sheetViews>
    <sheetView workbookViewId="0">
      <selection activeCell="E5" sqref="E5"/>
    </sheetView>
  </sheetViews>
  <sheetFormatPr defaultRowHeight="15" x14ac:dyDescent="0.25"/>
  <cols>
    <col min="4" max="4" width="9.14062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>
        <v>158000000000</v>
      </c>
      <c r="B2">
        <v>0.3</v>
      </c>
      <c r="C2">
        <v>0.5</v>
      </c>
      <c r="D2">
        <f>C2*A2*B2</f>
        <v>23700000000</v>
      </c>
      <c r="E2">
        <f>D2*Forrest_loss!B5*0.74</f>
        <v>9.1726415621790949</v>
      </c>
    </row>
    <row r="4" spans="1:5" x14ac:dyDescent="0.25">
      <c r="A4" t="s">
        <v>57</v>
      </c>
      <c r="B4" t="s">
        <v>58</v>
      </c>
      <c r="C4" t="s">
        <v>59</v>
      </c>
    </row>
    <row r="5" spans="1:5" x14ac:dyDescent="0.25">
      <c r="A5">
        <v>0.36</v>
      </c>
      <c r="B5">
        <v>0.7</v>
      </c>
      <c r="C5">
        <v>2</v>
      </c>
      <c r="D5">
        <f>1/(A5*B5*C5/7600000000)</f>
        <v>15079365079.36508</v>
      </c>
      <c r="E5">
        <f>D5*Forrest_loss!B5*0.74</f>
        <v>5.836186112162709</v>
      </c>
    </row>
    <row r="7" spans="1:5" x14ac:dyDescent="0.25">
      <c r="A7" t="s">
        <v>60</v>
      </c>
      <c r="B7" t="s">
        <v>61</v>
      </c>
      <c r="C7" t="s">
        <v>62</v>
      </c>
    </row>
    <row r="8" spans="1:5" x14ac:dyDescent="0.25">
      <c r="A8">
        <f>B8/2</f>
        <v>2.9180930560813545</v>
      </c>
      <c r="B8">
        <f>E5</f>
        <v>5.836186112162709</v>
      </c>
      <c r="C8">
        <f>E2*2</f>
        <v>18.34528312435819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5C85-0EAB-461B-A55F-BB6029F37BA9}">
  <dimension ref="A1:F7"/>
  <sheetViews>
    <sheetView workbookViewId="0">
      <selection activeCell="B7" sqref="B7:D7"/>
    </sheetView>
  </sheetViews>
  <sheetFormatPr defaultRowHeight="15" x14ac:dyDescent="0.25"/>
  <cols>
    <col min="5" max="5" width="10.140625" customWidth="1"/>
  </cols>
  <sheetData>
    <row r="1" spans="1:6" x14ac:dyDescent="0.25">
      <c r="A1" t="s">
        <v>63</v>
      </c>
      <c r="B1" t="s">
        <v>64</v>
      </c>
      <c r="C1" t="s">
        <v>65</v>
      </c>
      <c r="D1" t="s">
        <v>59</v>
      </c>
    </row>
    <row r="2" spans="1:6" x14ac:dyDescent="0.25">
      <c r="A2">
        <v>0.92</v>
      </c>
      <c r="B2">
        <v>0.28999999999999998</v>
      </c>
      <c r="C2">
        <v>0.8</v>
      </c>
      <c r="D2">
        <v>2</v>
      </c>
      <c r="E2">
        <f>1/(A2*C2*B2*D2/7600000000)</f>
        <v>17803598200.899551</v>
      </c>
      <c r="F2">
        <f>E2*Forrest_loss!B5*0.74</f>
        <v>6.8905495702070976</v>
      </c>
    </row>
    <row r="6" spans="1:6" x14ac:dyDescent="0.25">
      <c r="B6" t="s">
        <v>32</v>
      </c>
      <c r="C6" t="s">
        <v>33</v>
      </c>
      <c r="D6" t="s">
        <v>34</v>
      </c>
    </row>
    <row r="7" spans="1:6" x14ac:dyDescent="0.25">
      <c r="B7">
        <f>C7/2</f>
        <v>1.7226373925517744</v>
      </c>
      <c r="C7">
        <f>D7/2</f>
        <v>3.4452747851035488</v>
      </c>
      <c r="D7">
        <f>F2</f>
        <v>6.8905495702070976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E5D9-62B8-4D5D-8A52-33A5526DF1A0}">
  <dimension ref="A1:J27"/>
  <sheetViews>
    <sheetView tabSelected="1" workbookViewId="0">
      <selection activeCell="F27" sqref="F27:H27"/>
    </sheetView>
  </sheetViews>
  <sheetFormatPr defaultRowHeight="15" x14ac:dyDescent="0.25"/>
  <cols>
    <col min="1" max="1" width="9.7109375" customWidth="1"/>
    <col min="2" max="2" width="18.85546875" customWidth="1"/>
  </cols>
  <sheetData>
    <row r="1" spans="1:10" x14ac:dyDescent="0.25">
      <c r="A1" t="s">
        <v>66</v>
      </c>
    </row>
    <row r="2" spans="1:10" x14ac:dyDescent="0.25">
      <c r="C2" t="s">
        <v>81</v>
      </c>
      <c r="D2" t="s">
        <v>82</v>
      </c>
    </row>
    <row r="3" spans="1:10" x14ac:dyDescent="0.25">
      <c r="B3" t="s">
        <v>84</v>
      </c>
      <c r="C3">
        <v>415000000000</v>
      </c>
      <c r="D3">
        <f>0.21*365</f>
        <v>76.649999999999991</v>
      </c>
      <c r="E3" t="s">
        <v>70</v>
      </c>
      <c r="H3" t="s">
        <v>71</v>
      </c>
      <c r="I3" t="s">
        <v>83</v>
      </c>
    </row>
    <row r="4" spans="1:10" x14ac:dyDescent="0.25">
      <c r="B4" t="s">
        <v>67</v>
      </c>
      <c r="C4">
        <v>201000000000</v>
      </c>
      <c r="E4" t="s">
        <v>77</v>
      </c>
      <c r="F4">
        <v>2.5000000000000001E-3</v>
      </c>
      <c r="G4" t="s">
        <v>72</v>
      </c>
      <c r="H4">
        <v>5</v>
      </c>
      <c r="I4">
        <f>I5/C4</f>
        <v>3.283582089552239</v>
      </c>
      <c r="J4">
        <f>J5/C4</f>
        <v>0.46766169154228854</v>
      </c>
    </row>
    <row r="5" spans="1:10" x14ac:dyDescent="0.25">
      <c r="B5" t="s">
        <v>68</v>
      </c>
      <c r="C5">
        <v>37600000000</v>
      </c>
      <c r="D5">
        <f>C5*(0.0021/3+0.0014*2/3)/68000000</f>
        <v>0.90313725490196084</v>
      </c>
      <c r="E5" t="s">
        <v>80</v>
      </c>
      <c r="F5">
        <v>1000</v>
      </c>
      <c r="G5" t="s">
        <v>73</v>
      </c>
      <c r="H5">
        <f>C6*H4</f>
        <v>47000000000</v>
      </c>
      <c r="I5">
        <v>660000000000</v>
      </c>
      <c r="J5">
        <v>94000000000</v>
      </c>
    </row>
    <row r="6" spans="1:10" x14ac:dyDescent="0.25">
      <c r="B6" t="s">
        <v>69</v>
      </c>
      <c r="C6">
        <v>9400000000</v>
      </c>
      <c r="E6" t="s">
        <v>79</v>
      </c>
      <c r="F6">
        <f>F4*climate!F8+F5/20/1000</f>
        <v>7.775E-2</v>
      </c>
    </row>
    <row r="8" spans="1:10" x14ac:dyDescent="0.25">
      <c r="B8" t="s">
        <v>74</v>
      </c>
      <c r="F8">
        <f>0.74*F6/7600000000*C4</f>
        <v>1.5216493421052633</v>
      </c>
      <c r="H8">
        <f>0.74*H5/7600000000</f>
        <v>4.5763157894736839</v>
      </c>
      <c r="I8">
        <f t="shared" ref="I8:J8" si="0">0.74*I5/7600000000</f>
        <v>64.263157894736835</v>
      </c>
      <c r="J8">
        <f t="shared" si="0"/>
        <v>9.1526315789473678</v>
      </c>
    </row>
    <row r="9" spans="1:10" x14ac:dyDescent="0.25">
      <c r="B9" t="s">
        <v>75</v>
      </c>
      <c r="F9">
        <f>0.74*F6*Forrest_loss!B5*C4</f>
        <v>6.0484282351622092</v>
      </c>
      <c r="H9">
        <f>0.74*H5*Forrest_loss!$B5</f>
        <v>18.190470608540821</v>
      </c>
      <c r="I9">
        <f>0.74*I5*Forrest_loss!$B5</f>
        <v>255.44065109865835</v>
      </c>
      <c r="J9">
        <f>0.74*J5*Forrest_loss!$B5</f>
        <v>36.380941217081642</v>
      </c>
    </row>
    <row r="10" spans="1:10" x14ac:dyDescent="0.25">
      <c r="B10" t="s">
        <v>76</v>
      </c>
      <c r="C10">
        <v>0.02</v>
      </c>
      <c r="F10">
        <f>(($D$5*7600000000/$C$5+$C10)*$D$3)*F$6</f>
        <v>1.2070984779411764</v>
      </c>
      <c r="H10">
        <f>($C10*($C$5/$C$3*$D$3)+$D$5)*H$4*0.74</f>
        <v>3.855513770848098</v>
      </c>
      <c r="I10">
        <f>($C10*($C$4/$C$3*$D$3)+$D$5*$C$4/$C$5)*I$4*0.74</f>
        <v>13.535314301913539</v>
      </c>
      <c r="J10">
        <f>($C10*($C$4/$C$3*$D$3)+$D$5*$C$4/$C$5)*J$4*0.74</f>
        <v>1.9277568854240494</v>
      </c>
    </row>
    <row r="11" spans="1:10" x14ac:dyDescent="0.25">
      <c r="C11">
        <v>0.1</v>
      </c>
      <c r="F11">
        <f t="shared" ref="F11:F12" si="1">(($D$5*7600000000/$C$5+$C11)*$D$3)*F$6</f>
        <v>1.6838614779411765</v>
      </c>
      <c r="H11">
        <f t="shared" ref="H11:H12" si="2">($C11*($C$5/$C$3*$D$3)+$D$5)*H$4*0.74</f>
        <v>5.9111374816914717</v>
      </c>
      <c r="I11">
        <f>($C11*($C$4/$C$3*$D$3)+$D$5*$C$4/$C$5)*I$4*0.74</f>
        <v>20.751865627214741</v>
      </c>
      <c r="J11">
        <f>($C11*($C$4/$C$3*$D$3)+$D$5*$C$4/$C$5)*J$4*0.74</f>
        <v>2.9555687408457358</v>
      </c>
    </row>
    <row r="12" spans="1:10" x14ac:dyDescent="0.25">
      <c r="C12">
        <v>0.2</v>
      </c>
      <c r="F12">
        <f t="shared" si="1"/>
        <v>2.2798152279411763</v>
      </c>
      <c r="H12">
        <f t="shared" si="2"/>
        <v>8.4806671202456876</v>
      </c>
      <c r="I12">
        <f>($C12*($C$4/$C$3*$D$3)+$D$5*$C$4/$C$5)*I$4*0.74</f>
        <v>29.772554783841251</v>
      </c>
      <c r="J12">
        <f>($C12*($C$4/$C$3*$D$3)+$D$5*$C$4/$C$5)*J$4*0.74</f>
        <v>4.2403335601228447</v>
      </c>
    </row>
    <row r="14" spans="1:10" x14ac:dyDescent="0.25">
      <c r="F14" t="s">
        <v>32</v>
      </c>
      <c r="G14" t="s">
        <v>85</v>
      </c>
      <c r="H14" t="s">
        <v>34</v>
      </c>
    </row>
    <row r="15" spans="1:10" x14ac:dyDescent="0.25">
      <c r="F15">
        <f>AVERAGE(H10,J10)</f>
        <v>2.8916353281360738</v>
      </c>
      <c r="G15">
        <f>AVERAGE(H12,J12)</f>
        <v>6.3605003401842666</v>
      </c>
      <c r="H15">
        <f>AVERAGE(H9,J9)</f>
        <v>27.285705912811231</v>
      </c>
    </row>
    <row r="17" spans="1:8" x14ac:dyDescent="0.25">
      <c r="A17" t="s">
        <v>86</v>
      </c>
    </row>
    <row r="18" spans="1:8" x14ac:dyDescent="0.25">
      <c r="B18" t="s">
        <v>88</v>
      </c>
    </row>
    <row r="19" spans="1:8" x14ac:dyDescent="0.25">
      <c r="B19" t="s">
        <v>89</v>
      </c>
      <c r="C19" t="s">
        <v>90</v>
      </c>
    </row>
    <row r="20" spans="1:8" x14ac:dyDescent="0.25">
      <c r="B20" s="3">
        <v>350000000</v>
      </c>
      <c r="C20" s="3">
        <v>950000000</v>
      </c>
    </row>
    <row r="22" spans="1:8" x14ac:dyDescent="0.25">
      <c r="F22" t="s">
        <v>32</v>
      </c>
      <c r="G22" t="s">
        <v>85</v>
      </c>
      <c r="H22" t="s">
        <v>34</v>
      </c>
    </row>
    <row r="23" spans="1:8" x14ac:dyDescent="0.25">
      <c r="F23" s="3">
        <f>B20*Forrest_loss!$B5*0.74</f>
        <v>0.13546095134019762</v>
      </c>
      <c r="G23" s="3">
        <f>C20*Forrest_loss!$B5*0.74</f>
        <v>0.36767972506625063</v>
      </c>
      <c r="H23" s="3">
        <f>C20*Forrest_loss!$B5*0.74*2</f>
        <v>0.73535945013250126</v>
      </c>
    </row>
    <row r="25" spans="1:8" x14ac:dyDescent="0.25">
      <c r="A25" t="s">
        <v>87</v>
      </c>
    </row>
    <row r="26" spans="1:8" x14ac:dyDescent="0.25">
      <c r="F26" t="s">
        <v>32</v>
      </c>
      <c r="G26" t="s">
        <v>85</v>
      </c>
      <c r="H26" t="s">
        <v>34</v>
      </c>
    </row>
    <row r="27" spans="1:8" x14ac:dyDescent="0.25">
      <c r="F27">
        <f>1000000000*Forrest_loss!B5*0.74</f>
        <v>0.3870312895434217</v>
      </c>
      <c r="G27">
        <f>10000000000*Forrest_loss!B5*0.74</f>
        <v>3.8703128954342172</v>
      </c>
      <c r="H27">
        <f>50000000000*Forrest_loss!B5*0.74</f>
        <v>19.351564477171088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Forrest_loss</vt:lpstr>
      <vt:lpstr>climate</vt:lpstr>
      <vt:lpstr>biodiversity</vt:lpstr>
      <vt:lpstr>nitrogen_phosphorus_cycles</vt:lpstr>
      <vt:lpstr>freshwater</vt:lpstr>
      <vt:lpstr>chemical_pollution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suchanek</dc:creator>
  <cp:lastModifiedBy>suchanek</cp:lastModifiedBy>
  <dcterms:created xsi:type="dcterms:W3CDTF">2015-06-05T18:17:20Z</dcterms:created>
  <dcterms:modified xsi:type="dcterms:W3CDTF">2021-02-21T16:57:51Z</dcterms:modified>
</cp:coreProperties>
</file>