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https://d.docs.live.net/4e89596cd6b3b5f0/デスクトップ/univunit/"/>
    </mc:Choice>
  </mc:AlternateContent>
  <xr:revisionPtr revIDLastSave="867" documentId="11_DDFD3094C8EDB4203FE7F0F4EB81D47C36BE8510" xr6:coauthVersionLast="47" xr6:coauthVersionMax="47" xr10:uidLastSave="{BE152AA4-F57A-443C-95E3-14C722AAD1A4}"/>
  <bookViews>
    <workbookView xWindow="-110" yWindow="-110" windowWidth="41180" windowHeight="21220" tabRatio="711" activeTab="5" xr2:uid="{00000000-000D-0000-FFFF-FFFF00000000}"/>
  </bookViews>
  <sheets>
    <sheet name="Units" sheetId="14" r:id="rId1"/>
    <sheet name="Rydberg" sheetId="1" r:id="rId2"/>
    <sheet name="Bohr" sheetId="7" r:id="rId3"/>
    <sheet name="Gravitic" sheetId="24" r:id="rId4"/>
    <sheet name="Clock" sheetId="8" r:id="rId5"/>
    <sheet name="Clock_by_Rydberg" sheetId="9" r:id="rId6"/>
    <sheet name="Metric" sheetId="26" r:id="rId7"/>
    <sheet name="Atomic" sheetId="21" r:id="rId8"/>
    <sheet name="Conversion" sheetId="17" r:id="rId9"/>
    <sheet name="Natural Time Scale" sheetId="25" r:id="rId10"/>
    <sheet name="Ages" sheetId="16" r:id="rId11"/>
    <sheet name="Atoms" sheetId="22" r:id="rId12"/>
    <sheet name="powers" sheetId="11" r:id="rId13"/>
    <sheet name="comparison" sheetId="13" r:id="rId14"/>
    <sheet name="gravitation" sheetId="10" r:id="rId15"/>
    <sheet name="yard-pound" sheetId="12" r:id="rId16"/>
    <sheet name="TGM" sheetId="18" r:id="rId17"/>
    <sheet name="IDUS" sheetId="27" r:id="rId18"/>
    <sheet name="decimal IDUS" sheetId="28" r:id="rId19"/>
    <sheet name="fathom system" sheetId="19" r:id="rId20"/>
    <sheet name="deci fathom system" sheetId="20" r:id="rId21"/>
    <sheet name="solar_luminosity" sheetId="23" r:id="rId22"/>
  </sheets>
  <definedNames>
    <definedName name="c_0" localSheetId="10">Ages!#REF!</definedName>
    <definedName name="c_0" localSheetId="11">Atoms!#REF!</definedName>
    <definedName name="c_0" localSheetId="8">Conversion!#REF!</definedName>
    <definedName name="c_0" localSheetId="15">'yard-pound'!$D$20</definedName>
    <definedName name="c_0">Rydberg!$D$35</definedName>
    <definedName name="h_bar" localSheetId="10">Ages!#REF!</definedName>
    <definedName name="h_bar" localSheetId="11">Atoms!#REF!</definedName>
    <definedName name="h_bar" localSheetId="8">Conversion!#REF!</definedName>
    <definedName name="h_bar" localSheetId="15">'yard-pound'!#REF!</definedName>
    <definedName name="h_bar">Rydberg!$D$36</definedName>
    <definedName name="k_B" localSheetId="10">Ages!#REF!</definedName>
    <definedName name="k_B" localSheetId="11">Atoms!#REF!</definedName>
    <definedName name="k_B" localSheetId="8">Conversion!#REF!</definedName>
    <definedName name="k_B" localSheetId="15">'yard-pound'!#REF!</definedName>
    <definedName name="k_B">Rydberg!$D$37</definedName>
    <definedName name="N_A" localSheetId="10">Ages!#REF!</definedName>
    <definedName name="N_A" localSheetId="11">Atoms!#REF!</definedName>
    <definedName name="N_A" localSheetId="8">Conversion!#REF!</definedName>
    <definedName name="N_A" localSheetId="15">'yard-pound'!$D$18</definedName>
    <definedName name="N_A">Rydberg!$D$33</definedName>
    <definedName name="_xlnm.Print_Area" localSheetId="10">Ages!$A$17:$L$132</definedName>
    <definedName name="_xlnm.Print_Area" localSheetId="7">Atomic!$B$1:$L$124</definedName>
    <definedName name="_xlnm.Print_Area" localSheetId="11">Atoms!$A$7:$K$237</definedName>
    <definedName name="_xlnm.Print_Area" localSheetId="2">Bohr!$A$1:$L$94</definedName>
    <definedName name="_xlnm.Print_Area" localSheetId="4">Clock!$A$1:$L$97</definedName>
    <definedName name="_xlnm.Print_Area" localSheetId="5">Clock_by_Rydberg!$A$1:$L$145</definedName>
    <definedName name="_xlnm.Print_Area" localSheetId="8">Conversion!$A$22:$P$134</definedName>
    <definedName name="_xlnm.Print_Area" localSheetId="20">'deci fathom system'!$A$1:$J$69</definedName>
    <definedName name="_xlnm.Print_Area" localSheetId="18">'decimal IDUS'!$A$1:$J$65</definedName>
    <definedName name="_xlnm.Print_Area" localSheetId="19">'fathom system'!$A$1:$J$69</definedName>
    <definedName name="_xlnm.Print_Area" localSheetId="14">gravitation!$A$1:$H$43</definedName>
    <definedName name="_xlnm.Print_Area" localSheetId="3">Gravitic!$B$101:$H$125</definedName>
    <definedName name="_xlnm.Print_Area" localSheetId="17">IDUS!$B$1:$J$82</definedName>
    <definedName name="_xlnm.Print_Area" localSheetId="6">Metric!$A$1:$L$138</definedName>
    <definedName name="_xlnm.Print_Area" localSheetId="9">'Natural Time Scale'!$A$1:$J$49</definedName>
    <definedName name="_xlnm.Print_Area" localSheetId="12">powers!$A$1:$O$75</definedName>
    <definedName name="_xlnm.Print_Area" localSheetId="1">Rydberg!$B$1:$L$98</definedName>
    <definedName name="_xlnm.Print_Area" localSheetId="21">solar_luminosity!$A$1:$H$16</definedName>
    <definedName name="_xlnm.Print_Area" localSheetId="16">TGM!$B$1:$J$82</definedName>
    <definedName name="_xlnm.Print_Area" localSheetId="0">Units!$A$1:$L$63</definedName>
    <definedName name="_xlnm.Print_Area" localSheetId="15">'yard-pound'!$A$1:$I$66</definedName>
    <definedName name="_xlnm.Print_Titles" localSheetId="0">Units!$1:$1</definedName>
    <definedName name="R_infinity" localSheetId="10">Ages!#REF!</definedName>
    <definedName name="R_infinity" localSheetId="11">Atoms!#REF!</definedName>
    <definedName name="R_infinity" localSheetId="8">Conversion!#REF!</definedName>
    <definedName name="R_infinity" localSheetId="15">'yard-pound'!$D$19</definedName>
    <definedName name="R_infinity">Rydberg!$D$34</definedName>
    <definedName name="solver_adj" localSheetId="7" hidden="1">Atomic!$D$99</definedName>
    <definedName name="solver_adj" localSheetId="4" hidden="1">Clock!$P$2</definedName>
    <definedName name="solver_adj" localSheetId="5" hidden="1">Clock_by_Rydberg!$D$117</definedName>
    <definedName name="solver_adj" localSheetId="20" hidden="1">'deci fathom system'!#REF!</definedName>
    <definedName name="solver_adj" localSheetId="18" hidden="1">'decimal IDUS'!#REF!</definedName>
    <definedName name="solver_adj" localSheetId="19" hidden="1">'fathom system'!#REF!</definedName>
    <definedName name="solver_adj" localSheetId="17" hidden="1">IDUS!$R$3</definedName>
    <definedName name="solver_adj" localSheetId="6" hidden="1">Metric!$D$110</definedName>
    <definedName name="solver_adj" localSheetId="21" hidden="1">solar_luminosity!$B$16</definedName>
    <definedName name="solver_adj" localSheetId="16" hidden="1">TGM!$R$3</definedName>
    <definedName name="solver_cvg" localSheetId="7" hidden="1">0.0001</definedName>
    <definedName name="solver_cvg" localSheetId="4" hidden="1">0.00000001</definedName>
    <definedName name="solver_cvg" localSheetId="5" hidden="1">0.0001</definedName>
    <definedName name="solver_cvg" localSheetId="20" hidden="1">0.00000001</definedName>
    <definedName name="solver_cvg" localSheetId="18" hidden="1">0.00000001</definedName>
    <definedName name="solver_cvg" localSheetId="19" hidden="1">0.00000001</definedName>
    <definedName name="solver_cvg" localSheetId="17" hidden="1">0.0001</definedName>
    <definedName name="solver_cvg" localSheetId="6" hidden="1">0.0001</definedName>
    <definedName name="solver_cvg" localSheetId="21" hidden="1">0.0001</definedName>
    <definedName name="solver_cvg" localSheetId="16" hidden="1">0.0001</definedName>
    <definedName name="solver_drv" localSheetId="7" hidden="1">1</definedName>
    <definedName name="solver_drv" localSheetId="4" hidden="1">1</definedName>
    <definedName name="solver_drv" localSheetId="5" hidden="1">1</definedName>
    <definedName name="solver_drv" localSheetId="20" hidden="1">1</definedName>
    <definedName name="solver_drv" localSheetId="18" hidden="1">1</definedName>
    <definedName name="solver_drv" localSheetId="19" hidden="1">1</definedName>
    <definedName name="solver_drv" localSheetId="17" hidden="1">1</definedName>
    <definedName name="solver_drv" localSheetId="6" hidden="1">1</definedName>
    <definedName name="solver_drv" localSheetId="21" hidden="1">1</definedName>
    <definedName name="solver_drv" localSheetId="16" hidden="1">1</definedName>
    <definedName name="solver_eng" localSheetId="7" hidden="1">1</definedName>
    <definedName name="solver_eng" localSheetId="5" hidden="1">1</definedName>
    <definedName name="solver_eng" localSheetId="17" hidden="1">1</definedName>
    <definedName name="solver_eng" localSheetId="6" hidden="1">1</definedName>
    <definedName name="solver_eng" localSheetId="21" hidden="1">1</definedName>
    <definedName name="solver_eng" localSheetId="16" hidden="1">1</definedName>
    <definedName name="solver_est" localSheetId="7" hidden="1">1</definedName>
    <definedName name="solver_est" localSheetId="4" hidden="1">2</definedName>
    <definedName name="solver_est" localSheetId="5" hidden="1">1</definedName>
    <definedName name="solver_est" localSheetId="20" hidden="1">2</definedName>
    <definedName name="solver_est" localSheetId="18" hidden="1">2</definedName>
    <definedName name="solver_est" localSheetId="19" hidden="1">2</definedName>
    <definedName name="solver_est" localSheetId="17" hidden="1">1</definedName>
    <definedName name="solver_est" localSheetId="6" hidden="1">1</definedName>
    <definedName name="solver_est" localSheetId="21" hidden="1">1</definedName>
    <definedName name="solver_est" localSheetId="16" hidden="1">1</definedName>
    <definedName name="solver_itr" localSheetId="7" hidden="1">100</definedName>
    <definedName name="solver_itr" localSheetId="4" hidden="1">100</definedName>
    <definedName name="solver_itr" localSheetId="5" hidden="1">100</definedName>
    <definedName name="solver_itr" localSheetId="20" hidden="1">100</definedName>
    <definedName name="solver_itr" localSheetId="18" hidden="1">100</definedName>
    <definedName name="solver_itr" localSheetId="19" hidden="1">100</definedName>
    <definedName name="solver_itr" localSheetId="17" hidden="1">100</definedName>
    <definedName name="solver_itr" localSheetId="6" hidden="1">100</definedName>
    <definedName name="solver_itr" localSheetId="21" hidden="1">2147483647</definedName>
    <definedName name="solver_itr" localSheetId="16" hidden="1">100</definedName>
    <definedName name="solver_lin" localSheetId="7" hidden="1">2</definedName>
    <definedName name="solver_lin" localSheetId="4" hidden="1">2</definedName>
    <definedName name="solver_lin" localSheetId="5" hidden="1">2</definedName>
    <definedName name="solver_lin" localSheetId="20" hidden="1">2</definedName>
    <definedName name="solver_lin" localSheetId="18" hidden="1">2</definedName>
    <definedName name="solver_lin" localSheetId="19" hidden="1">2</definedName>
    <definedName name="solver_lin" localSheetId="17" hidden="1">2</definedName>
    <definedName name="solver_lin" localSheetId="6" hidden="1">2</definedName>
    <definedName name="solver_lin" localSheetId="16" hidden="1">2</definedName>
    <definedName name="solver_mip" localSheetId="7" hidden="1">2147483647</definedName>
    <definedName name="solver_mip" localSheetId="5" hidden="1">2147483647</definedName>
    <definedName name="solver_mip" localSheetId="17" hidden="1">2147483647</definedName>
    <definedName name="solver_mip" localSheetId="6" hidden="1">2147483647</definedName>
    <definedName name="solver_mip" localSheetId="21" hidden="1">2147483647</definedName>
    <definedName name="solver_mip" localSheetId="16" hidden="1">2147483647</definedName>
    <definedName name="solver_mni" localSheetId="7" hidden="1">30</definedName>
    <definedName name="solver_mni" localSheetId="5" hidden="1">30</definedName>
    <definedName name="solver_mni" localSheetId="17" hidden="1">30</definedName>
    <definedName name="solver_mni" localSheetId="6" hidden="1">30</definedName>
    <definedName name="solver_mni" localSheetId="21" hidden="1">30</definedName>
    <definedName name="solver_mni" localSheetId="16" hidden="1">30</definedName>
    <definedName name="solver_mrt" localSheetId="7" hidden="1">0.075</definedName>
    <definedName name="solver_mrt" localSheetId="5" hidden="1">0.075</definedName>
    <definedName name="solver_mrt" localSheetId="17" hidden="1">0.075</definedName>
    <definedName name="solver_mrt" localSheetId="6" hidden="1">0.075</definedName>
    <definedName name="solver_mrt" localSheetId="21" hidden="1">0.075</definedName>
    <definedName name="solver_mrt" localSheetId="16" hidden="1">0.075</definedName>
    <definedName name="solver_msl" localSheetId="7" hidden="1">2</definedName>
    <definedName name="solver_msl" localSheetId="5" hidden="1">2</definedName>
    <definedName name="solver_msl" localSheetId="17" hidden="1">2</definedName>
    <definedName name="solver_msl" localSheetId="6" hidden="1">2</definedName>
    <definedName name="solver_msl" localSheetId="21" hidden="1">2</definedName>
    <definedName name="solver_msl" localSheetId="16" hidden="1">2</definedName>
    <definedName name="solver_neg" localSheetId="7" hidden="1">2</definedName>
    <definedName name="solver_neg" localSheetId="4" hidden="1">2</definedName>
    <definedName name="solver_neg" localSheetId="5" hidden="1">2</definedName>
    <definedName name="solver_neg" localSheetId="20" hidden="1">2</definedName>
    <definedName name="solver_neg" localSheetId="18" hidden="1">2</definedName>
    <definedName name="solver_neg" localSheetId="19" hidden="1">2</definedName>
    <definedName name="solver_neg" localSheetId="17" hidden="1">2</definedName>
    <definedName name="solver_neg" localSheetId="6" hidden="1">2</definedName>
    <definedName name="solver_neg" localSheetId="21" hidden="1">1</definedName>
    <definedName name="solver_neg" localSheetId="16" hidden="1">2</definedName>
    <definedName name="solver_nod" localSheetId="7" hidden="1">2147483647</definedName>
    <definedName name="solver_nod" localSheetId="5" hidden="1">2147483647</definedName>
    <definedName name="solver_nod" localSheetId="17" hidden="1">2147483647</definedName>
    <definedName name="solver_nod" localSheetId="6" hidden="1">2147483647</definedName>
    <definedName name="solver_nod" localSheetId="21" hidden="1">2147483647</definedName>
    <definedName name="solver_nod" localSheetId="16" hidden="1">2147483647</definedName>
    <definedName name="solver_num" localSheetId="7" hidden="1">0</definedName>
    <definedName name="solver_num" localSheetId="4" hidden="1">0</definedName>
    <definedName name="solver_num" localSheetId="5" hidden="1">0</definedName>
    <definedName name="solver_num" localSheetId="20" hidden="1">0</definedName>
    <definedName name="solver_num" localSheetId="18" hidden="1">0</definedName>
    <definedName name="solver_num" localSheetId="19" hidden="1">0</definedName>
    <definedName name="solver_num" localSheetId="17" hidden="1">0</definedName>
    <definedName name="solver_num" localSheetId="6" hidden="1">0</definedName>
    <definedName name="solver_num" localSheetId="21" hidden="1">0</definedName>
    <definedName name="solver_num" localSheetId="16" hidden="1">0</definedName>
    <definedName name="solver_nwt" localSheetId="7" hidden="1">1</definedName>
    <definedName name="solver_nwt" localSheetId="4" hidden="1">1</definedName>
    <definedName name="solver_nwt" localSheetId="5" hidden="1">1</definedName>
    <definedName name="solver_nwt" localSheetId="20" hidden="1">1</definedName>
    <definedName name="solver_nwt" localSheetId="18" hidden="1">1</definedName>
    <definedName name="solver_nwt" localSheetId="19" hidden="1">1</definedName>
    <definedName name="solver_nwt" localSheetId="17" hidden="1">1</definedName>
    <definedName name="solver_nwt" localSheetId="6" hidden="1">1</definedName>
    <definedName name="solver_nwt" localSheetId="21" hidden="1">1</definedName>
    <definedName name="solver_nwt" localSheetId="16" hidden="1">1</definedName>
    <definedName name="solver_opt" localSheetId="7" hidden="1">Atomic!$F$121</definedName>
    <definedName name="solver_opt" localSheetId="4" hidden="1">Clock!$M$2</definedName>
    <definedName name="solver_opt" localSheetId="5" hidden="1">Clock_by_Rydberg!$F$139</definedName>
    <definedName name="solver_opt" localSheetId="20" hidden="1">'deci fathom system'!#REF!</definedName>
    <definedName name="solver_opt" localSheetId="18" hidden="1">'decimal IDUS'!#REF!</definedName>
    <definedName name="solver_opt" localSheetId="19" hidden="1">'fathom system'!#REF!</definedName>
    <definedName name="solver_opt" localSheetId="17" hidden="1">IDUS!$F$17</definedName>
    <definedName name="solver_opt" localSheetId="6" hidden="1">Metric!$F$132</definedName>
    <definedName name="solver_opt" localSheetId="21" hidden="1">solar_luminosity!$F$16</definedName>
    <definedName name="solver_opt" localSheetId="16" hidden="1">TGM!$F$17</definedName>
    <definedName name="solver_pre" localSheetId="7" hidden="1">0.000000000001</definedName>
    <definedName name="solver_pre" localSheetId="4" hidden="1">0.0000000001</definedName>
    <definedName name="solver_pre" localSheetId="5" hidden="1">0.000000000001</definedName>
    <definedName name="solver_pre" localSheetId="20" hidden="1">0.0000000001</definedName>
    <definedName name="solver_pre" localSheetId="18" hidden="1">0.0000000001</definedName>
    <definedName name="solver_pre" localSheetId="19" hidden="1">0.0000000001</definedName>
    <definedName name="solver_pre" localSheetId="17" hidden="1">0.000000000001</definedName>
    <definedName name="solver_pre" localSheetId="6" hidden="1">0.000000000001</definedName>
    <definedName name="solver_pre" localSheetId="21" hidden="1">0.000001</definedName>
    <definedName name="solver_pre" localSheetId="16" hidden="1">0.000000000001</definedName>
    <definedName name="solver_rbv" localSheetId="7" hidden="1">1</definedName>
    <definedName name="solver_rbv" localSheetId="5" hidden="1">1</definedName>
    <definedName name="solver_rbv" localSheetId="17" hidden="1">1</definedName>
    <definedName name="solver_rbv" localSheetId="6" hidden="1">1</definedName>
    <definedName name="solver_rbv" localSheetId="21" hidden="1">1</definedName>
    <definedName name="solver_rbv" localSheetId="16" hidden="1">1</definedName>
    <definedName name="solver_rlx" localSheetId="7" hidden="1">1</definedName>
    <definedName name="solver_rlx" localSheetId="5" hidden="1">1</definedName>
    <definedName name="solver_rlx" localSheetId="17" hidden="1">1</definedName>
    <definedName name="solver_rlx" localSheetId="6" hidden="1">1</definedName>
    <definedName name="solver_rlx" localSheetId="21" hidden="1">2</definedName>
    <definedName name="solver_rlx" localSheetId="16" hidden="1">1</definedName>
    <definedName name="solver_rsd" localSheetId="7" hidden="1">0</definedName>
    <definedName name="solver_rsd" localSheetId="5" hidden="1">0</definedName>
    <definedName name="solver_rsd" localSheetId="17" hidden="1">0</definedName>
    <definedName name="solver_rsd" localSheetId="6" hidden="1">0</definedName>
    <definedName name="solver_rsd" localSheetId="21" hidden="1">0</definedName>
    <definedName name="solver_rsd" localSheetId="16" hidden="1">0</definedName>
    <definedName name="solver_scl" localSheetId="7" hidden="1">2</definedName>
    <definedName name="solver_scl" localSheetId="4" hidden="1">2</definedName>
    <definedName name="solver_scl" localSheetId="5" hidden="1">2</definedName>
    <definedName name="solver_scl" localSheetId="20" hidden="1">2</definedName>
    <definedName name="solver_scl" localSheetId="18" hidden="1">2</definedName>
    <definedName name="solver_scl" localSheetId="19" hidden="1">2</definedName>
    <definedName name="solver_scl" localSheetId="17" hidden="1">2</definedName>
    <definedName name="solver_scl" localSheetId="6" hidden="1">2</definedName>
    <definedName name="solver_scl" localSheetId="21" hidden="1">1</definedName>
    <definedName name="solver_scl" localSheetId="16" hidden="1">2</definedName>
    <definedName name="solver_sho" localSheetId="7" hidden="1">2</definedName>
    <definedName name="solver_sho" localSheetId="4" hidden="1">2</definedName>
    <definedName name="solver_sho" localSheetId="5" hidden="1">2</definedName>
    <definedName name="solver_sho" localSheetId="20" hidden="1">2</definedName>
    <definedName name="solver_sho" localSheetId="18" hidden="1">2</definedName>
    <definedName name="solver_sho" localSheetId="19" hidden="1">2</definedName>
    <definedName name="solver_sho" localSheetId="17" hidden="1">2</definedName>
    <definedName name="solver_sho" localSheetId="6" hidden="1">2</definedName>
    <definedName name="solver_sho" localSheetId="21" hidden="1">2</definedName>
    <definedName name="solver_sho" localSheetId="16" hidden="1">2</definedName>
    <definedName name="solver_ssz" localSheetId="7" hidden="1">100</definedName>
    <definedName name="solver_ssz" localSheetId="5" hidden="1">100</definedName>
    <definedName name="solver_ssz" localSheetId="17" hidden="1">100</definedName>
    <definedName name="solver_ssz" localSheetId="6" hidden="1">100</definedName>
    <definedName name="solver_ssz" localSheetId="21" hidden="1">100</definedName>
    <definedName name="solver_ssz" localSheetId="16" hidden="1">100</definedName>
    <definedName name="solver_tim" localSheetId="7" hidden="1">100</definedName>
    <definedName name="solver_tim" localSheetId="4" hidden="1">100</definedName>
    <definedName name="solver_tim" localSheetId="5" hidden="1">100</definedName>
    <definedName name="solver_tim" localSheetId="20" hidden="1">100</definedName>
    <definedName name="solver_tim" localSheetId="18" hidden="1">100</definedName>
    <definedName name="solver_tim" localSheetId="19" hidden="1">100</definedName>
    <definedName name="solver_tim" localSheetId="17" hidden="1">100</definedName>
    <definedName name="solver_tim" localSheetId="6" hidden="1">100</definedName>
    <definedName name="solver_tim" localSheetId="21" hidden="1">2147483647</definedName>
    <definedName name="solver_tim" localSheetId="16" hidden="1">100</definedName>
    <definedName name="solver_tol" localSheetId="7" hidden="1">0.05</definedName>
    <definedName name="solver_tol" localSheetId="4" hidden="1">0.05</definedName>
    <definedName name="solver_tol" localSheetId="5" hidden="1">0.05</definedName>
    <definedName name="solver_tol" localSheetId="20" hidden="1">0.05</definedName>
    <definedName name="solver_tol" localSheetId="18" hidden="1">0.05</definedName>
    <definedName name="solver_tol" localSheetId="19" hidden="1">0.05</definedName>
    <definedName name="solver_tol" localSheetId="17" hidden="1">0.05</definedName>
    <definedName name="solver_tol" localSheetId="6" hidden="1">0.05</definedName>
    <definedName name="solver_tol" localSheetId="21" hidden="1">0.01</definedName>
    <definedName name="solver_tol" localSheetId="16" hidden="1">0.05</definedName>
    <definedName name="solver_typ" localSheetId="7" hidden="1">3</definedName>
    <definedName name="solver_typ" localSheetId="4" hidden="1">3</definedName>
    <definedName name="solver_typ" localSheetId="5" hidden="1">3</definedName>
    <definedName name="solver_typ" localSheetId="20" hidden="1">3</definedName>
    <definedName name="solver_typ" localSheetId="18" hidden="1">3</definedName>
    <definedName name="solver_typ" localSheetId="19" hidden="1">3</definedName>
    <definedName name="solver_typ" localSheetId="17" hidden="1">3</definedName>
    <definedName name="solver_typ" localSheetId="6" hidden="1">3</definedName>
    <definedName name="solver_typ" localSheetId="21" hidden="1">3</definedName>
    <definedName name="solver_typ" localSheetId="16" hidden="1">3</definedName>
    <definedName name="solver_val" localSheetId="7" hidden="1">144</definedName>
    <definedName name="solver_val" localSheetId="4" hidden="1">365.2421875</definedName>
    <definedName name="solver_val" localSheetId="5" hidden="1">144</definedName>
    <definedName name="solver_val" localSheetId="20" hidden="1">365.2421875</definedName>
    <definedName name="solver_val" localSheetId="18" hidden="1">365.2421875</definedName>
    <definedName name="solver_val" localSheetId="19" hidden="1">365.2421875</definedName>
    <definedName name="solver_val" localSheetId="17" hidden="1">871.2607996978</definedName>
    <definedName name="solver_val" localSheetId="6" hidden="1">144</definedName>
    <definedName name="solver_val" localSheetId="21" hidden="1">1</definedName>
    <definedName name="solver_val" localSheetId="16" hidden="1">871.2607996978</definedName>
    <definedName name="solver_ver" localSheetId="7" hidden="1">3</definedName>
    <definedName name="solver_ver" localSheetId="5" hidden="1">3</definedName>
    <definedName name="solver_ver" localSheetId="17" hidden="1">3</definedName>
    <definedName name="solver_ver" localSheetId="6" hidden="1">3</definedName>
    <definedName name="solver_ver" localSheetId="21" hidden="1">3</definedName>
    <definedName name="solver_ver" localSheetId="16" hidden="1">3</definedName>
    <definedName name="α" localSheetId="10">Ages!#REF!</definedName>
    <definedName name="α" localSheetId="11">Atoms!#REF!</definedName>
    <definedName name="α" localSheetId="8">Conversion!#REF!</definedName>
    <definedName name="α" localSheetId="15">'yard-pound'!$D$17</definedName>
    <definedName name="α">Rydberg!$D$32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1" l="1"/>
  <c r="D67" i="1"/>
  <c r="D43" i="1"/>
  <c r="D40" i="1" l="1"/>
  <c r="D34" i="10" l="1"/>
  <c r="D36" i="1" l="1"/>
  <c r="D16" i="1" l="1"/>
  <c r="D42" i="1"/>
  <c r="F194" i="16"/>
  <c r="F193" i="16"/>
  <c r="F192" i="16"/>
  <c r="F190" i="16"/>
  <c r="H191" i="16"/>
  <c r="H192" i="16" s="1"/>
  <c r="H193" i="16" s="1"/>
  <c r="H194" i="16" s="1"/>
  <c r="H195" i="16" s="1"/>
  <c r="H196" i="16" s="1"/>
  <c r="K190" i="16"/>
  <c r="M190" i="16" s="1"/>
  <c r="F191" i="16" l="1"/>
  <c r="D16" i="21"/>
  <c r="D16" i="9"/>
  <c r="D16" i="8"/>
  <c r="D16" i="24"/>
  <c r="D16" i="7"/>
  <c r="F195" i="16"/>
  <c r="K196" i="16"/>
  <c r="F196" i="16"/>
  <c r="H197" i="16"/>
  <c r="K195" i="16"/>
  <c r="K192" i="16"/>
  <c r="N190" i="16"/>
  <c r="K191" i="16"/>
  <c r="H75" i="11"/>
  <c r="H74" i="11"/>
  <c r="H73" i="11"/>
  <c r="H72" i="11"/>
  <c r="H71" i="11"/>
  <c r="H70" i="11"/>
  <c r="H69" i="11"/>
  <c r="H68" i="11"/>
  <c r="H67" i="11"/>
  <c r="H66" i="11"/>
  <c r="H65" i="11"/>
  <c r="H64" i="11"/>
  <c r="H63" i="11"/>
  <c r="H62" i="11"/>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 r="L311" i="16" l="1"/>
  <c r="L303" i="16"/>
  <c r="L295" i="16"/>
  <c r="L287" i="16"/>
  <c r="L279" i="16"/>
  <c r="L271" i="16"/>
  <c r="L263" i="16"/>
  <c r="L255" i="16"/>
  <c r="L247" i="16"/>
  <c r="L239" i="16"/>
  <c r="L231" i="16"/>
  <c r="L223" i="16"/>
  <c r="L215" i="16"/>
  <c r="L207" i="16"/>
  <c r="L199" i="16"/>
  <c r="L310" i="16"/>
  <c r="L302" i="16"/>
  <c r="L294" i="16"/>
  <c r="L286" i="16"/>
  <c r="L278" i="16"/>
  <c r="L270" i="16"/>
  <c r="L262" i="16"/>
  <c r="L254" i="16"/>
  <c r="L246" i="16"/>
  <c r="L238" i="16"/>
  <c r="L230" i="16"/>
  <c r="L222" i="16"/>
  <c r="L214" i="16"/>
  <c r="L206" i="16"/>
  <c r="L198" i="16"/>
  <c r="L220" i="16"/>
  <c r="L204" i="16"/>
  <c r="L194" i="16"/>
  <c r="L299" i="16"/>
  <c r="L275" i="16"/>
  <c r="L259" i="16"/>
  <c r="L243" i="16"/>
  <c r="L219" i="16"/>
  <c r="L203" i="16"/>
  <c r="L306" i="16"/>
  <c r="L290" i="16"/>
  <c r="L274" i="16"/>
  <c r="L250" i="16"/>
  <c r="L226" i="16"/>
  <c r="L210" i="16"/>
  <c r="L192" i="16"/>
  <c r="L289" i="16"/>
  <c r="L265" i="16"/>
  <c r="L225" i="16"/>
  <c r="L201" i="16"/>
  <c r="L317" i="16"/>
  <c r="L309" i="16"/>
  <c r="L301" i="16"/>
  <c r="L293" i="16"/>
  <c r="L285" i="16"/>
  <c r="L277" i="16"/>
  <c r="L269" i="16"/>
  <c r="L261" i="16"/>
  <c r="L253" i="16"/>
  <c r="L245" i="16"/>
  <c r="L237" i="16"/>
  <c r="L229" i="16"/>
  <c r="L221" i="16"/>
  <c r="L213" i="16"/>
  <c r="L205" i="16"/>
  <c r="L197" i="16"/>
  <c r="L308" i="16"/>
  <c r="L300" i="16"/>
  <c r="L292" i="16"/>
  <c r="L284" i="16"/>
  <c r="L276" i="16"/>
  <c r="L268" i="16"/>
  <c r="L260" i="16"/>
  <c r="L252" i="16"/>
  <c r="L244" i="16"/>
  <c r="L236" i="16"/>
  <c r="L228" i="16"/>
  <c r="L212" i="16"/>
  <c r="L196" i="16"/>
  <c r="L307" i="16"/>
  <c r="L291" i="16"/>
  <c r="L283" i="16"/>
  <c r="L267" i="16"/>
  <c r="L251" i="16"/>
  <c r="L235" i="16"/>
  <c r="L227" i="16"/>
  <c r="L211" i="16"/>
  <c r="L195" i="16"/>
  <c r="L193" i="16"/>
  <c r="L298" i="16"/>
  <c r="L282" i="16"/>
  <c r="L266" i="16"/>
  <c r="L258" i="16"/>
  <c r="L234" i="16"/>
  <c r="L218" i="16"/>
  <c r="L202" i="16"/>
  <c r="L305" i="16"/>
  <c r="L281" i="16"/>
  <c r="L257" i="16"/>
  <c r="L241" i="16"/>
  <c r="L217" i="16"/>
  <c r="L191" i="16"/>
  <c r="L316" i="16"/>
  <c r="L315" i="16"/>
  <c r="L242" i="16"/>
  <c r="L297" i="16"/>
  <c r="L273" i="16"/>
  <c r="L233" i="16"/>
  <c r="L314" i="16"/>
  <c r="L313" i="16"/>
  <c r="L312" i="16"/>
  <c r="L304" i="16"/>
  <c r="L296" i="16"/>
  <c r="L288" i="16"/>
  <c r="L280" i="16"/>
  <c r="L272" i="16"/>
  <c r="L264" i="16"/>
  <c r="L256" i="16"/>
  <c r="L248" i="16"/>
  <c r="L240" i="16"/>
  <c r="L232" i="16"/>
  <c r="L224" i="16"/>
  <c r="L216" i="16"/>
  <c r="L208" i="16"/>
  <c r="L200" i="16"/>
  <c r="L190" i="16"/>
  <c r="L249" i="16"/>
  <c r="L209" i="16"/>
  <c r="M195" i="16"/>
  <c r="N195" i="16"/>
  <c r="M196" i="16"/>
  <c r="N196" i="16"/>
  <c r="K197" i="16"/>
  <c r="H198" i="16"/>
  <c r="F197" i="16"/>
  <c r="N191" i="16"/>
  <c r="M191" i="16"/>
  <c r="P190" i="16"/>
  <c r="N192" i="16"/>
  <c r="M192" i="16"/>
  <c r="K193" i="16"/>
  <c r="B67" i="9"/>
  <c r="C67" i="9"/>
  <c r="H199" i="16" l="1"/>
  <c r="K198" i="16"/>
  <c r="F198" i="16"/>
  <c r="M197" i="16"/>
  <c r="N197" i="16"/>
  <c r="P196" i="16"/>
  <c r="P195" i="16"/>
  <c r="P191" i="16"/>
  <c r="N193" i="16"/>
  <c r="M193" i="16"/>
  <c r="K194" i="16"/>
  <c r="P192" i="16"/>
  <c r="R190" i="16"/>
  <c r="T190" i="16" s="1"/>
  <c r="V190" i="16" s="1"/>
  <c r="X190" i="16" s="1"/>
  <c r="Z190" i="16" s="1"/>
  <c r="AB190" i="16" s="1"/>
  <c r="AD190" i="16" s="1"/>
  <c r="AF190" i="16" s="1"/>
  <c r="AH190" i="16" s="1"/>
  <c r="AJ190" i="16" s="1"/>
  <c r="AL118" i="9"/>
  <c r="P197" i="16" l="1"/>
  <c r="R195" i="16"/>
  <c r="T195" i="16" s="1"/>
  <c r="V195" i="16" s="1"/>
  <c r="X195" i="16" s="1"/>
  <c r="Z195" i="16" s="1"/>
  <c r="AB195" i="16" s="1"/>
  <c r="AD195" i="16" s="1"/>
  <c r="AF195" i="16" s="1"/>
  <c r="AH195" i="16" s="1"/>
  <c r="AJ195" i="16" s="1"/>
  <c r="H200" i="16"/>
  <c r="K199" i="16"/>
  <c r="F199" i="16"/>
  <c r="R196" i="16"/>
  <c r="T196" i="16" s="1"/>
  <c r="V196" i="16" s="1"/>
  <c r="X196" i="16" s="1"/>
  <c r="Z196" i="16" s="1"/>
  <c r="AB196" i="16" s="1"/>
  <c r="AD196" i="16" s="1"/>
  <c r="AF196" i="16" s="1"/>
  <c r="AH196" i="16" s="1"/>
  <c r="AJ196" i="16" s="1"/>
  <c r="M198" i="16"/>
  <c r="N198" i="16"/>
  <c r="R192" i="16"/>
  <c r="T192" i="16" s="1"/>
  <c r="V192" i="16" s="1"/>
  <c r="X192" i="16" s="1"/>
  <c r="Z192" i="16" s="1"/>
  <c r="AB192" i="16" s="1"/>
  <c r="AD192" i="16" s="1"/>
  <c r="AF192" i="16" s="1"/>
  <c r="AH192" i="16" s="1"/>
  <c r="AJ192" i="16" s="1"/>
  <c r="M194" i="16"/>
  <c r="N194" i="16"/>
  <c r="P193" i="16"/>
  <c r="R191" i="16"/>
  <c r="T191" i="16" s="1"/>
  <c r="V191" i="16" s="1"/>
  <c r="X191" i="16" s="1"/>
  <c r="Z191" i="16" s="1"/>
  <c r="AB191" i="16" s="1"/>
  <c r="AD191" i="16" s="1"/>
  <c r="AF191" i="16" s="1"/>
  <c r="AH191" i="16" s="1"/>
  <c r="AJ191" i="16" s="1"/>
  <c r="K200" i="16" l="1"/>
  <c r="F200" i="16"/>
  <c r="H201" i="16"/>
  <c r="R197" i="16"/>
  <c r="T197" i="16" s="1"/>
  <c r="V197" i="16" s="1"/>
  <c r="X197" i="16" s="1"/>
  <c r="Z197" i="16" s="1"/>
  <c r="AB197" i="16" s="1"/>
  <c r="AD197" i="16" s="1"/>
  <c r="AF197" i="16" s="1"/>
  <c r="AH197" i="16" s="1"/>
  <c r="AJ197" i="16" s="1"/>
  <c r="P198" i="16"/>
  <c r="N199" i="16"/>
  <c r="M199" i="16"/>
  <c r="R193" i="16"/>
  <c r="T193" i="16" s="1"/>
  <c r="V193" i="16" s="1"/>
  <c r="X193" i="16" s="1"/>
  <c r="Z193" i="16" s="1"/>
  <c r="AB193" i="16" s="1"/>
  <c r="AD193" i="16" s="1"/>
  <c r="AF193" i="16" s="1"/>
  <c r="AH193" i="16" s="1"/>
  <c r="AJ193" i="16" s="1"/>
  <c r="P194" i="16"/>
  <c r="F6" i="28"/>
  <c r="F4" i="28"/>
  <c r="B22" i="28"/>
  <c r="J21" i="28"/>
  <c r="B21" i="28"/>
  <c r="B20" i="28"/>
  <c r="J19" i="28"/>
  <c r="B19" i="28"/>
  <c r="J18" i="28"/>
  <c r="B18" i="28"/>
  <c r="J17" i="28"/>
  <c r="B17" i="28"/>
  <c r="B16" i="28"/>
  <c r="B15" i="28"/>
  <c r="B14" i="28"/>
  <c r="J13" i="28"/>
  <c r="B13" i="28"/>
  <c r="J12" i="28"/>
  <c r="B12" i="28"/>
  <c r="B11" i="28"/>
  <c r="B10" i="28"/>
  <c r="B9" i="28"/>
  <c r="B8" i="28"/>
  <c r="B7" i="28"/>
  <c r="B6" i="28"/>
  <c r="B5" i="28"/>
  <c r="J4" i="28"/>
  <c r="B4" i="28"/>
  <c r="J3" i="28"/>
  <c r="B3" i="28"/>
  <c r="B22" i="27"/>
  <c r="C64" i="28"/>
  <c r="B64" i="28"/>
  <c r="D63" i="28"/>
  <c r="C63" i="28"/>
  <c r="B63" i="28"/>
  <c r="C62" i="28"/>
  <c r="B62" i="28"/>
  <c r="C61" i="28"/>
  <c r="B61" i="28"/>
  <c r="D60" i="28"/>
  <c r="C60" i="28"/>
  <c r="B60" i="28"/>
  <c r="C59" i="28"/>
  <c r="B59" i="28"/>
  <c r="D58" i="28"/>
  <c r="C58" i="28"/>
  <c r="B58" i="28"/>
  <c r="D57" i="28"/>
  <c r="C57" i="28"/>
  <c r="B57" i="28"/>
  <c r="C56" i="28"/>
  <c r="B56" i="28"/>
  <c r="C55" i="28"/>
  <c r="B55" i="28"/>
  <c r="C54" i="28"/>
  <c r="B54" i="28"/>
  <c r="C53" i="28"/>
  <c r="B53" i="28"/>
  <c r="D52" i="28"/>
  <c r="C52" i="28"/>
  <c r="B52" i="28"/>
  <c r="D51" i="28"/>
  <c r="C51" i="28"/>
  <c r="B51" i="28"/>
  <c r="D50" i="28"/>
  <c r="C50" i="28"/>
  <c r="B50" i="28"/>
  <c r="D49" i="28"/>
  <c r="C49" i="28"/>
  <c r="B49" i="28"/>
  <c r="B48" i="28"/>
  <c r="D47" i="28"/>
  <c r="C47" i="28"/>
  <c r="B47" i="28"/>
  <c r="D46" i="28"/>
  <c r="C46" i="28"/>
  <c r="B46" i="28"/>
  <c r="C45" i="28"/>
  <c r="B45" i="28"/>
  <c r="C44" i="28"/>
  <c r="B44" i="28"/>
  <c r="C43" i="28"/>
  <c r="B43" i="28"/>
  <c r="C42" i="28"/>
  <c r="B42" i="28"/>
  <c r="C41" i="28"/>
  <c r="B41" i="28"/>
  <c r="C40" i="28"/>
  <c r="B40" i="28"/>
  <c r="C39" i="28"/>
  <c r="B39" i="28"/>
  <c r="D38" i="28"/>
  <c r="C38" i="28"/>
  <c r="B38" i="28"/>
  <c r="C37" i="28"/>
  <c r="B37" i="28"/>
  <c r="D36" i="28"/>
  <c r="C36" i="28"/>
  <c r="B36" i="28"/>
  <c r="D35" i="28"/>
  <c r="C35" i="28"/>
  <c r="B35" i="28"/>
  <c r="C34" i="28"/>
  <c r="B34" i="28"/>
  <c r="D33" i="28"/>
  <c r="C33" i="28"/>
  <c r="B33" i="28"/>
  <c r="D32" i="28"/>
  <c r="D53" i="28" s="1"/>
  <c r="C32" i="28"/>
  <c r="B32" i="28"/>
  <c r="D31" i="28"/>
  <c r="F3" i="28" s="1"/>
  <c r="F8" i="28" s="1"/>
  <c r="F5" i="28" s="1"/>
  <c r="C31" i="28"/>
  <c r="B31" i="28"/>
  <c r="D30" i="28"/>
  <c r="C30" i="28"/>
  <c r="B30" i="28"/>
  <c r="D29" i="28"/>
  <c r="C29" i="28"/>
  <c r="B29" i="28"/>
  <c r="D28" i="28"/>
  <c r="F28" i="28" s="1"/>
  <c r="H28" i="28" s="1"/>
  <c r="I28" i="28" s="1"/>
  <c r="C28" i="28"/>
  <c r="B28" i="28"/>
  <c r="J27" i="28"/>
  <c r="C27" i="28"/>
  <c r="C2" i="28"/>
  <c r="B2" i="28"/>
  <c r="C1" i="28"/>
  <c r="K201" i="16" l="1"/>
  <c r="F201" i="16"/>
  <c r="H202" i="16"/>
  <c r="P199" i="16"/>
  <c r="N200" i="16"/>
  <c r="M200" i="16"/>
  <c r="R198" i="16"/>
  <c r="T198" i="16" s="1"/>
  <c r="V198" i="16" s="1"/>
  <c r="X198" i="16" s="1"/>
  <c r="Z198" i="16" s="1"/>
  <c r="AB198" i="16" s="1"/>
  <c r="AD198" i="16" s="1"/>
  <c r="AF198" i="16" s="1"/>
  <c r="AH198" i="16" s="1"/>
  <c r="AJ198" i="16" s="1"/>
  <c r="R194" i="16"/>
  <c r="T194" i="16" s="1"/>
  <c r="V194" i="16" s="1"/>
  <c r="X194" i="16" s="1"/>
  <c r="Z194" i="16" s="1"/>
  <c r="AB194" i="16" s="1"/>
  <c r="AD194" i="16" s="1"/>
  <c r="AF194" i="16" s="1"/>
  <c r="AH194" i="16" s="1"/>
  <c r="AJ194" i="16" s="1"/>
  <c r="F26" i="28"/>
  <c r="I26" i="28" s="1"/>
  <c r="F23" i="28"/>
  <c r="I23" i="28" s="1"/>
  <c r="I3" i="28"/>
  <c r="I4" i="28"/>
  <c r="F22" i="28"/>
  <c r="I22" i="28" s="1"/>
  <c r="F36" i="28"/>
  <c r="F60" i="28"/>
  <c r="F31" i="28"/>
  <c r="F30" i="28"/>
  <c r="F63" i="28"/>
  <c r="D55" i="28"/>
  <c r="F4" i="27"/>
  <c r="F23" i="27" s="1"/>
  <c r="L4" i="27"/>
  <c r="N4" i="27" s="1"/>
  <c r="D82" i="27"/>
  <c r="D81" i="27" s="1"/>
  <c r="C81" i="27"/>
  <c r="I79" i="27"/>
  <c r="L79" i="27" s="1"/>
  <c r="N79" i="27" s="1"/>
  <c r="P79" i="27" s="1"/>
  <c r="R79" i="27" s="1"/>
  <c r="T79" i="27" s="1"/>
  <c r="V79" i="27" s="1"/>
  <c r="X79" i="27" s="1"/>
  <c r="Z79" i="27" s="1"/>
  <c r="AB79" i="27" s="1"/>
  <c r="AD79" i="27" s="1"/>
  <c r="AF79" i="27" s="1"/>
  <c r="AH79" i="27" s="1"/>
  <c r="F79" i="27"/>
  <c r="F78" i="27"/>
  <c r="I78" i="27" s="1"/>
  <c r="L78" i="27" s="1"/>
  <c r="N78" i="27" s="1"/>
  <c r="P78" i="27" s="1"/>
  <c r="R78" i="27" s="1"/>
  <c r="T78" i="27" s="1"/>
  <c r="V78" i="27" s="1"/>
  <c r="X78" i="27" s="1"/>
  <c r="Z78" i="27" s="1"/>
  <c r="AB78" i="27" s="1"/>
  <c r="AD78" i="27" s="1"/>
  <c r="AF78" i="27" s="1"/>
  <c r="AH78" i="27" s="1"/>
  <c r="I77" i="27"/>
  <c r="L77" i="27" s="1"/>
  <c r="N77" i="27" s="1"/>
  <c r="P77" i="27" s="1"/>
  <c r="R77" i="27" s="1"/>
  <c r="T77" i="27" s="1"/>
  <c r="V77" i="27" s="1"/>
  <c r="X77" i="27" s="1"/>
  <c r="Z77" i="27" s="1"/>
  <c r="AB77" i="27" s="1"/>
  <c r="AD77" i="27" s="1"/>
  <c r="AF77" i="27" s="1"/>
  <c r="AH77" i="27" s="1"/>
  <c r="F77" i="27"/>
  <c r="F70" i="27"/>
  <c r="I70" i="27" s="1"/>
  <c r="L70" i="27" s="1"/>
  <c r="N70" i="27" s="1"/>
  <c r="P70" i="27" s="1"/>
  <c r="R70" i="27" s="1"/>
  <c r="T70" i="27" s="1"/>
  <c r="V70" i="27" s="1"/>
  <c r="X70" i="27" s="1"/>
  <c r="Z70" i="27" s="1"/>
  <c r="AB70" i="27" s="1"/>
  <c r="AD70" i="27" s="1"/>
  <c r="AF70" i="27" s="1"/>
  <c r="AH70" i="27" s="1"/>
  <c r="F69" i="27"/>
  <c r="I69" i="27" s="1"/>
  <c r="L69" i="27" s="1"/>
  <c r="N69" i="27" s="1"/>
  <c r="P69" i="27" s="1"/>
  <c r="R69" i="27" s="1"/>
  <c r="T69" i="27" s="1"/>
  <c r="V69" i="27" s="1"/>
  <c r="X69" i="27" s="1"/>
  <c r="Z69" i="27" s="1"/>
  <c r="AB69" i="27" s="1"/>
  <c r="AD69" i="27" s="1"/>
  <c r="AF69" i="27" s="1"/>
  <c r="AH69" i="27" s="1"/>
  <c r="F68" i="27"/>
  <c r="I68" i="27" s="1"/>
  <c r="L68" i="27" s="1"/>
  <c r="N68" i="27" s="1"/>
  <c r="P68" i="27" s="1"/>
  <c r="R68" i="27" s="1"/>
  <c r="T68" i="27" s="1"/>
  <c r="V68" i="27" s="1"/>
  <c r="X68" i="27" s="1"/>
  <c r="Z68" i="27" s="1"/>
  <c r="AB68" i="27" s="1"/>
  <c r="AD68" i="27" s="1"/>
  <c r="AF68" i="27" s="1"/>
  <c r="AH68" i="27" s="1"/>
  <c r="C61" i="27"/>
  <c r="C60" i="27"/>
  <c r="B60" i="27"/>
  <c r="D59" i="27"/>
  <c r="C59" i="27"/>
  <c r="B59" i="27"/>
  <c r="C58" i="27"/>
  <c r="B58" i="27"/>
  <c r="C57" i="27"/>
  <c r="B57" i="27"/>
  <c r="D56" i="27"/>
  <c r="C56" i="27"/>
  <c r="B56" i="27"/>
  <c r="C55" i="27"/>
  <c r="B55" i="27"/>
  <c r="D54" i="27"/>
  <c r="C54" i="27"/>
  <c r="B54" i="27"/>
  <c r="D53" i="27"/>
  <c r="C53" i="27"/>
  <c r="B53" i="27"/>
  <c r="D52" i="27"/>
  <c r="C52" i="27"/>
  <c r="B52" i="27"/>
  <c r="D51" i="27"/>
  <c r="C51" i="27"/>
  <c r="B51" i="27"/>
  <c r="D50" i="27"/>
  <c r="C50" i="27"/>
  <c r="B50" i="27"/>
  <c r="D49" i="27"/>
  <c r="C49" i="27"/>
  <c r="B49" i="27"/>
  <c r="C48" i="27"/>
  <c r="B48" i="27"/>
  <c r="D47" i="27"/>
  <c r="C47" i="27"/>
  <c r="B47" i="27"/>
  <c r="D46" i="27"/>
  <c r="C46" i="27"/>
  <c r="B46" i="27"/>
  <c r="C45" i="27"/>
  <c r="B45" i="27"/>
  <c r="C44" i="27"/>
  <c r="B44" i="27"/>
  <c r="C43" i="27"/>
  <c r="B43" i="27"/>
  <c r="C42" i="27"/>
  <c r="B42" i="27"/>
  <c r="C41" i="27"/>
  <c r="B41" i="27"/>
  <c r="C40" i="27"/>
  <c r="B40" i="27"/>
  <c r="C39" i="27"/>
  <c r="B39" i="27"/>
  <c r="D38" i="27"/>
  <c r="C38" i="27"/>
  <c r="B38" i="27"/>
  <c r="C37" i="27"/>
  <c r="B37" i="27"/>
  <c r="D36" i="27"/>
  <c r="C36" i="27"/>
  <c r="B36" i="27"/>
  <c r="D35" i="27"/>
  <c r="C35" i="27"/>
  <c r="B35" i="27"/>
  <c r="C34" i="27"/>
  <c r="B34" i="27"/>
  <c r="D33" i="27"/>
  <c r="C33" i="27"/>
  <c r="B33" i="27"/>
  <c r="D32" i="27"/>
  <c r="F5" i="27" s="1"/>
  <c r="C32" i="27"/>
  <c r="B32" i="27"/>
  <c r="D31" i="27"/>
  <c r="F3" i="27" s="1"/>
  <c r="C31" i="27"/>
  <c r="B31" i="27"/>
  <c r="D30" i="27"/>
  <c r="C30" i="27"/>
  <c r="B30" i="27"/>
  <c r="D29" i="27"/>
  <c r="C29" i="27"/>
  <c r="B29" i="27"/>
  <c r="D28" i="27"/>
  <c r="F28" i="27" s="1"/>
  <c r="I28" i="27" s="1"/>
  <c r="L28" i="27" s="1"/>
  <c r="N28" i="27" s="1"/>
  <c r="P28" i="27" s="1"/>
  <c r="R28" i="27" s="1"/>
  <c r="T28" i="27" s="1"/>
  <c r="V28" i="27" s="1"/>
  <c r="X28" i="27" s="1"/>
  <c r="Z28" i="27" s="1"/>
  <c r="AB28" i="27" s="1"/>
  <c r="AD28" i="27" s="1"/>
  <c r="AF28" i="27" s="1"/>
  <c r="AH28" i="27" s="1"/>
  <c r="C28" i="27"/>
  <c r="B28" i="27"/>
  <c r="M27" i="27"/>
  <c r="O27" i="27" s="1"/>
  <c r="J27" i="27"/>
  <c r="I27" i="27"/>
  <c r="H27" i="27"/>
  <c r="C27" i="27"/>
  <c r="J21" i="27"/>
  <c r="B21" i="27"/>
  <c r="B20" i="27"/>
  <c r="J19" i="27"/>
  <c r="B19" i="27"/>
  <c r="B18" i="27"/>
  <c r="J17" i="27"/>
  <c r="B17" i="27"/>
  <c r="B16" i="27"/>
  <c r="R15" i="27"/>
  <c r="B15" i="27"/>
  <c r="B14" i="27"/>
  <c r="J13" i="27"/>
  <c r="B13" i="27"/>
  <c r="J12" i="27"/>
  <c r="B12" i="27"/>
  <c r="B11" i="27"/>
  <c r="B10" i="27"/>
  <c r="B9" i="27"/>
  <c r="B8" i="27"/>
  <c r="B7" i="27"/>
  <c r="B6" i="27"/>
  <c r="B5" i="27"/>
  <c r="J4" i="27"/>
  <c r="I4" i="27"/>
  <c r="B4" i="27"/>
  <c r="J3" i="27"/>
  <c r="B3" i="27"/>
  <c r="B2" i="27"/>
  <c r="C1" i="27"/>
  <c r="P200" i="16" l="1"/>
  <c r="R199" i="16"/>
  <c r="T199" i="16" s="1"/>
  <c r="V199" i="16" s="1"/>
  <c r="X199" i="16" s="1"/>
  <c r="Z199" i="16" s="1"/>
  <c r="AB199" i="16" s="1"/>
  <c r="AD199" i="16" s="1"/>
  <c r="AF199" i="16" s="1"/>
  <c r="AH199" i="16" s="1"/>
  <c r="AJ199" i="16" s="1"/>
  <c r="H203" i="16"/>
  <c r="K202" i="16"/>
  <c r="F202" i="16"/>
  <c r="M201" i="16"/>
  <c r="N201" i="16"/>
  <c r="F6" i="27"/>
  <c r="F46" i="27" s="1"/>
  <c r="I46" i="27" s="1"/>
  <c r="L46" i="27" s="1"/>
  <c r="N46" i="27" s="1"/>
  <c r="P46" i="27" s="1"/>
  <c r="R46" i="27" s="1"/>
  <c r="T46" i="27" s="1"/>
  <c r="V46" i="27" s="1"/>
  <c r="X46" i="27" s="1"/>
  <c r="Z46" i="27" s="1"/>
  <c r="AB46" i="27" s="1"/>
  <c r="AD46" i="27" s="1"/>
  <c r="AF46" i="27" s="1"/>
  <c r="AH46" i="27" s="1"/>
  <c r="F11" i="28"/>
  <c r="I11" i="28" s="1"/>
  <c r="F24" i="28"/>
  <c r="I24" i="28" s="1"/>
  <c r="I5" i="28"/>
  <c r="F9" i="28"/>
  <c r="F10" i="28"/>
  <c r="I10" i="28" s="1"/>
  <c r="I6" i="28"/>
  <c r="H31" i="28"/>
  <c r="I31" i="28" s="1"/>
  <c r="H60" i="28"/>
  <c r="I60" i="28" s="1"/>
  <c r="H36" i="28"/>
  <c r="I36" i="28" s="1"/>
  <c r="H63" i="28"/>
  <c r="I63" i="28" s="1"/>
  <c r="D56" i="28"/>
  <c r="F56" i="28" s="1"/>
  <c r="H30" i="28"/>
  <c r="I30" i="28" s="1"/>
  <c r="F58" i="28"/>
  <c r="K79" i="27"/>
  <c r="K78" i="27"/>
  <c r="K77" i="27"/>
  <c r="K70" i="27"/>
  <c r="K69" i="27"/>
  <c r="K68" i="27"/>
  <c r="K28" i="27"/>
  <c r="O79" i="27"/>
  <c r="O78" i="27"/>
  <c r="O77" i="27"/>
  <c r="O70" i="27"/>
  <c r="O69" i="27"/>
  <c r="O68" i="27"/>
  <c r="O28" i="27"/>
  <c r="Q27" i="27"/>
  <c r="F22" i="27"/>
  <c r="F74" i="27"/>
  <c r="I74" i="27" s="1"/>
  <c r="L74" i="27" s="1"/>
  <c r="N74" i="27" s="1"/>
  <c r="P74" i="27" s="1"/>
  <c r="R74" i="27" s="1"/>
  <c r="T74" i="27" s="1"/>
  <c r="V74" i="27" s="1"/>
  <c r="X74" i="27" s="1"/>
  <c r="Z74" i="27" s="1"/>
  <c r="AB74" i="27" s="1"/>
  <c r="AD74" i="27" s="1"/>
  <c r="AF74" i="27" s="1"/>
  <c r="AH74" i="27" s="1"/>
  <c r="F73" i="27"/>
  <c r="I73" i="27" s="1"/>
  <c r="L73" i="27" s="1"/>
  <c r="N73" i="27" s="1"/>
  <c r="P73" i="27" s="1"/>
  <c r="R73" i="27" s="1"/>
  <c r="T73" i="27" s="1"/>
  <c r="V73" i="27" s="1"/>
  <c r="X73" i="27" s="1"/>
  <c r="Z73" i="27" s="1"/>
  <c r="AB73" i="27" s="1"/>
  <c r="AD73" i="27" s="1"/>
  <c r="AF73" i="27" s="1"/>
  <c r="AH73" i="27" s="1"/>
  <c r="F72" i="27"/>
  <c r="I72" i="27" s="1"/>
  <c r="L72" i="27" s="1"/>
  <c r="N72" i="27" s="1"/>
  <c r="P72" i="27" s="1"/>
  <c r="R72" i="27" s="1"/>
  <c r="T72" i="27" s="1"/>
  <c r="V72" i="27" s="1"/>
  <c r="X72" i="27" s="1"/>
  <c r="Z72" i="27" s="1"/>
  <c r="AB72" i="27" s="1"/>
  <c r="AD72" i="27" s="1"/>
  <c r="AF72" i="27" s="1"/>
  <c r="AH72" i="27" s="1"/>
  <c r="F71" i="27"/>
  <c r="I71" i="27" s="1"/>
  <c r="L71" i="27" s="1"/>
  <c r="N71" i="27" s="1"/>
  <c r="P71" i="27" s="1"/>
  <c r="R71" i="27" s="1"/>
  <c r="T71" i="27" s="1"/>
  <c r="V71" i="27" s="1"/>
  <c r="X71" i="27" s="1"/>
  <c r="Z71" i="27" s="1"/>
  <c r="AB71" i="27" s="1"/>
  <c r="AD71" i="27" s="1"/>
  <c r="AF71" i="27" s="1"/>
  <c r="AH71" i="27" s="1"/>
  <c r="F67" i="27"/>
  <c r="I67" i="27" s="1"/>
  <c r="L67" i="27" s="1"/>
  <c r="N67" i="27" s="1"/>
  <c r="P67" i="27" s="1"/>
  <c r="R67" i="27" s="1"/>
  <c r="T67" i="27" s="1"/>
  <c r="V67" i="27" s="1"/>
  <c r="X67" i="27" s="1"/>
  <c r="Z67" i="27" s="1"/>
  <c r="AB67" i="27" s="1"/>
  <c r="AD67" i="27" s="1"/>
  <c r="AF67" i="27" s="1"/>
  <c r="AH67" i="27" s="1"/>
  <c r="F63" i="27"/>
  <c r="I63" i="27" s="1"/>
  <c r="L63" i="27" s="1"/>
  <c r="N63" i="27" s="1"/>
  <c r="P63" i="27" s="1"/>
  <c r="R63" i="27" s="1"/>
  <c r="T63" i="27" s="1"/>
  <c r="V63" i="27" s="1"/>
  <c r="X63" i="27" s="1"/>
  <c r="Z63" i="27" s="1"/>
  <c r="AB63" i="27" s="1"/>
  <c r="AD63" i="27" s="1"/>
  <c r="AF63" i="27" s="1"/>
  <c r="AH63" i="27" s="1"/>
  <c r="F65" i="27"/>
  <c r="I65" i="27" s="1"/>
  <c r="L65" i="27" s="1"/>
  <c r="N65" i="27" s="1"/>
  <c r="P65" i="27" s="1"/>
  <c r="R65" i="27" s="1"/>
  <c r="T65" i="27" s="1"/>
  <c r="V65" i="27" s="1"/>
  <c r="X65" i="27" s="1"/>
  <c r="Z65" i="27" s="1"/>
  <c r="AB65" i="27" s="1"/>
  <c r="AD65" i="27" s="1"/>
  <c r="AF65" i="27" s="1"/>
  <c r="AH65" i="27" s="1"/>
  <c r="F66" i="27"/>
  <c r="I66" i="27" s="1"/>
  <c r="L66" i="27" s="1"/>
  <c r="N66" i="27" s="1"/>
  <c r="P66" i="27" s="1"/>
  <c r="R66" i="27" s="1"/>
  <c r="T66" i="27" s="1"/>
  <c r="V66" i="27" s="1"/>
  <c r="X66" i="27" s="1"/>
  <c r="Z66" i="27" s="1"/>
  <c r="AB66" i="27" s="1"/>
  <c r="AD66" i="27" s="1"/>
  <c r="AF66" i="27" s="1"/>
  <c r="AH66" i="27" s="1"/>
  <c r="F64" i="27"/>
  <c r="I64" i="27" s="1"/>
  <c r="L64" i="27" s="1"/>
  <c r="N64" i="27" s="1"/>
  <c r="P64" i="27" s="1"/>
  <c r="R64" i="27" s="1"/>
  <c r="T64" i="27" s="1"/>
  <c r="V64" i="27" s="1"/>
  <c r="X64" i="27" s="1"/>
  <c r="Z64" i="27" s="1"/>
  <c r="AB64" i="27" s="1"/>
  <c r="AD64" i="27" s="1"/>
  <c r="AF64" i="27" s="1"/>
  <c r="AH64" i="27" s="1"/>
  <c r="M79" i="27"/>
  <c r="M78" i="27"/>
  <c r="M77" i="27"/>
  <c r="M70" i="27"/>
  <c r="M69" i="27"/>
  <c r="M68" i="27"/>
  <c r="M63" i="27"/>
  <c r="M28" i="27"/>
  <c r="H1" i="9"/>
  <c r="H31" i="1"/>
  <c r="H31" i="21"/>
  <c r="H1" i="21"/>
  <c r="H31" i="26"/>
  <c r="H1" i="26"/>
  <c r="H31" i="9"/>
  <c r="H31" i="8"/>
  <c r="H1" i="8"/>
  <c r="H31" i="24"/>
  <c r="H1" i="24"/>
  <c r="H31" i="7"/>
  <c r="H1" i="7"/>
  <c r="M73" i="27" l="1"/>
  <c r="M46" i="27"/>
  <c r="K46" i="27"/>
  <c r="M202" i="16"/>
  <c r="N202" i="16"/>
  <c r="H204" i="16"/>
  <c r="K203" i="16"/>
  <c r="F203" i="16"/>
  <c r="R200" i="16"/>
  <c r="T200" i="16" s="1"/>
  <c r="V200" i="16" s="1"/>
  <c r="X200" i="16" s="1"/>
  <c r="Z200" i="16" s="1"/>
  <c r="AB200" i="16" s="1"/>
  <c r="AD200" i="16" s="1"/>
  <c r="AF200" i="16" s="1"/>
  <c r="AH200" i="16" s="1"/>
  <c r="AJ200" i="16" s="1"/>
  <c r="P201" i="16"/>
  <c r="M65" i="27"/>
  <c r="L6" i="27"/>
  <c r="N6" i="27" s="1"/>
  <c r="O46" i="27"/>
  <c r="I6" i="27"/>
  <c r="M72" i="27"/>
  <c r="K72" i="27"/>
  <c r="M71" i="27"/>
  <c r="O65" i="27"/>
  <c r="O73" i="27"/>
  <c r="K66" i="27"/>
  <c r="F25" i="28"/>
  <c r="I25" i="28" s="1"/>
  <c r="I8" i="28"/>
  <c r="F7" i="28"/>
  <c r="I7" i="28" s="1"/>
  <c r="I9" i="28"/>
  <c r="H58" i="28"/>
  <c r="I58" i="28" s="1"/>
  <c r="F38" i="28"/>
  <c r="F35" i="28"/>
  <c r="F49" i="28"/>
  <c r="F50" i="28"/>
  <c r="H56" i="28"/>
  <c r="I56" i="28" s="1"/>
  <c r="F59" i="27"/>
  <c r="I59" i="27" s="1"/>
  <c r="F26" i="27"/>
  <c r="F30" i="27"/>
  <c r="I30" i="27" s="1"/>
  <c r="I3" i="27"/>
  <c r="L3" i="27"/>
  <c r="N3" i="27" s="1"/>
  <c r="F36" i="27"/>
  <c r="I36" i="27" s="1"/>
  <c r="F56" i="27"/>
  <c r="I56" i="27" s="1"/>
  <c r="O74" i="27"/>
  <c r="F31" i="27"/>
  <c r="I31" i="27" s="1"/>
  <c r="K67" i="27"/>
  <c r="K71" i="27"/>
  <c r="F81" i="27"/>
  <c r="I81" i="27" s="1"/>
  <c r="F54" i="27"/>
  <c r="I54" i="27" s="1"/>
  <c r="M66" i="27"/>
  <c r="O63" i="27"/>
  <c r="O66" i="27"/>
  <c r="K64" i="27"/>
  <c r="K73" i="27"/>
  <c r="L22" i="27"/>
  <c r="N22" i="27" s="1"/>
  <c r="I22" i="27"/>
  <c r="O64" i="27"/>
  <c r="M64" i="27"/>
  <c r="M74" i="27"/>
  <c r="M67" i="27"/>
  <c r="Q79" i="27"/>
  <c r="Q78" i="27"/>
  <c r="Q77" i="27"/>
  <c r="Q74" i="27"/>
  <c r="Q73" i="27"/>
  <c r="Q72" i="27"/>
  <c r="Q71" i="27"/>
  <c r="Q65" i="27"/>
  <c r="Q63" i="27"/>
  <c r="Q70" i="27"/>
  <c r="Q69" i="27"/>
  <c r="Q68" i="27"/>
  <c r="Q67" i="27"/>
  <c r="Q64" i="27"/>
  <c r="Q66" i="27"/>
  <c r="Q28" i="27"/>
  <c r="Q46" i="27"/>
  <c r="S27" i="27"/>
  <c r="O72" i="27"/>
  <c r="O67" i="27"/>
  <c r="O71" i="27"/>
  <c r="K63" i="27"/>
  <c r="K65" i="27"/>
  <c r="K74" i="27"/>
  <c r="N203" i="16" l="1"/>
  <c r="M203" i="16"/>
  <c r="K204" i="16"/>
  <c r="F204" i="16"/>
  <c r="H205" i="16"/>
  <c r="P202" i="16"/>
  <c r="R201" i="16"/>
  <c r="T201" i="16" s="1"/>
  <c r="V201" i="16" s="1"/>
  <c r="X201" i="16" s="1"/>
  <c r="Z201" i="16" s="1"/>
  <c r="AB201" i="16" s="1"/>
  <c r="AD201" i="16" s="1"/>
  <c r="AF201" i="16" s="1"/>
  <c r="AH201" i="16" s="1"/>
  <c r="AJ201" i="16" s="1"/>
  <c r="F29" i="28"/>
  <c r="F47" i="28"/>
  <c r="F57" i="28"/>
  <c r="F55" i="28"/>
  <c r="H49" i="28"/>
  <c r="I49" i="28" s="1"/>
  <c r="H38" i="28"/>
  <c r="I38" i="28" s="1"/>
  <c r="F46" i="28"/>
  <c r="H50" i="28"/>
  <c r="I50" i="28" s="1"/>
  <c r="F33" i="28"/>
  <c r="F32" i="28"/>
  <c r="F51" i="28"/>
  <c r="F53" i="28"/>
  <c r="F52" i="28"/>
  <c r="H35" i="28"/>
  <c r="I35" i="28" s="1"/>
  <c r="L81" i="27"/>
  <c r="K81" i="27"/>
  <c r="L26" i="27"/>
  <c r="N26" i="27" s="1"/>
  <c r="I26" i="27"/>
  <c r="S79" i="27"/>
  <c r="S78" i="27"/>
  <c r="S77" i="27"/>
  <c r="S74" i="27"/>
  <c r="S73" i="27"/>
  <c r="S71" i="27"/>
  <c r="S70" i="27"/>
  <c r="S69" i="27"/>
  <c r="S68" i="27"/>
  <c r="S67" i="27"/>
  <c r="S66" i="27"/>
  <c r="S65" i="27"/>
  <c r="S64" i="27"/>
  <c r="S72" i="27"/>
  <c r="S63" i="27"/>
  <c r="S46" i="27"/>
  <c r="U27" i="27"/>
  <c r="S28" i="27"/>
  <c r="L31" i="27"/>
  <c r="K31" i="27"/>
  <c r="L36" i="27"/>
  <c r="K36" i="27"/>
  <c r="L59" i="27"/>
  <c r="K59" i="27"/>
  <c r="L30" i="27"/>
  <c r="K30" i="27"/>
  <c r="L54" i="27"/>
  <c r="K54" i="27"/>
  <c r="L56" i="27"/>
  <c r="K56" i="27"/>
  <c r="D113" i="9"/>
  <c r="D112" i="9"/>
  <c r="R202" i="16" l="1"/>
  <c r="T202" i="16" s="1"/>
  <c r="V202" i="16" s="1"/>
  <c r="X202" i="16" s="1"/>
  <c r="Z202" i="16" s="1"/>
  <c r="AB202" i="16" s="1"/>
  <c r="AD202" i="16" s="1"/>
  <c r="AF202" i="16" s="1"/>
  <c r="AH202" i="16" s="1"/>
  <c r="AJ202" i="16" s="1"/>
  <c r="K205" i="16"/>
  <c r="F205" i="16"/>
  <c r="H206" i="16"/>
  <c r="N204" i="16"/>
  <c r="M204" i="16"/>
  <c r="P203" i="16"/>
  <c r="H33" i="28"/>
  <c r="I33" i="28" s="1"/>
  <c r="H53" i="28"/>
  <c r="I53" i="28" s="1"/>
  <c r="H57" i="28"/>
  <c r="I57" i="28" s="1"/>
  <c r="H55" i="28"/>
  <c r="I55" i="28" s="1"/>
  <c r="H52" i="28"/>
  <c r="I52" i="28" s="1"/>
  <c r="H51" i="28"/>
  <c r="I51" i="28" s="1"/>
  <c r="H29" i="28"/>
  <c r="I29" i="28" s="1"/>
  <c r="H32" i="28"/>
  <c r="I32" i="28" s="1"/>
  <c r="H46" i="28"/>
  <c r="I46" i="28" s="1"/>
  <c r="H47" i="28"/>
  <c r="I47" i="28" s="1"/>
  <c r="N30" i="27"/>
  <c r="M30" i="27"/>
  <c r="N59" i="27"/>
  <c r="M59" i="27"/>
  <c r="N31" i="27"/>
  <c r="M31" i="27"/>
  <c r="N56" i="27"/>
  <c r="M56" i="27"/>
  <c r="N36" i="27"/>
  <c r="M36" i="27"/>
  <c r="N54" i="27"/>
  <c r="M54" i="27"/>
  <c r="U79" i="27"/>
  <c r="U78" i="27"/>
  <c r="U77" i="27"/>
  <c r="U74" i="27"/>
  <c r="U73" i="27"/>
  <c r="U72" i="27"/>
  <c r="U64" i="27"/>
  <c r="U66" i="27"/>
  <c r="U71" i="27"/>
  <c r="U69" i="27"/>
  <c r="U67" i="27"/>
  <c r="U51" i="27"/>
  <c r="U65" i="27"/>
  <c r="U63" i="27"/>
  <c r="U52" i="27"/>
  <c r="U48" i="27"/>
  <c r="U40" i="27"/>
  <c r="U70" i="27"/>
  <c r="U68" i="27"/>
  <c r="U43" i="27"/>
  <c r="U28" i="27"/>
  <c r="U42" i="27"/>
  <c r="U41" i="27"/>
  <c r="U39" i="27"/>
  <c r="U50" i="27"/>
  <c r="U46" i="27"/>
  <c r="W27" i="27"/>
  <c r="N81" i="27"/>
  <c r="M81" i="27"/>
  <c r="P204" i="16" l="1"/>
  <c r="H207" i="16"/>
  <c r="K206" i="16"/>
  <c r="F206" i="16"/>
  <c r="M205" i="16"/>
  <c r="N205" i="16"/>
  <c r="R203" i="16"/>
  <c r="T203" i="16" s="1"/>
  <c r="V203" i="16" s="1"/>
  <c r="X203" i="16" s="1"/>
  <c r="Z203" i="16" s="1"/>
  <c r="AB203" i="16" s="1"/>
  <c r="AD203" i="16" s="1"/>
  <c r="AF203" i="16" s="1"/>
  <c r="AH203" i="16" s="1"/>
  <c r="AJ203" i="16" s="1"/>
  <c r="W79" i="27"/>
  <c r="W78" i="27"/>
  <c r="W77" i="27"/>
  <c r="W74" i="27"/>
  <c r="W73" i="27"/>
  <c r="W72" i="27"/>
  <c r="W71" i="27"/>
  <c r="W70" i="27"/>
  <c r="W69" i="27"/>
  <c r="W68" i="27"/>
  <c r="W67" i="27"/>
  <c r="W66" i="27"/>
  <c r="W65" i="27"/>
  <c r="W64" i="27"/>
  <c r="W63" i="27"/>
  <c r="W50" i="27"/>
  <c r="W46" i="27"/>
  <c r="W42" i="27"/>
  <c r="W51" i="27"/>
  <c r="W52" i="27"/>
  <c r="W43" i="27"/>
  <c r="W41" i="27"/>
  <c r="W40" i="27"/>
  <c r="W28" i="27"/>
  <c r="Y27" i="27"/>
  <c r="W48" i="27"/>
  <c r="W39" i="27"/>
  <c r="P54" i="27"/>
  <c r="O54" i="27"/>
  <c r="P59" i="27"/>
  <c r="O59" i="27"/>
  <c r="P31" i="27"/>
  <c r="O31" i="27"/>
  <c r="P30" i="27"/>
  <c r="O30" i="27"/>
  <c r="P81" i="27"/>
  <c r="O81" i="27"/>
  <c r="P36" i="27"/>
  <c r="O36" i="27"/>
  <c r="P56" i="27"/>
  <c r="O56" i="27"/>
  <c r="H208" i="16" l="1"/>
  <c r="K207" i="16"/>
  <c r="F207" i="16"/>
  <c r="M206" i="16"/>
  <c r="N206" i="16"/>
  <c r="R204" i="16"/>
  <c r="T204" i="16" s="1"/>
  <c r="V204" i="16" s="1"/>
  <c r="X204" i="16" s="1"/>
  <c r="Z204" i="16" s="1"/>
  <c r="AB204" i="16" s="1"/>
  <c r="AD204" i="16" s="1"/>
  <c r="AF204" i="16" s="1"/>
  <c r="AH204" i="16" s="1"/>
  <c r="AJ204" i="16" s="1"/>
  <c r="P205" i="16"/>
  <c r="R36" i="27"/>
  <c r="Q36" i="27"/>
  <c r="R54" i="27"/>
  <c r="Q54" i="27"/>
  <c r="R30" i="27"/>
  <c r="Q30" i="27"/>
  <c r="Y85" i="27"/>
  <c r="Y79" i="27"/>
  <c r="Y78" i="27"/>
  <c r="Y77" i="27"/>
  <c r="Y74" i="27"/>
  <c r="Y73" i="27"/>
  <c r="Y72" i="27"/>
  <c r="Y89" i="27"/>
  <c r="Y88" i="27"/>
  <c r="Y87" i="27"/>
  <c r="Y86" i="27"/>
  <c r="Y66" i="27"/>
  <c r="Y65" i="27"/>
  <c r="Y70" i="27"/>
  <c r="Y69" i="27"/>
  <c r="Y68" i="27"/>
  <c r="Y67" i="27"/>
  <c r="Y63" i="27"/>
  <c r="Y71" i="27"/>
  <c r="Y64" i="27"/>
  <c r="Y51" i="27"/>
  <c r="Y47" i="27"/>
  <c r="Y53" i="27"/>
  <c r="Y52" i="27"/>
  <c r="Y48" i="27"/>
  <c r="Y44" i="27"/>
  <c r="Y40" i="27"/>
  <c r="Y49" i="27"/>
  <c r="Y45" i="27"/>
  <c r="Y50" i="27"/>
  <c r="Y46" i="27"/>
  <c r="Y42" i="27"/>
  <c r="Y41" i="27"/>
  <c r="Y28" i="27"/>
  <c r="Y34" i="27"/>
  <c r="Y39" i="27"/>
  <c r="Y43" i="27"/>
  <c r="Y33" i="27"/>
  <c r="AA27" i="27"/>
  <c r="R56" i="27"/>
  <c r="Q56" i="27"/>
  <c r="R59" i="27"/>
  <c r="Q59" i="27"/>
  <c r="R81" i="27"/>
  <c r="Q81" i="27"/>
  <c r="R31" i="27"/>
  <c r="Q31" i="27"/>
  <c r="F9" i="27"/>
  <c r="F11" i="27"/>
  <c r="F10" i="27"/>
  <c r="F8" i="27"/>
  <c r="I5" i="27"/>
  <c r="F32" i="27"/>
  <c r="I32" i="27" s="1"/>
  <c r="L5" i="27"/>
  <c r="N5" i="27" s="1"/>
  <c r="F33" i="27"/>
  <c r="I33" i="27" s="1"/>
  <c r="P206" i="16" l="1"/>
  <c r="N207" i="16"/>
  <c r="M207" i="16"/>
  <c r="K208" i="16"/>
  <c r="F208" i="16"/>
  <c r="H209" i="16"/>
  <c r="R205" i="16"/>
  <c r="T205" i="16" s="1"/>
  <c r="V205" i="16" s="1"/>
  <c r="X205" i="16" s="1"/>
  <c r="Z205" i="16" s="1"/>
  <c r="AB205" i="16" s="1"/>
  <c r="AD205" i="16" s="1"/>
  <c r="AF205" i="16" s="1"/>
  <c r="AH205" i="16" s="1"/>
  <c r="AJ205" i="16" s="1"/>
  <c r="F51" i="27"/>
  <c r="I51" i="27" s="1"/>
  <c r="L51" i="27" s="1"/>
  <c r="F24" i="27"/>
  <c r="F25" i="27"/>
  <c r="L33" i="27"/>
  <c r="K33" i="27"/>
  <c r="L32" i="27"/>
  <c r="K32" i="27"/>
  <c r="F53" i="27"/>
  <c r="I53" i="27" s="1"/>
  <c r="L11" i="27"/>
  <c r="N11" i="27" s="1"/>
  <c r="I11" i="27"/>
  <c r="T31" i="27"/>
  <c r="S31" i="27"/>
  <c r="T56" i="27"/>
  <c r="S56" i="27"/>
  <c r="T54" i="27"/>
  <c r="S54" i="27"/>
  <c r="T30" i="27"/>
  <c r="S30" i="27"/>
  <c r="F50" i="27"/>
  <c r="I50" i="27" s="1"/>
  <c r="I8" i="27"/>
  <c r="F49" i="27"/>
  <c r="I49" i="27" s="1"/>
  <c r="F38" i="27"/>
  <c r="I38" i="27" s="1"/>
  <c r="L8" i="27"/>
  <c r="N8" i="27" s="1"/>
  <c r="F7" i="27"/>
  <c r="F35" i="27"/>
  <c r="I35" i="27" s="1"/>
  <c r="I9" i="27"/>
  <c r="L9" i="27"/>
  <c r="N9" i="27" s="1"/>
  <c r="T81" i="27"/>
  <c r="S81" i="27"/>
  <c r="AA89" i="27"/>
  <c r="AA88" i="27"/>
  <c r="AA87" i="27"/>
  <c r="AA86" i="27"/>
  <c r="AA85" i="27"/>
  <c r="AA79" i="27"/>
  <c r="AA78" i="27"/>
  <c r="AA77" i="27"/>
  <c r="AA74" i="27"/>
  <c r="AA73" i="27"/>
  <c r="AA71" i="27"/>
  <c r="AA70" i="27"/>
  <c r="AA69" i="27"/>
  <c r="AA68" i="27"/>
  <c r="AA67" i="27"/>
  <c r="AA66" i="27"/>
  <c r="AA65" i="27"/>
  <c r="AA64" i="27"/>
  <c r="AA72" i="27"/>
  <c r="AA57" i="27"/>
  <c r="AA53" i="27"/>
  <c r="AA55" i="27"/>
  <c r="AA63" i="27"/>
  <c r="AA54" i="27"/>
  <c r="AA52" i="27"/>
  <c r="AA49" i="27"/>
  <c r="AA50" i="27"/>
  <c r="AA46" i="27"/>
  <c r="AA42" i="27"/>
  <c r="AA51" i="27"/>
  <c r="AA47" i="27"/>
  <c r="AA48" i="27"/>
  <c r="AA38" i="27"/>
  <c r="AA34" i="27"/>
  <c r="AC27" i="27"/>
  <c r="AA45" i="27"/>
  <c r="AA32" i="27"/>
  <c r="AA28" i="27"/>
  <c r="AA44" i="27"/>
  <c r="AA43" i="27"/>
  <c r="AA41" i="27"/>
  <c r="AA40" i="27"/>
  <c r="AA33" i="27"/>
  <c r="AA29" i="27"/>
  <c r="AA39" i="27"/>
  <c r="AA35" i="27"/>
  <c r="L10" i="27"/>
  <c r="N10" i="27" s="1"/>
  <c r="I10" i="27"/>
  <c r="F52" i="27"/>
  <c r="I52" i="27" s="1"/>
  <c r="T59" i="27"/>
  <c r="S59" i="27"/>
  <c r="T36" i="27"/>
  <c r="S36" i="27"/>
  <c r="B2" i="16"/>
  <c r="B6" i="16"/>
  <c r="K51" i="27" l="1"/>
  <c r="K209" i="16"/>
  <c r="F209" i="16"/>
  <c r="H210" i="16"/>
  <c r="P207" i="16"/>
  <c r="N208" i="16"/>
  <c r="M208" i="16"/>
  <c r="R206" i="16"/>
  <c r="T206" i="16" s="1"/>
  <c r="V206" i="16" s="1"/>
  <c r="X206" i="16" s="1"/>
  <c r="Z206" i="16" s="1"/>
  <c r="AB206" i="16" s="1"/>
  <c r="AD206" i="16" s="1"/>
  <c r="AF206" i="16" s="1"/>
  <c r="AH206" i="16" s="1"/>
  <c r="AJ206" i="16" s="1"/>
  <c r="L35" i="27"/>
  <c r="K35" i="27"/>
  <c r="L49" i="27"/>
  <c r="K49" i="27"/>
  <c r="N33" i="27"/>
  <c r="M33" i="27"/>
  <c r="L52" i="27"/>
  <c r="K52" i="27"/>
  <c r="L50" i="27"/>
  <c r="K50" i="27"/>
  <c r="V30" i="27"/>
  <c r="U30" i="27"/>
  <c r="N32" i="27"/>
  <c r="M32" i="27"/>
  <c r="AC85" i="27"/>
  <c r="AC79" i="27"/>
  <c r="AC78" i="27"/>
  <c r="AC77" i="27"/>
  <c r="AC74" i="27"/>
  <c r="AC73" i="27"/>
  <c r="AC72" i="27"/>
  <c r="AC89" i="27"/>
  <c r="AC88" i="27"/>
  <c r="AC87" i="27"/>
  <c r="AC86" i="27"/>
  <c r="AC70" i="27"/>
  <c r="AC69" i="27"/>
  <c r="AC68" i="27"/>
  <c r="AC67" i="27"/>
  <c r="AC64" i="27"/>
  <c r="AC63" i="27"/>
  <c r="AC58" i="27"/>
  <c r="AC71" i="27"/>
  <c r="AC55" i="27"/>
  <c r="AC66" i="27"/>
  <c r="AC57" i="27"/>
  <c r="AC65" i="27"/>
  <c r="AC51" i="27"/>
  <c r="AC47" i="27"/>
  <c r="AC48" i="27"/>
  <c r="AC44" i="27"/>
  <c r="AC40" i="27"/>
  <c r="AC53" i="27"/>
  <c r="AC52" i="27"/>
  <c r="AC49" i="27"/>
  <c r="AC45" i="27"/>
  <c r="AC32" i="27"/>
  <c r="AC28" i="27"/>
  <c r="AC54" i="27"/>
  <c r="AC43" i="27"/>
  <c r="AC38" i="27"/>
  <c r="AC34" i="27"/>
  <c r="AC50" i="27"/>
  <c r="AC46" i="27"/>
  <c r="AC39" i="27"/>
  <c r="AC35" i="27"/>
  <c r="AC33" i="27"/>
  <c r="AC29" i="27"/>
  <c r="AC42" i="27"/>
  <c r="AC41" i="27"/>
  <c r="AE27" i="27"/>
  <c r="L23" i="27"/>
  <c r="N23" i="27" s="1"/>
  <c r="I23" i="27"/>
  <c r="V31" i="27"/>
  <c r="U31" i="27"/>
  <c r="V59" i="27"/>
  <c r="U59" i="27"/>
  <c r="L38" i="27"/>
  <c r="K38" i="27"/>
  <c r="V54" i="27"/>
  <c r="U54" i="27"/>
  <c r="V81" i="27"/>
  <c r="U81" i="27"/>
  <c r="L53" i="27"/>
  <c r="K53" i="27"/>
  <c r="V36" i="27"/>
  <c r="U36" i="27"/>
  <c r="L7" i="27"/>
  <c r="N7" i="27" s="1"/>
  <c r="I7" i="27"/>
  <c r="F29" i="27"/>
  <c r="I29" i="27" s="1"/>
  <c r="F47" i="27"/>
  <c r="I47" i="27" s="1"/>
  <c r="V56" i="27"/>
  <c r="U56" i="27"/>
  <c r="N51" i="27"/>
  <c r="M51" i="27"/>
  <c r="R207" i="16" l="1"/>
  <c r="T207" i="16" s="1"/>
  <c r="V207" i="16" s="1"/>
  <c r="X207" i="16" s="1"/>
  <c r="Z207" i="16" s="1"/>
  <c r="AB207" i="16" s="1"/>
  <c r="AD207" i="16" s="1"/>
  <c r="AF207" i="16" s="1"/>
  <c r="AH207" i="16" s="1"/>
  <c r="AJ207" i="16" s="1"/>
  <c r="M209" i="16"/>
  <c r="N209" i="16"/>
  <c r="P208" i="16"/>
  <c r="H211" i="16"/>
  <c r="K210" i="16"/>
  <c r="F210" i="16"/>
  <c r="P51" i="27"/>
  <c r="O51" i="27"/>
  <c r="L29" i="27"/>
  <c r="K29" i="27"/>
  <c r="N53" i="27"/>
  <c r="M53" i="27"/>
  <c r="N50" i="27"/>
  <c r="M50" i="27"/>
  <c r="N52" i="27"/>
  <c r="M52" i="27"/>
  <c r="N49" i="27"/>
  <c r="M49" i="27"/>
  <c r="X56" i="27"/>
  <c r="W56" i="27"/>
  <c r="X36" i="27"/>
  <c r="W36" i="27"/>
  <c r="X54" i="27"/>
  <c r="W54" i="27"/>
  <c r="L24" i="27"/>
  <c r="N24" i="27" s="1"/>
  <c r="I24" i="27"/>
  <c r="AE89" i="27"/>
  <c r="AE88" i="27"/>
  <c r="AE87" i="27"/>
  <c r="AE86" i="27"/>
  <c r="AE85" i="27"/>
  <c r="AE79" i="27"/>
  <c r="AE78" i="27"/>
  <c r="AE77" i="27"/>
  <c r="AE74" i="27"/>
  <c r="AE73" i="27"/>
  <c r="AE71" i="27"/>
  <c r="AE70" i="27"/>
  <c r="AE69" i="27"/>
  <c r="AE68" i="27"/>
  <c r="AE67" i="27"/>
  <c r="AE66" i="27"/>
  <c r="AE65" i="27"/>
  <c r="AE64" i="27"/>
  <c r="AE61" i="27"/>
  <c r="AE60" i="27"/>
  <c r="AE57" i="27"/>
  <c r="AE53" i="27"/>
  <c r="AE72" i="27"/>
  <c r="AE63" i="27"/>
  <c r="AE59" i="27"/>
  <c r="AE55" i="27"/>
  <c r="AE58" i="27"/>
  <c r="AE49" i="27"/>
  <c r="AE52" i="27"/>
  <c r="AE50" i="27"/>
  <c r="AE46" i="27"/>
  <c r="AE42" i="27"/>
  <c r="AE54" i="27"/>
  <c r="AE51" i="27"/>
  <c r="AE47" i="27"/>
  <c r="AE45" i="27"/>
  <c r="AE44" i="27"/>
  <c r="AE43" i="27"/>
  <c r="AE41" i="27"/>
  <c r="AE40" i="27"/>
  <c r="AE38" i="27"/>
  <c r="AE34" i="27"/>
  <c r="AE36" i="27"/>
  <c r="AE32" i="27"/>
  <c r="AE28" i="27"/>
  <c r="AG27" i="27"/>
  <c r="AE48" i="27"/>
  <c r="AE37" i="27"/>
  <c r="AE33" i="27"/>
  <c r="AE29" i="27"/>
  <c r="AE39" i="27"/>
  <c r="AE35" i="27"/>
  <c r="X81" i="27"/>
  <c r="W81" i="27"/>
  <c r="X59" i="27"/>
  <c r="W59" i="27"/>
  <c r="X31" i="27"/>
  <c r="W31" i="27"/>
  <c r="I25" i="27"/>
  <c r="L25" i="27"/>
  <c r="N25" i="27" s="1"/>
  <c r="P32" i="27"/>
  <c r="O32" i="27"/>
  <c r="X30" i="27"/>
  <c r="W30" i="27"/>
  <c r="P33" i="27"/>
  <c r="O33" i="27"/>
  <c r="N35" i="27"/>
  <c r="M35" i="27"/>
  <c r="L47" i="27"/>
  <c r="K47" i="27"/>
  <c r="N38" i="27"/>
  <c r="M38" i="27"/>
  <c r="D4" i="26"/>
  <c r="F136" i="26"/>
  <c r="F135" i="26"/>
  <c r="AL133" i="26"/>
  <c r="AL132" i="26"/>
  <c r="AL131" i="26"/>
  <c r="AL125" i="26"/>
  <c r="AL123" i="26"/>
  <c r="AL120" i="26"/>
  <c r="AL119" i="26"/>
  <c r="AL118" i="26"/>
  <c r="AL111" i="26"/>
  <c r="F94" i="26"/>
  <c r="D91" i="26"/>
  <c r="D90" i="26" s="1"/>
  <c r="C90" i="26"/>
  <c r="F88" i="26"/>
  <c r="K88" i="26" s="1"/>
  <c r="N88" i="26" s="1"/>
  <c r="P88" i="26" s="1"/>
  <c r="R88" i="26" s="1"/>
  <c r="T88" i="26" s="1"/>
  <c r="V88" i="26" s="1"/>
  <c r="X88" i="26" s="1"/>
  <c r="Z88" i="26" s="1"/>
  <c r="AB88" i="26" s="1"/>
  <c r="AD88" i="26" s="1"/>
  <c r="AF88" i="26" s="1"/>
  <c r="AH88" i="26" s="1"/>
  <c r="AJ88" i="26" s="1"/>
  <c r="F87" i="26"/>
  <c r="K87" i="26" s="1"/>
  <c r="N87" i="26" s="1"/>
  <c r="P87" i="26" s="1"/>
  <c r="R87" i="26" s="1"/>
  <c r="T87" i="26" s="1"/>
  <c r="V87" i="26" s="1"/>
  <c r="X87" i="26" s="1"/>
  <c r="Z87" i="26" s="1"/>
  <c r="AB87" i="26" s="1"/>
  <c r="AD87" i="26" s="1"/>
  <c r="AF87" i="26" s="1"/>
  <c r="AH87" i="26" s="1"/>
  <c r="AJ87" i="26" s="1"/>
  <c r="F86" i="26"/>
  <c r="K86" i="26" s="1"/>
  <c r="N86" i="26" s="1"/>
  <c r="P86" i="26" s="1"/>
  <c r="R86" i="26" s="1"/>
  <c r="T86" i="26" s="1"/>
  <c r="V86" i="26" s="1"/>
  <c r="X86" i="26" s="1"/>
  <c r="Z86" i="26" s="1"/>
  <c r="AB86" i="26" s="1"/>
  <c r="AD86" i="26" s="1"/>
  <c r="AF86" i="26" s="1"/>
  <c r="AH86" i="26" s="1"/>
  <c r="AJ86" i="26" s="1"/>
  <c r="L85" i="26"/>
  <c r="K84" i="26"/>
  <c r="N84" i="26" s="1"/>
  <c r="P84" i="26" s="1"/>
  <c r="R84" i="26" s="1"/>
  <c r="T84" i="26" s="1"/>
  <c r="V84" i="26" s="1"/>
  <c r="X84" i="26" s="1"/>
  <c r="Z84" i="26" s="1"/>
  <c r="AB84" i="26" s="1"/>
  <c r="AD84" i="26" s="1"/>
  <c r="AF84" i="26" s="1"/>
  <c r="AH84" i="26" s="1"/>
  <c r="AJ84" i="26" s="1"/>
  <c r="F79" i="26"/>
  <c r="K79" i="26" s="1"/>
  <c r="N79" i="26" s="1"/>
  <c r="P79" i="26" s="1"/>
  <c r="R79" i="26" s="1"/>
  <c r="T79" i="26" s="1"/>
  <c r="V79" i="26" s="1"/>
  <c r="X79" i="26" s="1"/>
  <c r="Z79" i="26" s="1"/>
  <c r="AB79" i="26" s="1"/>
  <c r="AD79" i="26" s="1"/>
  <c r="AF79" i="26" s="1"/>
  <c r="AH79" i="26" s="1"/>
  <c r="AJ79" i="26" s="1"/>
  <c r="F78" i="26"/>
  <c r="K78" i="26" s="1"/>
  <c r="N78" i="26" s="1"/>
  <c r="P78" i="26" s="1"/>
  <c r="R78" i="26" s="1"/>
  <c r="T78" i="26" s="1"/>
  <c r="V78" i="26" s="1"/>
  <c r="X78" i="26" s="1"/>
  <c r="Z78" i="26" s="1"/>
  <c r="AB78" i="26" s="1"/>
  <c r="AD78" i="26" s="1"/>
  <c r="AF78" i="26" s="1"/>
  <c r="AH78" i="26" s="1"/>
  <c r="AJ78" i="26" s="1"/>
  <c r="F77" i="26"/>
  <c r="K77" i="26" s="1"/>
  <c r="N77" i="26" s="1"/>
  <c r="P77" i="26" s="1"/>
  <c r="R77" i="26" s="1"/>
  <c r="T77" i="26" s="1"/>
  <c r="V77" i="26" s="1"/>
  <c r="X77" i="26" s="1"/>
  <c r="Z77" i="26" s="1"/>
  <c r="AB77" i="26" s="1"/>
  <c r="AD77" i="26" s="1"/>
  <c r="AF77" i="26" s="1"/>
  <c r="AH77" i="26" s="1"/>
  <c r="AJ77" i="26" s="1"/>
  <c r="C70" i="26"/>
  <c r="C69" i="26"/>
  <c r="B69" i="26"/>
  <c r="D68" i="26"/>
  <c r="C68" i="26"/>
  <c r="B68" i="26"/>
  <c r="C67" i="26"/>
  <c r="B67" i="26"/>
  <c r="C66" i="26"/>
  <c r="B66" i="26"/>
  <c r="D65" i="26"/>
  <c r="C65" i="26"/>
  <c r="B65" i="26"/>
  <c r="C64" i="26"/>
  <c r="B64" i="26"/>
  <c r="D63" i="26"/>
  <c r="C63" i="26"/>
  <c r="B63" i="26"/>
  <c r="D62" i="26"/>
  <c r="C62" i="26"/>
  <c r="B62" i="26"/>
  <c r="C61" i="26"/>
  <c r="B61" i="26"/>
  <c r="C60" i="26"/>
  <c r="B60" i="26"/>
  <c r="C59" i="26"/>
  <c r="B59" i="26"/>
  <c r="C58" i="26"/>
  <c r="B58" i="26"/>
  <c r="D57" i="26"/>
  <c r="C57" i="26"/>
  <c r="B57" i="26"/>
  <c r="D56" i="26"/>
  <c r="C56" i="26"/>
  <c r="B56" i="26"/>
  <c r="D55" i="26"/>
  <c r="C55" i="26"/>
  <c r="B55" i="26"/>
  <c r="D54" i="26"/>
  <c r="C54" i="26"/>
  <c r="B54" i="26"/>
  <c r="C53" i="26"/>
  <c r="B53" i="26"/>
  <c r="D52" i="26"/>
  <c r="C52" i="26"/>
  <c r="B52" i="26"/>
  <c r="D51" i="26"/>
  <c r="C51" i="26"/>
  <c r="B51" i="26"/>
  <c r="C50" i="26"/>
  <c r="B50" i="26"/>
  <c r="C49" i="26"/>
  <c r="B49" i="26"/>
  <c r="C48" i="26"/>
  <c r="B48" i="26"/>
  <c r="C47" i="26"/>
  <c r="B47" i="26"/>
  <c r="C46" i="26"/>
  <c r="B46" i="26"/>
  <c r="C45" i="26"/>
  <c r="B45" i="26"/>
  <c r="C44" i="26"/>
  <c r="B44" i="26"/>
  <c r="C43" i="26"/>
  <c r="B43" i="26"/>
  <c r="D42" i="26"/>
  <c r="C42" i="26"/>
  <c r="B42" i="26"/>
  <c r="C41" i="26"/>
  <c r="B41" i="26"/>
  <c r="D40" i="26"/>
  <c r="C40" i="26"/>
  <c r="B40" i="26"/>
  <c r="D39" i="26"/>
  <c r="C39" i="26"/>
  <c r="B39" i="26"/>
  <c r="C38" i="26"/>
  <c r="B38" i="26"/>
  <c r="D37" i="26"/>
  <c r="C37" i="26"/>
  <c r="B37" i="26"/>
  <c r="D36" i="26"/>
  <c r="C36" i="26"/>
  <c r="B36" i="26"/>
  <c r="D35" i="26"/>
  <c r="C35" i="26"/>
  <c r="B35" i="26"/>
  <c r="D34" i="26"/>
  <c r="C34" i="26"/>
  <c r="B34" i="26"/>
  <c r="D33" i="26"/>
  <c r="C33" i="26"/>
  <c r="B33" i="26"/>
  <c r="D32" i="26"/>
  <c r="F76" i="26" s="1"/>
  <c r="K76" i="26" s="1"/>
  <c r="N76" i="26" s="1"/>
  <c r="P76" i="26" s="1"/>
  <c r="R76" i="26" s="1"/>
  <c r="T76" i="26" s="1"/>
  <c r="V76" i="26" s="1"/>
  <c r="X76" i="26" s="1"/>
  <c r="Z76" i="26" s="1"/>
  <c r="AB76" i="26" s="1"/>
  <c r="AD76" i="26" s="1"/>
  <c r="AF76" i="26" s="1"/>
  <c r="AH76" i="26" s="1"/>
  <c r="AJ76" i="26" s="1"/>
  <c r="C32" i="26"/>
  <c r="B32" i="26"/>
  <c r="O31" i="26"/>
  <c r="L31" i="26"/>
  <c r="K31" i="26"/>
  <c r="J31" i="26"/>
  <c r="M78" i="26" s="1"/>
  <c r="C31" i="26"/>
  <c r="E30" i="26"/>
  <c r="C30" i="26"/>
  <c r="B30" i="26"/>
  <c r="E29" i="26"/>
  <c r="C29" i="26"/>
  <c r="B29" i="26"/>
  <c r="E28" i="26"/>
  <c r="C28" i="26"/>
  <c r="B28" i="26"/>
  <c r="E27" i="26"/>
  <c r="C27" i="26"/>
  <c r="B27" i="26"/>
  <c r="E26" i="26"/>
  <c r="C26" i="26"/>
  <c r="B26" i="26"/>
  <c r="E25" i="26"/>
  <c r="C25" i="26"/>
  <c r="E24" i="26"/>
  <c r="C24" i="26"/>
  <c r="B24" i="26"/>
  <c r="E23" i="26"/>
  <c r="C23" i="26"/>
  <c r="B23" i="26"/>
  <c r="E22" i="26"/>
  <c r="C22" i="26"/>
  <c r="B22" i="26"/>
  <c r="L21" i="26"/>
  <c r="C21" i="26"/>
  <c r="B21" i="26"/>
  <c r="L20" i="26"/>
  <c r="C20" i="26"/>
  <c r="B20" i="26"/>
  <c r="L19" i="26"/>
  <c r="C19" i="26"/>
  <c r="B19" i="26"/>
  <c r="L18" i="26"/>
  <c r="C18" i="26"/>
  <c r="B18" i="26"/>
  <c r="L17" i="26"/>
  <c r="C17" i="26"/>
  <c r="B17" i="26"/>
  <c r="L16" i="26"/>
  <c r="B16" i="26"/>
  <c r="L15" i="26"/>
  <c r="C15" i="26"/>
  <c r="B15" i="26"/>
  <c r="L14" i="26"/>
  <c r="C14" i="26"/>
  <c r="B14" i="26"/>
  <c r="L13" i="26"/>
  <c r="C13" i="26"/>
  <c r="B13" i="26"/>
  <c r="L12" i="26"/>
  <c r="C12" i="26"/>
  <c r="B12" i="26"/>
  <c r="L11" i="26"/>
  <c r="C11" i="26"/>
  <c r="B11" i="26"/>
  <c r="L10" i="26"/>
  <c r="C10" i="26"/>
  <c r="B10" i="26"/>
  <c r="L9" i="26"/>
  <c r="C9" i="26"/>
  <c r="B9" i="26"/>
  <c r="L8" i="26"/>
  <c r="C8" i="26"/>
  <c r="B8" i="26"/>
  <c r="L7" i="26"/>
  <c r="C7" i="26"/>
  <c r="B7" i="26"/>
  <c r="L6" i="26"/>
  <c r="C6" i="26"/>
  <c r="B6" i="26"/>
  <c r="L5" i="26"/>
  <c r="C5" i="26"/>
  <c r="B5" i="26"/>
  <c r="L4" i="26"/>
  <c r="C4" i="26"/>
  <c r="B4" i="26"/>
  <c r="L3" i="26"/>
  <c r="C3" i="26"/>
  <c r="B3" i="26"/>
  <c r="R2" i="26"/>
  <c r="M2" i="26"/>
  <c r="C2" i="26"/>
  <c r="B2" i="26"/>
  <c r="C1" i="26"/>
  <c r="D60" i="26" l="1"/>
  <c r="R208" i="16"/>
  <c r="T208" i="16" s="1"/>
  <c r="V208" i="16" s="1"/>
  <c r="X208" i="16" s="1"/>
  <c r="Z208" i="16" s="1"/>
  <c r="AB208" i="16" s="1"/>
  <c r="AD208" i="16" s="1"/>
  <c r="AF208" i="16" s="1"/>
  <c r="AH208" i="16" s="1"/>
  <c r="AJ208" i="16" s="1"/>
  <c r="P209" i="16"/>
  <c r="H212" i="16"/>
  <c r="K211" i="16"/>
  <c r="F211" i="16"/>
  <c r="M210" i="16"/>
  <c r="N210" i="16"/>
  <c r="F72" i="26"/>
  <c r="K72" i="26" s="1"/>
  <c r="N72" i="26" s="1"/>
  <c r="P72" i="26" s="1"/>
  <c r="R72" i="26" s="1"/>
  <c r="T72" i="26" s="1"/>
  <c r="V72" i="26" s="1"/>
  <c r="X72" i="26" s="1"/>
  <c r="Z72" i="26" s="1"/>
  <c r="AB72" i="26" s="1"/>
  <c r="AD72" i="26" s="1"/>
  <c r="AF72" i="26" s="1"/>
  <c r="AH72" i="26" s="1"/>
  <c r="AJ72" i="26" s="1"/>
  <c r="F74" i="26"/>
  <c r="K74" i="26" s="1"/>
  <c r="N74" i="26" s="1"/>
  <c r="P74" i="26" s="1"/>
  <c r="R74" i="26" s="1"/>
  <c r="T74" i="26" s="1"/>
  <c r="V74" i="26" s="1"/>
  <c r="X74" i="26" s="1"/>
  <c r="Z74" i="26" s="1"/>
  <c r="AB74" i="26" s="1"/>
  <c r="AD74" i="26" s="1"/>
  <c r="AF74" i="26" s="1"/>
  <c r="AH74" i="26" s="1"/>
  <c r="AJ74" i="26" s="1"/>
  <c r="R33" i="27"/>
  <c r="Q33" i="27"/>
  <c r="P38" i="27"/>
  <c r="O38" i="27"/>
  <c r="Z31" i="27"/>
  <c r="Y31" i="27"/>
  <c r="Z81" i="27"/>
  <c r="Y81" i="27"/>
  <c r="P53" i="27"/>
  <c r="O53" i="27"/>
  <c r="R51" i="27"/>
  <c r="Q51" i="27"/>
  <c r="Z30" i="27"/>
  <c r="Y30" i="27"/>
  <c r="Z36" i="27"/>
  <c r="Y36" i="27"/>
  <c r="P49" i="27"/>
  <c r="O49" i="27"/>
  <c r="N47" i="27"/>
  <c r="M47" i="27"/>
  <c r="P35" i="27"/>
  <c r="O35" i="27"/>
  <c r="R32" i="27"/>
  <c r="Q32" i="27"/>
  <c r="AG85" i="27"/>
  <c r="AG79" i="27"/>
  <c r="AG78" i="27"/>
  <c r="AG77" i="27"/>
  <c r="AG74" i="27"/>
  <c r="AG73" i="27"/>
  <c r="AG72" i="27"/>
  <c r="AG89" i="27"/>
  <c r="AG88" i="27"/>
  <c r="AG87" i="27"/>
  <c r="AG86" i="27"/>
  <c r="AG71" i="27"/>
  <c r="AG65" i="27"/>
  <c r="AG58" i="27"/>
  <c r="AG63" i="27"/>
  <c r="AG59" i="27"/>
  <c r="AG55" i="27"/>
  <c r="AG70" i="27"/>
  <c r="AG69" i="27"/>
  <c r="AG68" i="27"/>
  <c r="AG67" i="27"/>
  <c r="AG57" i="27"/>
  <c r="AG61" i="27"/>
  <c r="AG51" i="27"/>
  <c r="AG47" i="27"/>
  <c r="AG66" i="27"/>
  <c r="AG54" i="27"/>
  <c r="AG48" i="27"/>
  <c r="AG44" i="27"/>
  <c r="AG40" i="27"/>
  <c r="AG49" i="27"/>
  <c r="AG45" i="27"/>
  <c r="AG36" i="27"/>
  <c r="AG32" i="27"/>
  <c r="AG28" i="27"/>
  <c r="AG64" i="27"/>
  <c r="AG60" i="27"/>
  <c r="AG56" i="27"/>
  <c r="AG50" i="27"/>
  <c r="AG46" i="27"/>
  <c r="AG42" i="27"/>
  <c r="AG41" i="27"/>
  <c r="AG38" i="27"/>
  <c r="AG34" i="27"/>
  <c r="AG53" i="27"/>
  <c r="AG52" i="27"/>
  <c r="AG43" i="27"/>
  <c r="AG39" i="27"/>
  <c r="AG35" i="27"/>
  <c r="AI27" i="27"/>
  <c r="AG37" i="27"/>
  <c r="AG33" i="27"/>
  <c r="AG29" i="27"/>
  <c r="Z54" i="27"/>
  <c r="AB54" i="27" s="1"/>
  <c r="AD54" i="27" s="1"/>
  <c r="AF54" i="27" s="1"/>
  <c r="AH54" i="27" s="1"/>
  <c r="Y54" i="27"/>
  <c r="P52" i="27"/>
  <c r="O52" i="27"/>
  <c r="P50" i="27"/>
  <c r="O50" i="27"/>
  <c r="Z56" i="27"/>
  <c r="Y56" i="27"/>
  <c r="Z59" i="27"/>
  <c r="Y59" i="27"/>
  <c r="N29" i="27"/>
  <c r="M29" i="27"/>
  <c r="O88" i="26"/>
  <c r="O84" i="26"/>
  <c r="O79" i="26"/>
  <c r="O86" i="26"/>
  <c r="O78" i="26"/>
  <c r="O87" i="26"/>
  <c r="O74" i="26"/>
  <c r="O76" i="26"/>
  <c r="O77" i="26"/>
  <c r="M86" i="26"/>
  <c r="M77" i="26"/>
  <c r="M79" i="26"/>
  <c r="M88" i="26"/>
  <c r="M84" i="26"/>
  <c r="M87" i="26"/>
  <c r="Q31" i="26"/>
  <c r="D58" i="26"/>
  <c r="M74" i="26"/>
  <c r="M76" i="26"/>
  <c r="F81" i="26"/>
  <c r="K81" i="26" s="1"/>
  <c r="N81" i="26" s="1"/>
  <c r="P81" i="26" s="1"/>
  <c r="R81" i="26" s="1"/>
  <c r="T81" i="26" s="1"/>
  <c r="V81" i="26" s="1"/>
  <c r="X81" i="26" s="1"/>
  <c r="Z81" i="26" s="1"/>
  <c r="AB81" i="26" s="1"/>
  <c r="AD81" i="26" s="1"/>
  <c r="AF81" i="26" s="1"/>
  <c r="AH81" i="26" s="1"/>
  <c r="AJ81" i="26" s="1"/>
  <c r="F73" i="26"/>
  <c r="K73" i="26" s="1"/>
  <c r="N73" i="26" s="1"/>
  <c r="P73" i="26" s="1"/>
  <c r="R73" i="26" s="1"/>
  <c r="T73" i="26" s="1"/>
  <c r="V73" i="26" s="1"/>
  <c r="X73" i="26" s="1"/>
  <c r="Z73" i="26" s="1"/>
  <c r="AB73" i="26" s="1"/>
  <c r="AD73" i="26" s="1"/>
  <c r="AF73" i="26" s="1"/>
  <c r="AH73" i="26" s="1"/>
  <c r="AJ73" i="26" s="1"/>
  <c r="F75" i="26"/>
  <c r="K75" i="26" s="1"/>
  <c r="N75" i="26" s="1"/>
  <c r="P75" i="26" s="1"/>
  <c r="R75" i="26" s="1"/>
  <c r="T75" i="26" s="1"/>
  <c r="V75" i="26" s="1"/>
  <c r="X75" i="26" s="1"/>
  <c r="Z75" i="26" s="1"/>
  <c r="AB75" i="26" s="1"/>
  <c r="AD75" i="26" s="1"/>
  <c r="AF75" i="26" s="1"/>
  <c r="AH75" i="26" s="1"/>
  <c r="AJ75" i="26" s="1"/>
  <c r="F32" i="26"/>
  <c r="K32" i="26" s="1"/>
  <c r="F80" i="26"/>
  <c r="K80" i="26" s="1"/>
  <c r="N80" i="26" s="1"/>
  <c r="P80" i="26" s="1"/>
  <c r="R80" i="26" s="1"/>
  <c r="T80" i="26" s="1"/>
  <c r="V80" i="26" s="1"/>
  <c r="X80" i="26" s="1"/>
  <c r="Z80" i="26" s="1"/>
  <c r="AB80" i="26" s="1"/>
  <c r="AD80" i="26" s="1"/>
  <c r="AF80" i="26" s="1"/>
  <c r="AH80" i="26" s="1"/>
  <c r="AJ80" i="26" s="1"/>
  <c r="F82" i="26"/>
  <c r="K82" i="26" s="1"/>
  <c r="N82" i="26" s="1"/>
  <c r="P82" i="26" s="1"/>
  <c r="R82" i="26" s="1"/>
  <c r="T82" i="26" s="1"/>
  <c r="V82" i="26" s="1"/>
  <c r="X82" i="26" s="1"/>
  <c r="Z82" i="26" s="1"/>
  <c r="AB82" i="26" s="1"/>
  <c r="AD82" i="26" s="1"/>
  <c r="AF82" i="26" s="1"/>
  <c r="AH82" i="26" s="1"/>
  <c r="AJ82" i="26" s="1"/>
  <c r="F83" i="26"/>
  <c r="K83" i="26" s="1"/>
  <c r="N83" i="26" s="1"/>
  <c r="P83" i="26" s="1"/>
  <c r="R83" i="26" s="1"/>
  <c r="T83" i="26" s="1"/>
  <c r="V83" i="26" s="1"/>
  <c r="X83" i="26" s="1"/>
  <c r="Z83" i="26" s="1"/>
  <c r="AB83" i="26" s="1"/>
  <c r="AD83" i="26" s="1"/>
  <c r="AF83" i="26" s="1"/>
  <c r="AH83" i="26" s="1"/>
  <c r="AJ83" i="26" s="1"/>
  <c r="D61" i="26"/>
  <c r="F85" i="26" l="1"/>
  <c r="K85" i="26" s="1"/>
  <c r="N85" i="26" s="1"/>
  <c r="P85" i="26" s="1"/>
  <c r="R85" i="26" s="1"/>
  <c r="T85" i="26" s="1"/>
  <c r="V85" i="26" s="1"/>
  <c r="X85" i="26" s="1"/>
  <c r="Z85" i="26" s="1"/>
  <c r="AB85" i="26" s="1"/>
  <c r="AD85" i="26" s="1"/>
  <c r="AF85" i="26" s="1"/>
  <c r="AH85" i="26" s="1"/>
  <c r="AJ85" i="26" s="1"/>
  <c r="N211" i="16"/>
  <c r="M211" i="16"/>
  <c r="H213" i="16"/>
  <c r="F212" i="16"/>
  <c r="K212" i="16"/>
  <c r="R209" i="16"/>
  <c r="T209" i="16" s="1"/>
  <c r="V209" i="16" s="1"/>
  <c r="X209" i="16" s="1"/>
  <c r="Z209" i="16" s="1"/>
  <c r="AB209" i="16" s="1"/>
  <c r="AD209" i="16" s="1"/>
  <c r="AF209" i="16" s="1"/>
  <c r="AH209" i="16" s="1"/>
  <c r="AJ209" i="16" s="1"/>
  <c r="P210" i="16"/>
  <c r="M73" i="26"/>
  <c r="O81" i="26"/>
  <c r="O72" i="26"/>
  <c r="O73" i="26"/>
  <c r="O80" i="26"/>
  <c r="M80" i="26"/>
  <c r="M82" i="26"/>
  <c r="M81" i="26"/>
  <c r="O75" i="26"/>
  <c r="R53" i="27"/>
  <c r="Q53" i="27"/>
  <c r="T33" i="27"/>
  <c r="S33" i="27"/>
  <c r="AB59" i="27"/>
  <c r="AA59" i="27"/>
  <c r="R52" i="27"/>
  <c r="Q52" i="27"/>
  <c r="T32" i="27"/>
  <c r="S32" i="27"/>
  <c r="R35" i="27"/>
  <c r="Q35" i="27"/>
  <c r="R49" i="27"/>
  <c r="Q49" i="27"/>
  <c r="AB31" i="27"/>
  <c r="AA31" i="27"/>
  <c r="R38" i="27"/>
  <c r="Q38" i="27"/>
  <c r="AB56" i="27"/>
  <c r="AA56" i="27"/>
  <c r="AB30" i="27"/>
  <c r="AA30" i="27"/>
  <c r="T51" i="27"/>
  <c r="V51" i="27" s="1"/>
  <c r="X51" i="27" s="1"/>
  <c r="Z51" i="27" s="1"/>
  <c r="AB51" i="27" s="1"/>
  <c r="AD51" i="27" s="1"/>
  <c r="AF51" i="27" s="1"/>
  <c r="AH51" i="27" s="1"/>
  <c r="S51" i="27"/>
  <c r="P29" i="27"/>
  <c r="O29" i="27"/>
  <c r="R50" i="27"/>
  <c r="Q50" i="27"/>
  <c r="AI89" i="27"/>
  <c r="AI88" i="27"/>
  <c r="AI87" i="27"/>
  <c r="AI86" i="27"/>
  <c r="AI85" i="27"/>
  <c r="AI79" i="27"/>
  <c r="G79" i="27" s="1"/>
  <c r="AI78" i="27"/>
  <c r="G78" i="27" s="1"/>
  <c r="AI77" i="27"/>
  <c r="G77" i="27" s="1"/>
  <c r="AI74" i="27"/>
  <c r="G74" i="27" s="1"/>
  <c r="AI73" i="27"/>
  <c r="G73" i="27" s="1"/>
  <c r="AI72" i="27"/>
  <c r="G72" i="27" s="1"/>
  <c r="AI71" i="27"/>
  <c r="G71" i="27" s="1"/>
  <c r="AI70" i="27"/>
  <c r="G70" i="27" s="1"/>
  <c r="AI69" i="27"/>
  <c r="G69" i="27" s="1"/>
  <c r="AI68" i="27"/>
  <c r="G68" i="27" s="1"/>
  <c r="AI67" i="27"/>
  <c r="G67" i="27" s="1"/>
  <c r="AI66" i="27"/>
  <c r="G66" i="27" s="1"/>
  <c r="AI65" i="27"/>
  <c r="G65" i="27" s="1"/>
  <c r="AI64" i="27"/>
  <c r="G64" i="27" s="1"/>
  <c r="AI63" i="27"/>
  <c r="G63" i="27" s="1"/>
  <c r="AI60" i="27"/>
  <c r="AI56" i="27"/>
  <c r="AI61" i="27"/>
  <c r="AI57" i="27"/>
  <c r="AI53" i="27"/>
  <c r="AI59" i="27"/>
  <c r="AI55" i="27"/>
  <c r="AI54" i="27"/>
  <c r="G54" i="27" s="1"/>
  <c r="AI49" i="27"/>
  <c r="AI50" i="27"/>
  <c r="AI46" i="27"/>
  <c r="G46" i="27" s="1"/>
  <c r="AI42" i="27"/>
  <c r="AI52" i="27"/>
  <c r="AI51" i="27"/>
  <c r="AI47" i="27"/>
  <c r="AI58" i="27"/>
  <c r="AI38" i="27"/>
  <c r="AI34" i="27"/>
  <c r="AI48" i="27"/>
  <c r="AI45" i="27"/>
  <c r="AI36" i="27"/>
  <c r="AI32" i="27"/>
  <c r="AI28" i="27"/>
  <c r="G28" i="27" s="1"/>
  <c r="AI37" i="27"/>
  <c r="AI33" i="27"/>
  <c r="AI29" i="27"/>
  <c r="AI41" i="27"/>
  <c r="AI44" i="27"/>
  <c r="AI40" i="27"/>
  <c r="AI43" i="27"/>
  <c r="AI39" i="27"/>
  <c r="AI35" i="27"/>
  <c r="P47" i="27"/>
  <c r="O47" i="27"/>
  <c r="AB36" i="27"/>
  <c r="AA36" i="27"/>
  <c r="AB81" i="27"/>
  <c r="AA81" i="27"/>
  <c r="Q86" i="26"/>
  <c r="Q81" i="26"/>
  <c r="Q77" i="26"/>
  <c r="Q73" i="26"/>
  <c r="Q87" i="26"/>
  <c r="Q76" i="26"/>
  <c r="Q74" i="26"/>
  <c r="Q72" i="26"/>
  <c r="Q85" i="26"/>
  <c r="Q83" i="26"/>
  <c r="Q79" i="26"/>
  <c r="Q82" i="26"/>
  <c r="Q78" i="26"/>
  <c r="Q80" i="26"/>
  <c r="Q84" i="26"/>
  <c r="Q88" i="26"/>
  <c r="Q75" i="26"/>
  <c r="S31" i="26"/>
  <c r="M83" i="26"/>
  <c r="O82" i="26"/>
  <c r="O83" i="26"/>
  <c r="M72" i="26"/>
  <c r="M75" i="26"/>
  <c r="M85" i="26"/>
  <c r="N32" i="26"/>
  <c r="H32" i="26"/>
  <c r="M32" i="26"/>
  <c r="F4" i="26"/>
  <c r="D28" i="26"/>
  <c r="F28" i="26" s="1"/>
  <c r="D22" i="26"/>
  <c r="F22" i="26" s="1"/>
  <c r="O85" i="26" l="1"/>
  <c r="N212" i="16"/>
  <c r="M212" i="16"/>
  <c r="K213" i="16"/>
  <c r="H214" i="16"/>
  <c r="F213" i="16"/>
  <c r="R210" i="16"/>
  <c r="T210" i="16" s="1"/>
  <c r="V210" i="16" s="1"/>
  <c r="X210" i="16" s="1"/>
  <c r="Z210" i="16" s="1"/>
  <c r="AB210" i="16" s="1"/>
  <c r="AD210" i="16" s="1"/>
  <c r="AF210" i="16" s="1"/>
  <c r="AH210" i="16" s="1"/>
  <c r="AJ210" i="16" s="1"/>
  <c r="P211" i="16"/>
  <c r="AD81" i="27"/>
  <c r="AC81" i="27"/>
  <c r="R47" i="27"/>
  <c r="Q47" i="27"/>
  <c r="T38" i="27"/>
  <c r="S38" i="27"/>
  <c r="T49" i="27"/>
  <c r="S49" i="27"/>
  <c r="V32" i="27"/>
  <c r="U32" i="27"/>
  <c r="T52" i="27"/>
  <c r="V52" i="27" s="1"/>
  <c r="X52" i="27" s="1"/>
  <c r="Z52" i="27" s="1"/>
  <c r="AB52" i="27" s="1"/>
  <c r="AD52" i="27" s="1"/>
  <c r="AF52" i="27" s="1"/>
  <c r="AH52" i="27" s="1"/>
  <c r="S52" i="27"/>
  <c r="G52" i="27" s="1"/>
  <c r="AD59" i="27"/>
  <c r="AF59" i="27" s="1"/>
  <c r="AH59" i="27" s="1"/>
  <c r="AC59" i="27"/>
  <c r="G59" i="27" s="1"/>
  <c r="V33" i="27"/>
  <c r="U33" i="27"/>
  <c r="AD36" i="27"/>
  <c r="AF36" i="27" s="1"/>
  <c r="AH36" i="27" s="1"/>
  <c r="AC36" i="27"/>
  <c r="G36" i="27" s="1"/>
  <c r="T50" i="27"/>
  <c r="V50" i="27" s="1"/>
  <c r="X50" i="27" s="1"/>
  <c r="Z50" i="27" s="1"/>
  <c r="AB50" i="27" s="1"/>
  <c r="AD50" i="27" s="1"/>
  <c r="AF50" i="27" s="1"/>
  <c r="AH50" i="27" s="1"/>
  <c r="S50" i="27"/>
  <c r="G50" i="27" s="1"/>
  <c r="R29" i="27"/>
  <c r="Q29" i="27"/>
  <c r="AD30" i="27"/>
  <c r="AC30" i="27"/>
  <c r="AD56" i="27"/>
  <c r="AC56" i="27"/>
  <c r="AD31" i="27"/>
  <c r="AC31" i="27"/>
  <c r="T35" i="27"/>
  <c r="S35" i="27"/>
  <c r="G51" i="27"/>
  <c r="T53" i="27"/>
  <c r="S53" i="27"/>
  <c r="N28" i="26"/>
  <c r="P28" i="26" s="1"/>
  <c r="K28" i="26"/>
  <c r="S88" i="26"/>
  <c r="S84" i="26"/>
  <c r="S83" i="26"/>
  <c r="S79" i="26"/>
  <c r="S75" i="26"/>
  <c r="S85" i="26"/>
  <c r="S81" i="26"/>
  <c r="S77" i="26"/>
  <c r="U31" i="26"/>
  <c r="S86" i="26"/>
  <c r="S82" i="26"/>
  <c r="S78" i="26"/>
  <c r="S73" i="26"/>
  <c r="S87" i="26"/>
  <c r="S76" i="26"/>
  <c r="S80" i="26"/>
  <c r="S74" i="26"/>
  <c r="S72" i="26"/>
  <c r="P32" i="26"/>
  <c r="O32" i="26"/>
  <c r="F93" i="26"/>
  <c r="K93" i="26" s="1"/>
  <c r="D94" i="26"/>
  <c r="K22" i="26"/>
  <c r="N22" i="26"/>
  <c r="P22" i="26" s="1"/>
  <c r="N4" i="26"/>
  <c r="P4" i="26" s="1"/>
  <c r="K4" i="26"/>
  <c r="D64" i="1"/>
  <c r="F214" i="16" l="1"/>
  <c r="H215" i="16"/>
  <c r="K214" i="16"/>
  <c r="N213" i="16"/>
  <c r="M213" i="16"/>
  <c r="R211" i="16"/>
  <c r="T211" i="16" s="1"/>
  <c r="V211" i="16" s="1"/>
  <c r="X211" i="16" s="1"/>
  <c r="Z211" i="16" s="1"/>
  <c r="AB211" i="16" s="1"/>
  <c r="AD211" i="16" s="1"/>
  <c r="AF211" i="16" s="1"/>
  <c r="AH211" i="16" s="1"/>
  <c r="AJ211" i="16" s="1"/>
  <c r="P212" i="16"/>
  <c r="D59" i="28"/>
  <c r="F59" i="28" s="1"/>
  <c r="H59" i="28" s="1"/>
  <c r="I59" i="28" s="1"/>
  <c r="D55" i="27"/>
  <c r="F55" i="27" s="1"/>
  <c r="I55" i="27" s="1"/>
  <c r="D64" i="26"/>
  <c r="V49" i="27"/>
  <c r="U49" i="27"/>
  <c r="X33" i="27"/>
  <c r="Z33" i="27" s="1"/>
  <c r="AB33" i="27" s="1"/>
  <c r="AD33" i="27" s="1"/>
  <c r="AF33" i="27" s="1"/>
  <c r="AH33" i="27" s="1"/>
  <c r="W33" i="27"/>
  <c r="G33" i="27" s="1"/>
  <c r="T47" i="27"/>
  <c r="S47" i="27"/>
  <c r="AF31" i="27"/>
  <c r="AE31" i="27"/>
  <c r="AF56" i="27"/>
  <c r="AH56" i="27" s="1"/>
  <c r="AE56" i="27"/>
  <c r="G56" i="27" s="1"/>
  <c r="T29" i="27"/>
  <c r="S29" i="27"/>
  <c r="X32" i="27"/>
  <c r="W32" i="27"/>
  <c r="V38" i="27"/>
  <c r="U38" i="27"/>
  <c r="AF81" i="27"/>
  <c r="AE81" i="27"/>
  <c r="V35" i="27"/>
  <c r="U35" i="27"/>
  <c r="AF30" i="27"/>
  <c r="AE30" i="27"/>
  <c r="V53" i="27"/>
  <c r="U53" i="27"/>
  <c r="N93" i="26"/>
  <c r="M93" i="26"/>
  <c r="R32" i="26"/>
  <c r="Q32" i="26"/>
  <c r="U86" i="26"/>
  <c r="U81" i="26"/>
  <c r="U77" i="26"/>
  <c r="U73" i="26"/>
  <c r="U84" i="26"/>
  <c r="U82" i="26"/>
  <c r="U80" i="26"/>
  <c r="U78" i="26"/>
  <c r="U87" i="26"/>
  <c r="U76" i="26"/>
  <c r="U74" i="26"/>
  <c r="U72" i="26"/>
  <c r="U88" i="26"/>
  <c r="U85" i="26"/>
  <c r="U75" i="26"/>
  <c r="W31" i="26"/>
  <c r="U79" i="26"/>
  <c r="U83" i="26"/>
  <c r="D36" i="24"/>
  <c r="N2" i="24" s="1"/>
  <c r="D12" i="24" s="1"/>
  <c r="F215" i="16" l="1"/>
  <c r="K215" i="16"/>
  <c r="H216" i="16"/>
  <c r="P213" i="16"/>
  <c r="N214" i="16"/>
  <c r="M214" i="16"/>
  <c r="R212" i="16"/>
  <c r="T212" i="16" s="1"/>
  <c r="V212" i="16" s="1"/>
  <c r="X212" i="16" s="1"/>
  <c r="Z212" i="16" s="1"/>
  <c r="AB212" i="16" s="1"/>
  <c r="AD212" i="16" s="1"/>
  <c r="AF212" i="16" s="1"/>
  <c r="AH212" i="16" s="1"/>
  <c r="AJ212" i="16" s="1"/>
  <c r="K55" i="27"/>
  <c r="L55" i="27"/>
  <c r="X35" i="27"/>
  <c r="W35" i="27"/>
  <c r="X38" i="27"/>
  <c r="W38" i="27"/>
  <c r="X53" i="27"/>
  <c r="Z53" i="27" s="1"/>
  <c r="AB53" i="27" s="1"/>
  <c r="AD53" i="27" s="1"/>
  <c r="AF53" i="27" s="1"/>
  <c r="AH53" i="27" s="1"/>
  <c r="W53" i="27"/>
  <c r="G53" i="27" s="1"/>
  <c r="V47" i="27"/>
  <c r="U47" i="27"/>
  <c r="X49" i="27"/>
  <c r="Z49" i="27" s="1"/>
  <c r="AB49" i="27" s="1"/>
  <c r="AD49" i="27" s="1"/>
  <c r="AF49" i="27" s="1"/>
  <c r="AH49" i="27" s="1"/>
  <c r="W49" i="27"/>
  <c r="G49" i="27" s="1"/>
  <c r="AH30" i="27"/>
  <c r="AI30" i="27" s="1"/>
  <c r="AG30" i="27"/>
  <c r="AH81" i="27"/>
  <c r="AI81" i="27" s="1"/>
  <c r="AG81" i="27"/>
  <c r="Z32" i="27"/>
  <c r="AB32" i="27" s="1"/>
  <c r="AD32" i="27" s="1"/>
  <c r="AF32" i="27" s="1"/>
  <c r="AH32" i="27" s="1"/>
  <c r="Y32" i="27"/>
  <c r="G32" i="27" s="1"/>
  <c r="V29" i="27"/>
  <c r="U29" i="27"/>
  <c r="AH31" i="27"/>
  <c r="AI31" i="27" s="1"/>
  <c r="AG31" i="27"/>
  <c r="W88" i="26"/>
  <c r="W84" i="26"/>
  <c r="W83" i="26"/>
  <c r="W79" i="26"/>
  <c r="W75" i="26"/>
  <c r="W55" i="26"/>
  <c r="W76" i="26"/>
  <c r="W72" i="26"/>
  <c r="W56" i="26"/>
  <c r="W85" i="26"/>
  <c r="W81" i="26"/>
  <c r="W77" i="26"/>
  <c r="W53" i="26"/>
  <c r="W82" i="26"/>
  <c r="W80" i="26"/>
  <c r="W74" i="26"/>
  <c r="W86" i="26"/>
  <c r="W73" i="26"/>
  <c r="W57" i="26"/>
  <c r="W87" i="26"/>
  <c r="W78" i="26"/>
  <c r="Y31" i="26"/>
  <c r="T32" i="26"/>
  <c r="S32" i="26"/>
  <c r="P93" i="26"/>
  <c r="O93" i="26"/>
  <c r="D58" i="24"/>
  <c r="R213" i="16" l="1"/>
  <c r="T213" i="16" s="1"/>
  <c r="V213" i="16" s="1"/>
  <c r="X213" i="16" s="1"/>
  <c r="Z213" i="16" s="1"/>
  <c r="AB213" i="16" s="1"/>
  <c r="AD213" i="16" s="1"/>
  <c r="AF213" i="16" s="1"/>
  <c r="AH213" i="16" s="1"/>
  <c r="AJ213" i="16" s="1"/>
  <c r="P214" i="16"/>
  <c r="K216" i="16"/>
  <c r="F216" i="16"/>
  <c r="H217" i="16"/>
  <c r="M215" i="16"/>
  <c r="N215" i="16"/>
  <c r="M55" i="27"/>
  <c r="N55" i="27"/>
  <c r="G81" i="27"/>
  <c r="G30" i="27"/>
  <c r="G31" i="27"/>
  <c r="X29" i="27"/>
  <c r="W29" i="27"/>
  <c r="Z35" i="27"/>
  <c r="AB35" i="27" s="1"/>
  <c r="AD35" i="27" s="1"/>
  <c r="AF35" i="27" s="1"/>
  <c r="AH35" i="27" s="1"/>
  <c r="Y35" i="27"/>
  <c r="G35" i="27" s="1"/>
  <c r="Z38" i="27"/>
  <c r="AB38" i="27" s="1"/>
  <c r="AD38" i="27" s="1"/>
  <c r="AF38" i="27" s="1"/>
  <c r="AH38" i="27" s="1"/>
  <c r="Y38" i="27"/>
  <c r="G38" i="27" s="1"/>
  <c r="X47" i="27"/>
  <c r="Z47" i="27" s="1"/>
  <c r="AB47" i="27" s="1"/>
  <c r="AD47" i="27" s="1"/>
  <c r="AF47" i="27" s="1"/>
  <c r="AH47" i="27" s="1"/>
  <c r="W47" i="27"/>
  <c r="G47" i="27" s="1"/>
  <c r="V32" i="26"/>
  <c r="U32" i="26"/>
  <c r="R93" i="26"/>
  <c r="Q93" i="26"/>
  <c r="Y86" i="26"/>
  <c r="Y81" i="26"/>
  <c r="Y77" i="26"/>
  <c r="Y73" i="26"/>
  <c r="Y57" i="26"/>
  <c r="Y53" i="26"/>
  <c r="Y88" i="26"/>
  <c r="Y75" i="26"/>
  <c r="Y55" i="26"/>
  <c r="Y47" i="26"/>
  <c r="Y84" i="26"/>
  <c r="Y82" i="26"/>
  <c r="Y80" i="26"/>
  <c r="Y78" i="26"/>
  <c r="Y83" i="26"/>
  <c r="Y72" i="26"/>
  <c r="Y56" i="26"/>
  <c r="Y48" i="26"/>
  <c r="Y87" i="26"/>
  <c r="Y85" i="26"/>
  <c r="Y76" i="26"/>
  <c r="Y79" i="26"/>
  <c r="Y74" i="26"/>
  <c r="Y45" i="26"/>
  <c r="Y44" i="26"/>
  <c r="Y46" i="26"/>
  <c r="AA31" i="26"/>
  <c r="N216" i="16" l="1"/>
  <c r="M216" i="16"/>
  <c r="P215" i="16"/>
  <c r="R214" i="16"/>
  <c r="T214" i="16" s="1"/>
  <c r="V214" i="16" s="1"/>
  <c r="X214" i="16" s="1"/>
  <c r="Z214" i="16" s="1"/>
  <c r="AB214" i="16" s="1"/>
  <c r="AD214" i="16" s="1"/>
  <c r="AF214" i="16" s="1"/>
  <c r="AH214" i="16" s="1"/>
  <c r="AJ214" i="16" s="1"/>
  <c r="F217" i="16"/>
  <c r="K217" i="16"/>
  <c r="H218" i="16"/>
  <c r="P55" i="27"/>
  <c r="O55" i="27"/>
  <c r="Z29" i="27"/>
  <c r="AB29" i="27" s="1"/>
  <c r="AD29" i="27" s="1"/>
  <c r="AF29" i="27" s="1"/>
  <c r="AH29" i="27" s="1"/>
  <c r="Y29" i="27"/>
  <c r="G29" i="27" s="1"/>
  <c r="AA99" i="26"/>
  <c r="AA98" i="26"/>
  <c r="AA97" i="26"/>
  <c r="AA88" i="26"/>
  <c r="AA84" i="26"/>
  <c r="AA83" i="26"/>
  <c r="AA79" i="26"/>
  <c r="AA75" i="26"/>
  <c r="AA55" i="26"/>
  <c r="AA100" i="26"/>
  <c r="AA87" i="26"/>
  <c r="AA80" i="26"/>
  <c r="AA74" i="26"/>
  <c r="AA54" i="26"/>
  <c r="AA51" i="26"/>
  <c r="AA45" i="26"/>
  <c r="AC31" i="26"/>
  <c r="AA76" i="26"/>
  <c r="AA72" i="26"/>
  <c r="AA61" i="26"/>
  <c r="AA56" i="26"/>
  <c r="AA50" i="26"/>
  <c r="AA48" i="26"/>
  <c r="AA77" i="26"/>
  <c r="AA60" i="26"/>
  <c r="AA52" i="26"/>
  <c r="AA47" i="26"/>
  <c r="AA85" i="26"/>
  <c r="AA73" i="26"/>
  <c r="AA82" i="26"/>
  <c r="AA78" i="26"/>
  <c r="AA81" i="26"/>
  <c r="AA57" i="26"/>
  <c r="AA46" i="26"/>
  <c r="AA86" i="26"/>
  <c r="AA53" i="26"/>
  <c r="AA44" i="26"/>
  <c r="X32" i="26"/>
  <c r="W32" i="26"/>
  <c r="T93" i="26"/>
  <c r="S93" i="26"/>
  <c r="B36" i="24"/>
  <c r="P216" i="16" l="1"/>
  <c r="R215" i="16"/>
  <c r="T215" i="16" s="1"/>
  <c r="V215" i="16" s="1"/>
  <c r="X215" i="16" s="1"/>
  <c r="Z215" i="16" s="1"/>
  <c r="AB215" i="16" s="1"/>
  <c r="AD215" i="16" s="1"/>
  <c r="AF215" i="16" s="1"/>
  <c r="AH215" i="16" s="1"/>
  <c r="AJ215" i="16" s="1"/>
  <c r="H219" i="16"/>
  <c r="K218" i="16"/>
  <c r="F218" i="16"/>
  <c r="M217" i="16"/>
  <c r="N217" i="16"/>
  <c r="R55" i="27"/>
  <c r="Q55" i="27"/>
  <c r="V93" i="26"/>
  <c r="U93" i="26"/>
  <c r="Z32" i="26"/>
  <c r="Y32" i="26"/>
  <c r="AC100" i="26"/>
  <c r="AC98" i="26"/>
  <c r="AC99" i="26"/>
  <c r="AC103" i="26"/>
  <c r="AC93" i="26"/>
  <c r="AC97" i="26"/>
  <c r="AC86" i="26"/>
  <c r="AC81" i="26"/>
  <c r="AC77" i="26"/>
  <c r="AC73" i="26"/>
  <c r="AC61" i="26"/>
  <c r="AC57" i="26"/>
  <c r="AC53" i="26"/>
  <c r="AC52" i="26"/>
  <c r="AC85" i="26"/>
  <c r="AC83" i="26"/>
  <c r="AC79" i="26"/>
  <c r="AC63" i="26"/>
  <c r="AC47" i="26"/>
  <c r="AC88" i="26"/>
  <c r="AC75" i="26"/>
  <c r="AC66" i="26"/>
  <c r="AC60" i="26"/>
  <c r="AC55" i="26"/>
  <c r="AC78" i="26"/>
  <c r="AC74" i="26"/>
  <c r="AC50" i="26"/>
  <c r="AC46" i="26"/>
  <c r="AC44" i="26"/>
  <c r="AC82" i="26"/>
  <c r="AC76" i="26"/>
  <c r="AC72" i="26"/>
  <c r="AC65" i="26"/>
  <c r="AC56" i="26"/>
  <c r="AC51" i="26"/>
  <c r="AC48" i="26"/>
  <c r="AC45" i="26"/>
  <c r="AC87" i="26"/>
  <c r="AC84" i="26"/>
  <c r="AC92" i="26"/>
  <c r="AC54" i="26"/>
  <c r="AE31" i="26"/>
  <c r="AC80" i="26"/>
  <c r="L86" i="9"/>
  <c r="L85" i="8"/>
  <c r="L85" i="24"/>
  <c r="L85" i="7"/>
  <c r="N218" i="16" l="1"/>
  <c r="M218" i="16"/>
  <c r="F219" i="16"/>
  <c r="H220" i="16"/>
  <c r="K219" i="16"/>
  <c r="R216" i="16"/>
  <c r="T216" i="16" s="1"/>
  <c r="V216" i="16" s="1"/>
  <c r="X216" i="16" s="1"/>
  <c r="Z216" i="16" s="1"/>
  <c r="AB216" i="16" s="1"/>
  <c r="AD216" i="16" s="1"/>
  <c r="AF216" i="16" s="1"/>
  <c r="AH216" i="16" s="1"/>
  <c r="AJ216" i="16" s="1"/>
  <c r="P217" i="16"/>
  <c r="T55" i="27"/>
  <c r="S55" i="27"/>
  <c r="AB32" i="26"/>
  <c r="AA32" i="26"/>
  <c r="X93" i="26"/>
  <c r="W93" i="26"/>
  <c r="AE103" i="26"/>
  <c r="AE99" i="26"/>
  <c r="AE100" i="26"/>
  <c r="AE97" i="26"/>
  <c r="AE98" i="26"/>
  <c r="AE88" i="26"/>
  <c r="AE84" i="26"/>
  <c r="AE83" i="26"/>
  <c r="AE79" i="26"/>
  <c r="AE75" i="26"/>
  <c r="AE67" i="26"/>
  <c r="AE66" i="26"/>
  <c r="AE65" i="26"/>
  <c r="AE63" i="26"/>
  <c r="AE55" i="26"/>
  <c r="AE86" i="26"/>
  <c r="AE82" i="26"/>
  <c r="AE78" i="26"/>
  <c r="AE73" i="26"/>
  <c r="AE60" i="26"/>
  <c r="AE57" i="26"/>
  <c r="AE45" i="26"/>
  <c r="AE87" i="26"/>
  <c r="AE80" i="26"/>
  <c r="AE74" i="26"/>
  <c r="AE54" i="26"/>
  <c r="AE51" i="26"/>
  <c r="AE48" i="26"/>
  <c r="AE93" i="26"/>
  <c r="AE76" i="26"/>
  <c r="AE53" i="26"/>
  <c r="AE92" i="26"/>
  <c r="AE81" i="26"/>
  <c r="AE46" i="26"/>
  <c r="AE85" i="26"/>
  <c r="AE72" i="26"/>
  <c r="AE61" i="26"/>
  <c r="AE50" i="26"/>
  <c r="AE47" i="26"/>
  <c r="AG31" i="26"/>
  <c r="AE52" i="26"/>
  <c r="AE77" i="26"/>
  <c r="AE44" i="26"/>
  <c r="AE56" i="26"/>
  <c r="L67" i="9"/>
  <c r="F220" i="16" l="1"/>
  <c r="H221" i="16"/>
  <c r="K220" i="16"/>
  <c r="P218" i="16"/>
  <c r="N219" i="16"/>
  <c r="M219" i="16"/>
  <c r="R217" i="16"/>
  <c r="T217" i="16" s="1"/>
  <c r="V217" i="16" s="1"/>
  <c r="X217" i="16" s="1"/>
  <c r="Z217" i="16" s="1"/>
  <c r="AB217" i="16" s="1"/>
  <c r="AD217" i="16" s="1"/>
  <c r="AF217" i="16" s="1"/>
  <c r="AH217" i="16" s="1"/>
  <c r="AJ217" i="16" s="1"/>
  <c r="V55" i="27"/>
  <c r="U55" i="27"/>
  <c r="L84" i="26"/>
  <c r="L80" i="26"/>
  <c r="L67" i="26"/>
  <c r="Z93" i="26"/>
  <c r="Y93" i="26"/>
  <c r="AG132" i="26"/>
  <c r="AG133" i="26"/>
  <c r="AG129" i="26"/>
  <c r="AG128" i="26"/>
  <c r="AG131" i="26"/>
  <c r="AG121" i="26"/>
  <c r="AG127" i="26"/>
  <c r="AG124" i="26"/>
  <c r="AG123" i="26"/>
  <c r="AG118" i="26"/>
  <c r="AG114" i="26"/>
  <c r="AG100" i="26"/>
  <c r="AG98" i="26"/>
  <c r="AG130" i="26"/>
  <c r="AG116" i="26"/>
  <c r="AG112" i="26"/>
  <c r="AG111" i="26"/>
  <c r="AG120" i="26"/>
  <c r="AG119" i="26"/>
  <c r="AG103" i="26"/>
  <c r="AG126" i="26"/>
  <c r="AG122" i="26"/>
  <c r="AG125" i="26"/>
  <c r="AG117" i="26"/>
  <c r="AG106" i="26"/>
  <c r="AG99" i="26"/>
  <c r="AG93" i="26"/>
  <c r="AG115" i="26"/>
  <c r="AG86" i="26"/>
  <c r="AG81" i="26"/>
  <c r="AG77" i="26"/>
  <c r="AG73" i="26"/>
  <c r="AG61" i="26"/>
  <c r="AG57" i="26"/>
  <c r="AG53" i="26"/>
  <c r="AG52" i="26"/>
  <c r="AG87" i="26"/>
  <c r="AG76" i="26"/>
  <c r="AG74" i="26"/>
  <c r="AG72" i="26"/>
  <c r="AG68" i="26"/>
  <c r="AG56" i="26"/>
  <c r="AG54" i="26"/>
  <c r="AG50" i="26"/>
  <c r="AG48" i="26"/>
  <c r="AG47" i="26"/>
  <c r="AG113" i="26"/>
  <c r="AG97" i="26"/>
  <c r="AG92" i="26"/>
  <c r="AG85" i="26"/>
  <c r="AG83" i="26"/>
  <c r="AG79" i="26"/>
  <c r="AG67" i="26"/>
  <c r="AG63" i="26"/>
  <c r="AG84" i="26"/>
  <c r="AG80" i="26"/>
  <c r="AG65" i="26"/>
  <c r="AG78" i="26"/>
  <c r="AG66" i="26"/>
  <c r="AG60" i="26"/>
  <c r="AG75" i="26"/>
  <c r="AG55" i="26"/>
  <c r="AG44" i="26"/>
  <c r="AG70" i="26"/>
  <c r="AG51" i="26"/>
  <c r="AG45" i="26"/>
  <c r="AG88" i="26"/>
  <c r="AG69" i="26"/>
  <c r="AG46" i="26"/>
  <c r="AG82" i="26"/>
  <c r="AI31" i="26"/>
  <c r="AD32" i="26"/>
  <c r="AC32" i="26"/>
  <c r="L85" i="9"/>
  <c r="K85" i="9"/>
  <c r="N85" i="9" s="1"/>
  <c r="P85" i="9" s="1"/>
  <c r="L84" i="8"/>
  <c r="K84" i="8"/>
  <c r="N84" i="8" s="1"/>
  <c r="P84" i="8" s="1"/>
  <c r="L84" i="24"/>
  <c r="K84" i="24"/>
  <c r="N84" i="24" s="1"/>
  <c r="L84" i="7"/>
  <c r="K84" i="7"/>
  <c r="N84" i="7" s="1"/>
  <c r="P84" i="7" s="1"/>
  <c r="L84" i="1"/>
  <c r="K84" i="1"/>
  <c r="M84" i="1" s="1"/>
  <c r="N220" i="16" l="1"/>
  <c r="M220" i="16"/>
  <c r="F221" i="16"/>
  <c r="K221" i="16"/>
  <c r="H222" i="16"/>
  <c r="P219" i="16"/>
  <c r="R218" i="16"/>
  <c r="T218" i="16" s="1"/>
  <c r="V218" i="16" s="1"/>
  <c r="X218" i="16" s="1"/>
  <c r="Z218" i="16" s="1"/>
  <c r="AB218" i="16" s="1"/>
  <c r="AD218" i="16" s="1"/>
  <c r="AF218" i="16" s="1"/>
  <c r="AH218" i="16" s="1"/>
  <c r="AJ218" i="16" s="1"/>
  <c r="X55" i="27"/>
  <c r="W55" i="27"/>
  <c r="AI131" i="26"/>
  <c r="AI127" i="26"/>
  <c r="AI125" i="26"/>
  <c r="AI123" i="26"/>
  <c r="AI132" i="26"/>
  <c r="AI130" i="26"/>
  <c r="AI133" i="26"/>
  <c r="AI129" i="26"/>
  <c r="AI128" i="26"/>
  <c r="AI126" i="26"/>
  <c r="AI122" i="26"/>
  <c r="AI120" i="26"/>
  <c r="AI116" i="26"/>
  <c r="AI112" i="26"/>
  <c r="AI103" i="26"/>
  <c r="AI99" i="26"/>
  <c r="AI124" i="26"/>
  <c r="AI119" i="26"/>
  <c r="AI115" i="26"/>
  <c r="AI117" i="26"/>
  <c r="AI113" i="26"/>
  <c r="AI97" i="26"/>
  <c r="AI121" i="26"/>
  <c r="AI118" i="26"/>
  <c r="AI93" i="26"/>
  <c r="AI88" i="26"/>
  <c r="AI84" i="26"/>
  <c r="AI83" i="26"/>
  <c r="AI79" i="26"/>
  <c r="AI75" i="26"/>
  <c r="AI69" i="26"/>
  <c r="AI68" i="26"/>
  <c r="AI67" i="26"/>
  <c r="AI66" i="26"/>
  <c r="AI65" i="26"/>
  <c r="AI64" i="26"/>
  <c r="AI63" i="26"/>
  <c r="AI59" i="26"/>
  <c r="AI55" i="26"/>
  <c r="AI49" i="26"/>
  <c r="AI114" i="26"/>
  <c r="AI106" i="26"/>
  <c r="AI92" i="26"/>
  <c r="AI85" i="26"/>
  <c r="AI81" i="26"/>
  <c r="AI77" i="26"/>
  <c r="AI53" i="26"/>
  <c r="AI52" i="26"/>
  <c r="AI45" i="26"/>
  <c r="AI41" i="26"/>
  <c r="AI37" i="26"/>
  <c r="AI33" i="26"/>
  <c r="AK31" i="26"/>
  <c r="AI100" i="26"/>
  <c r="AI98" i="26"/>
  <c r="AI86" i="26"/>
  <c r="AI82" i="26"/>
  <c r="AI78" i="26"/>
  <c r="AI73" i="26"/>
  <c r="AI70" i="26"/>
  <c r="AI62" i="26"/>
  <c r="AI60" i="26"/>
  <c r="AI57" i="26"/>
  <c r="AI51" i="26"/>
  <c r="AI46" i="26"/>
  <c r="AI74" i="26"/>
  <c r="AI61" i="26"/>
  <c r="AI43" i="26"/>
  <c r="AI39" i="26"/>
  <c r="AI80" i="26"/>
  <c r="AI111" i="26"/>
  <c r="AI58" i="26"/>
  <c r="AI76" i="26"/>
  <c r="AI72" i="26"/>
  <c r="AI87" i="26"/>
  <c r="AI47" i="26"/>
  <c r="AI50" i="26"/>
  <c r="AI44" i="26"/>
  <c r="AI36" i="26"/>
  <c r="AI56" i="26"/>
  <c r="AI54" i="26"/>
  <c r="AI42" i="26"/>
  <c r="AI40" i="26"/>
  <c r="AI38" i="26"/>
  <c r="AI32" i="26"/>
  <c r="AI48" i="26"/>
  <c r="AF32" i="26"/>
  <c r="AE32" i="26"/>
  <c r="AB93" i="26"/>
  <c r="AD93" i="26" s="1"/>
  <c r="AF93" i="26" s="1"/>
  <c r="AH93" i="26" s="1"/>
  <c r="AJ93" i="26" s="1"/>
  <c r="AA93" i="26"/>
  <c r="R85" i="9"/>
  <c r="R84" i="8"/>
  <c r="P84" i="24"/>
  <c r="R84" i="7"/>
  <c r="N84" i="1"/>
  <c r="D43" i="9"/>
  <c r="C43" i="9"/>
  <c r="B43" i="9"/>
  <c r="C43" i="8"/>
  <c r="B43" i="8"/>
  <c r="C43" i="24"/>
  <c r="B43" i="24"/>
  <c r="C43" i="7"/>
  <c r="B43" i="7"/>
  <c r="AH32" i="26" l="1"/>
  <c r="AJ32" i="26" s="1"/>
  <c r="AG32" i="26"/>
  <c r="R219" i="16"/>
  <c r="T219" i="16" s="1"/>
  <c r="V219" i="16" s="1"/>
  <c r="X219" i="16" s="1"/>
  <c r="Z219" i="16" s="1"/>
  <c r="AB219" i="16" s="1"/>
  <c r="AD219" i="16" s="1"/>
  <c r="AF219" i="16" s="1"/>
  <c r="AH219" i="16" s="1"/>
  <c r="AJ219" i="16" s="1"/>
  <c r="K222" i="16"/>
  <c r="F222" i="16"/>
  <c r="H223" i="16"/>
  <c r="N221" i="16"/>
  <c r="M221" i="16"/>
  <c r="P220" i="16"/>
  <c r="Z55" i="27"/>
  <c r="AB55" i="27" s="1"/>
  <c r="AD55" i="27" s="1"/>
  <c r="AF55" i="27" s="1"/>
  <c r="AH55" i="27" s="1"/>
  <c r="Y55" i="27"/>
  <c r="G55" i="27" s="1"/>
  <c r="D43" i="8"/>
  <c r="D43" i="26"/>
  <c r="AK132" i="26"/>
  <c r="AK133" i="26"/>
  <c r="AK129" i="26"/>
  <c r="AK128" i="26"/>
  <c r="AK131" i="26"/>
  <c r="AK130" i="26"/>
  <c r="AK126" i="26"/>
  <c r="AK125" i="26"/>
  <c r="AK122" i="26"/>
  <c r="AK121" i="26"/>
  <c r="AK118" i="26"/>
  <c r="AK114" i="26"/>
  <c r="AK100" i="26"/>
  <c r="AK98" i="26"/>
  <c r="AK127" i="26"/>
  <c r="AK123" i="26"/>
  <c r="AK116" i="26"/>
  <c r="AK112" i="26"/>
  <c r="AK111" i="26"/>
  <c r="AK124" i="26"/>
  <c r="AK119" i="26"/>
  <c r="AK113" i="26"/>
  <c r="AK120" i="26"/>
  <c r="AK93" i="26"/>
  <c r="G93" i="26" s="1"/>
  <c r="AK97" i="26"/>
  <c r="AK92" i="26"/>
  <c r="AK86" i="26"/>
  <c r="G86" i="26" s="1"/>
  <c r="AK81" i="26"/>
  <c r="G81" i="26" s="1"/>
  <c r="AK77" i="26"/>
  <c r="G77" i="26" s="1"/>
  <c r="AK73" i="26"/>
  <c r="G73" i="26" s="1"/>
  <c r="AK61" i="26"/>
  <c r="AK57" i="26"/>
  <c r="AK53" i="26"/>
  <c r="AK52" i="26"/>
  <c r="AK84" i="26"/>
  <c r="G84" i="26" s="1"/>
  <c r="AK82" i="26"/>
  <c r="G82" i="26" s="1"/>
  <c r="AK80" i="26"/>
  <c r="G80" i="26" s="1"/>
  <c r="AK78" i="26"/>
  <c r="G78" i="26" s="1"/>
  <c r="AK70" i="26"/>
  <c r="AK69" i="26"/>
  <c r="AK65" i="26"/>
  <c r="AK62" i="26"/>
  <c r="AK51" i="26"/>
  <c r="AK47" i="26"/>
  <c r="AK43" i="26"/>
  <c r="AK39" i="26"/>
  <c r="AK117" i="26"/>
  <c r="AK103" i="26"/>
  <c r="AK87" i="26"/>
  <c r="G87" i="26" s="1"/>
  <c r="AK76" i="26"/>
  <c r="G76" i="26" s="1"/>
  <c r="AK74" i="26"/>
  <c r="G74" i="26" s="1"/>
  <c r="AK72" i="26"/>
  <c r="G72" i="26" s="1"/>
  <c r="AK68" i="26"/>
  <c r="AK64" i="26"/>
  <c r="AK59" i="26"/>
  <c r="AK56" i="26"/>
  <c r="AK54" i="26"/>
  <c r="AK50" i="26"/>
  <c r="AK48" i="26"/>
  <c r="AK106" i="26"/>
  <c r="AK99" i="26"/>
  <c r="AK60" i="26"/>
  <c r="AK58" i="26"/>
  <c r="AK55" i="26"/>
  <c r="AK45" i="26"/>
  <c r="AK88" i="26"/>
  <c r="G88" i="26" s="1"/>
  <c r="AK75" i="26"/>
  <c r="G75" i="26" s="1"/>
  <c r="AK46" i="26"/>
  <c r="AK44" i="26"/>
  <c r="AK38" i="26"/>
  <c r="AK36" i="26"/>
  <c r="AK85" i="26"/>
  <c r="G85" i="26" s="1"/>
  <c r="AK83" i="26"/>
  <c r="G83" i="26" s="1"/>
  <c r="AK67" i="26"/>
  <c r="AK63" i="26"/>
  <c r="AK66" i="26"/>
  <c r="AK41" i="26"/>
  <c r="AK42" i="26"/>
  <c r="AK40" i="26"/>
  <c r="AK37" i="26"/>
  <c r="AK32" i="26"/>
  <c r="G32" i="26" s="1"/>
  <c r="AK115" i="26"/>
  <c r="AK49" i="26"/>
  <c r="AK79" i="26"/>
  <c r="G79" i="26" s="1"/>
  <c r="AK33" i="26"/>
  <c r="D43" i="7"/>
  <c r="D43" i="24"/>
  <c r="T85" i="9"/>
  <c r="T84" i="8"/>
  <c r="R84" i="24"/>
  <c r="T84" i="7"/>
  <c r="P84" i="1"/>
  <c r="D44" i="1"/>
  <c r="P221" i="16" l="1"/>
  <c r="N222" i="16"/>
  <c r="M222" i="16"/>
  <c r="F223" i="16"/>
  <c r="K223" i="16"/>
  <c r="H224" i="16"/>
  <c r="R220" i="16"/>
  <c r="T220" i="16" s="1"/>
  <c r="V220" i="16" s="1"/>
  <c r="X220" i="16" s="1"/>
  <c r="Z220" i="16" s="1"/>
  <c r="AB220" i="16" s="1"/>
  <c r="AD220" i="16" s="1"/>
  <c r="AF220" i="16" s="1"/>
  <c r="AH220" i="16" s="1"/>
  <c r="AJ220" i="16" s="1"/>
  <c r="D44" i="26"/>
  <c r="D39" i="28"/>
  <c r="F39" i="28" s="1"/>
  <c r="H39" i="28" s="1"/>
  <c r="I39" i="28" s="1"/>
  <c r="D39" i="27"/>
  <c r="F39" i="27" s="1"/>
  <c r="I39" i="27" s="1"/>
  <c r="V85" i="9"/>
  <c r="V84" i="8"/>
  <c r="T84" i="24"/>
  <c r="V84" i="7"/>
  <c r="R84" i="1"/>
  <c r="D47" i="1"/>
  <c r="P222" i="16" l="1"/>
  <c r="M223" i="16"/>
  <c r="N223" i="16"/>
  <c r="R221" i="16"/>
  <c r="T221" i="16" s="1"/>
  <c r="V221" i="16" s="1"/>
  <c r="X221" i="16" s="1"/>
  <c r="Z221" i="16" s="1"/>
  <c r="AB221" i="16" s="1"/>
  <c r="AD221" i="16" s="1"/>
  <c r="AF221" i="16" s="1"/>
  <c r="AH221" i="16" s="1"/>
  <c r="AJ221" i="16" s="1"/>
  <c r="K224" i="16"/>
  <c r="F224" i="16"/>
  <c r="H225" i="16"/>
  <c r="D47" i="26"/>
  <c r="D42" i="28"/>
  <c r="F42" i="28" s="1"/>
  <c r="D42" i="27"/>
  <c r="F42" i="27" s="1"/>
  <c r="I42" i="27" s="1"/>
  <c r="L39" i="27"/>
  <c r="K39" i="27"/>
  <c r="X85" i="9"/>
  <c r="X84" i="8"/>
  <c r="V84" i="24"/>
  <c r="X84" i="7"/>
  <c r="T84" i="1"/>
  <c r="P223" i="16" l="1"/>
  <c r="N224" i="16"/>
  <c r="M224" i="16"/>
  <c r="F225" i="16"/>
  <c r="K225" i="16"/>
  <c r="H226" i="16"/>
  <c r="R222" i="16"/>
  <c r="T222" i="16" s="1"/>
  <c r="V222" i="16" s="1"/>
  <c r="X222" i="16" s="1"/>
  <c r="Z222" i="16" s="1"/>
  <c r="AB222" i="16" s="1"/>
  <c r="AD222" i="16" s="1"/>
  <c r="AF222" i="16" s="1"/>
  <c r="AH222" i="16" s="1"/>
  <c r="AJ222" i="16" s="1"/>
  <c r="M39" i="27"/>
  <c r="N39" i="27"/>
  <c r="K42" i="27"/>
  <c r="L42" i="27"/>
  <c r="H42" i="28"/>
  <c r="I42" i="28" s="1"/>
  <c r="Z85" i="9"/>
  <c r="Z84" i="8"/>
  <c r="X84" i="24"/>
  <c r="Z84" i="7"/>
  <c r="V84" i="1"/>
  <c r="H227" i="16" l="1"/>
  <c r="K226" i="16"/>
  <c r="F226" i="16"/>
  <c r="N225" i="16"/>
  <c r="M225" i="16"/>
  <c r="P224" i="16"/>
  <c r="R223" i="16"/>
  <c r="T223" i="16" s="1"/>
  <c r="V223" i="16" s="1"/>
  <c r="X223" i="16" s="1"/>
  <c r="Z223" i="16" s="1"/>
  <c r="AB223" i="16" s="1"/>
  <c r="AD223" i="16" s="1"/>
  <c r="AF223" i="16" s="1"/>
  <c r="AH223" i="16" s="1"/>
  <c r="AJ223" i="16" s="1"/>
  <c r="N42" i="27"/>
  <c r="M42" i="27"/>
  <c r="O39" i="27"/>
  <c r="P39" i="27"/>
  <c r="AB85" i="9"/>
  <c r="AB84" i="8"/>
  <c r="Z84" i="24"/>
  <c r="AB84" i="7"/>
  <c r="X84" i="1"/>
  <c r="H123" i="24"/>
  <c r="H122" i="24"/>
  <c r="H121" i="24"/>
  <c r="H112" i="24"/>
  <c r="R224" i="16" l="1"/>
  <c r="T224" i="16" s="1"/>
  <c r="V224" i="16" s="1"/>
  <c r="X224" i="16" s="1"/>
  <c r="Z224" i="16" s="1"/>
  <c r="AB224" i="16" s="1"/>
  <c r="AD224" i="16" s="1"/>
  <c r="AF224" i="16" s="1"/>
  <c r="AH224" i="16" s="1"/>
  <c r="AJ224" i="16" s="1"/>
  <c r="N226" i="16"/>
  <c r="M226" i="16"/>
  <c r="P225" i="16"/>
  <c r="F227" i="16"/>
  <c r="H228" i="16"/>
  <c r="K227" i="16"/>
  <c r="Q39" i="27"/>
  <c r="R39" i="27"/>
  <c r="O42" i="27"/>
  <c r="P42" i="27"/>
  <c r="AD85" i="9"/>
  <c r="AD84" i="8"/>
  <c r="AB84" i="24"/>
  <c r="AD84" i="7"/>
  <c r="Z84" i="1"/>
  <c r="N227" i="16" l="1"/>
  <c r="M227" i="16"/>
  <c r="H229" i="16"/>
  <c r="F228" i="16"/>
  <c r="K228" i="16"/>
  <c r="R225" i="16"/>
  <c r="T225" i="16" s="1"/>
  <c r="V225" i="16" s="1"/>
  <c r="X225" i="16" s="1"/>
  <c r="Z225" i="16" s="1"/>
  <c r="AB225" i="16" s="1"/>
  <c r="AD225" i="16" s="1"/>
  <c r="AF225" i="16" s="1"/>
  <c r="AH225" i="16" s="1"/>
  <c r="AJ225" i="16" s="1"/>
  <c r="P226" i="16"/>
  <c r="R42" i="27"/>
  <c r="Q42" i="27"/>
  <c r="T39" i="27"/>
  <c r="V39" i="27" s="1"/>
  <c r="X39" i="27" s="1"/>
  <c r="Z39" i="27" s="1"/>
  <c r="AB39" i="27" s="1"/>
  <c r="AD39" i="27" s="1"/>
  <c r="AF39" i="27" s="1"/>
  <c r="AH39" i="27" s="1"/>
  <c r="S39" i="27"/>
  <c r="G39" i="27" s="1"/>
  <c r="AF85" i="9"/>
  <c r="AF84" i="8"/>
  <c r="AD84" i="24"/>
  <c r="AF84" i="7"/>
  <c r="AB84" i="1"/>
  <c r="F94" i="24"/>
  <c r="D91" i="24"/>
  <c r="D90" i="24"/>
  <c r="C90" i="24"/>
  <c r="F88" i="24"/>
  <c r="K88" i="24" s="1"/>
  <c r="N88" i="24" s="1"/>
  <c r="P88" i="24" s="1"/>
  <c r="R88" i="24" s="1"/>
  <c r="T88" i="24" s="1"/>
  <c r="V88" i="24" s="1"/>
  <c r="X88" i="24" s="1"/>
  <c r="Z88" i="24" s="1"/>
  <c r="AB88" i="24" s="1"/>
  <c r="AD88" i="24" s="1"/>
  <c r="AF88" i="24" s="1"/>
  <c r="AH88" i="24" s="1"/>
  <c r="AJ88" i="24" s="1"/>
  <c r="F87" i="24"/>
  <c r="K87" i="24" s="1"/>
  <c r="N87" i="24" s="1"/>
  <c r="P87" i="24" s="1"/>
  <c r="R87" i="24" s="1"/>
  <c r="T87" i="24" s="1"/>
  <c r="V87" i="24" s="1"/>
  <c r="X87" i="24" s="1"/>
  <c r="Z87" i="24" s="1"/>
  <c r="AB87" i="24" s="1"/>
  <c r="AD87" i="24" s="1"/>
  <c r="AF87" i="24" s="1"/>
  <c r="AH87" i="24" s="1"/>
  <c r="AJ87" i="24" s="1"/>
  <c r="F86" i="24"/>
  <c r="K86" i="24" s="1"/>
  <c r="N86" i="24" s="1"/>
  <c r="P86" i="24" s="1"/>
  <c r="R86" i="24" s="1"/>
  <c r="T86" i="24" s="1"/>
  <c r="V86" i="24" s="1"/>
  <c r="X86" i="24" s="1"/>
  <c r="Z86" i="24" s="1"/>
  <c r="AB86" i="24" s="1"/>
  <c r="AD86" i="24" s="1"/>
  <c r="AF86" i="24" s="1"/>
  <c r="AH86" i="24" s="1"/>
  <c r="AJ86" i="24" s="1"/>
  <c r="L80" i="24"/>
  <c r="F79" i="24"/>
  <c r="K79" i="24" s="1"/>
  <c r="N79" i="24" s="1"/>
  <c r="P79" i="24" s="1"/>
  <c r="R79" i="24" s="1"/>
  <c r="T79" i="24" s="1"/>
  <c r="V79" i="24" s="1"/>
  <c r="X79" i="24" s="1"/>
  <c r="Z79" i="24" s="1"/>
  <c r="AB79" i="24" s="1"/>
  <c r="AD79" i="24" s="1"/>
  <c r="AF79" i="24" s="1"/>
  <c r="AH79" i="24" s="1"/>
  <c r="AJ79" i="24" s="1"/>
  <c r="F78" i="24"/>
  <c r="K78" i="24" s="1"/>
  <c r="N78" i="24" s="1"/>
  <c r="P78" i="24" s="1"/>
  <c r="R78" i="24" s="1"/>
  <c r="T78" i="24" s="1"/>
  <c r="V78" i="24" s="1"/>
  <c r="X78" i="24" s="1"/>
  <c r="Z78" i="24" s="1"/>
  <c r="AB78" i="24" s="1"/>
  <c r="AD78" i="24" s="1"/>
  <c r="AF78" i="24" s="1"/>
  <c r="AH78" i="24" s="1"/>
  <c r="AJ78" i="24" s="1"/>
  <c r="F77" i="24"/>
  <c r="K77" i="24" s="1"/>
  <c r="N77" i="24" s="1"/>
  <c r="P77" i="24" s="1"/>
  <c r="R77" i="24" s="1"/>
  <c r="T77" i="24" s="1"/>
  <c r="V77" i="24" s="1"/>
  <c r="X77" i="24" s="1"/>
  <c r="Z77" i="24" s="1"/>
  <c r="AB77" i="24" s="1"/>
  <c r="AD77" i="24" s="1"/>
  <c r="AF77" i="24" s="1"/>
  <c r="AH77" i="24" s="1"/>
  <c r="AJ77" i="24" s="1"/>
  <c r="C70" i="24"/>
  <c r="B70" i="24"/>
  <c r="C69" i="24"/>
  <c r="B69" i="24"/>
  <c r="D68" i="24"/>
  <c r="C68" i="24"/>
  <c r="B68" i="24"/>
  <c r="C67" i="24"/>
  <c r="B67" i="24"/>
  <c r="C66" i="24"/>
  <c r="B66" i="24"/>
  <c r="D65" i="24"/>
  <c r="C65" i="24"/>
  <c r="B65" i="24"/>
  <c r="C64" i="24"/>
  <c r="B64" i="24"/>
  <c r="D63" i="24"/>
  <c r="C63" i="24"/>
  <c r="B63" i="24"/>
  <c r="D62" i="24"/>
  <c r="C62" i="24"/>
  <c r="B62" i="24"/>
  <c r="C61" i="24"/>
  <c r="B61" i="24"/>
  <c r="C60" i="24"/>
  <c r="B60" i="24"/>
  <c r="C59" i="24"/>
  <c r="B59" i="24"/>
  <c r="C58" i="24"/>
  <c r="B58" i="24"/>
  <c r="D57" i="24"/>
  <c r="C57" i="24"/>
  <c r="B57" i="24"/>
  <c r="D56" i="24"/>
  <c r="C56" i="24"/>
  <c r="B56" i="24"/>
  <c r="D55" i="24"/>
  <c r="C55" i="24"/>
  <c r="B55" i="24"/>
  <c r="D54" i="24"/>
  <c r="C54" i="24"/>
  <c r="B54" i="24"/>
  <c r="B111" i="24" s="1"/>
  <c r="C53" i="24"/>
  <c r="B53" i="24"/>
  <c r="D52" i="24"/>
  <c r="C52" i="24"/>
  <c r="B52" i="24"/>
  <c r="D51" i="24"/>
  <c r="C51" i="24"/>
  <c r="B51" i="24"/>
  <c r="C50" i="24"/>
  <c r="B50" i="24"/>
  <c r="C49" i="24"/>
  <c r="B49" i="24"/>
  <c r="C48" i="24"/>
  <c r="B48" i="24"/>
  <c r="D47" i="24"/>
  <c r="C47" i="24"/>
  <c r="B47" i="24"/>
  <c r="B119" i="24" s="1"/>
  <c r="C46" i="24"/>
  <c r="B46" i="24"/>
  <c r="C45" i="24"/>
  <c r="B45" i="24"/>
  <c r="D44" i="24"/>
  <c r="C44" i="24"/>
  <c r="B44" i="24"/>
  <c r="D42" i="24"/>
  <c r="C42" i="24"/>
  <c r="B42" i="24"/>
  <c r="B115" i="24" s="1"/>
  <c r="C41" i="24"/>
  <c r="B41" i="24"/>
  <c r="B118" i="24" s="1"/>
  <c r="D40" i="24"/>
  <c r="C40" i="24"/>
  <c r="B40" i="24"/>
  <c r="D39" i="24"/>
  <c r="C39" i="24"/>
  <c r="B39" i="24"/>
  <c r="B116" i="24" s="1"/>
  <c r="C38" i="24"/>
  <c r="B38" i="24"/>
  <c r="D37" i="24"/>
  <c r="C37" i="24"/>
  <c r="B37" i="24"/>
  <c r="C36" i="24"/>
  <c r="D35" i="24"/>
  <c r="F16" i="24" s="1"/>
  <c r="C35" i="24"/>
  <c r="B35" i="24"/>
  <c r="D34" i="24"/>
  <c r="C34" i="24"/>
  <c r="B34" i="24"/>
  <c r="B113" i="24" s="1"/>
  <c r="D33" i="24"/>
  <c r="D7" i="24" s="1"/>
  <c r="F7" i="24" s="1"/>
  <c r="C33" i="24"/>
  <c r="B33" i="24"/>
  <c r="D32" i="24"/>
  <c r="C32" i="24"/>
  <c r="B32" i="24"/>
  <c r="B117" i="24" s="1"/>
  <c r="O31" i="24"/>
  <c r="L31" i="24"/>
  <c r="K31" i="24"/>
  <c r="J31" i="24"/>
  <c r="C31" i="24"/>
  <c r="E30" i="24"/>
  <c r="C30" i="24"/>
  <c r="B30" i="24"/>
  <c r="E29" i="24"/>
  <c r="C29" i="24"/>
  <c r="B29" i="24"/>
  <c r="E28" i="24"/>
  <c r="C28" i="24"/>
  <c r="B28" i="24"/>
  <c r="E27" i="24"/>
  <c r="C27" i="24"/>
  <c r="B27" i="24"/>
  <c r="E26" i="24"/>
  <c r="C26" i="24"/>
  <c r="B26" i="24"/>
  <c r="E25" i="24"/>
  <c r="C25" i="24"/>
  <c r="E24" i="24"/>
  <c r="C24" i="24"/>
  <c r="B24" i="24"/>
  <c r="E23" i="24"/>
  <c r="C23" i="24"/>
  <c r="B23" i="24"/>
  <c r="E22" i="24"/>
  <c r="C22" i="24"/>
  <c r="B22" i="24"/>
  <c r="C21" i="24"/>
  <c r="B21" i="24"/>
  <c r="C20" i="24"/>
  <c r="B20" i="24"/>
  <c r="C19" i="24"/>
  <c r="B19" i="24"/>
  <c r="C18" i="24"/>
  <c r="B18" i="24"/>
  <c r="C17" i="24"/>
  <c r="B17" i="24"/>
  <c r="L16" i="24"/>
  <c r="C16" i="24"/>
  <c r="B16" i="24"/>
  <c r="C15" i="24"/>
  <c r="B15" i="24"/>
  <c r="C14" i="24"/>
  <c r="B14" i="24"/>
  <c r="C13" i="24"/>
  <c r="B13" i="24"/>
  <c r="C12" i="24"/>
  <c r="B12" i="24"/>
  <c r="C11" i="24"/>
  <c r="B11" i="24"/>
  <c r="C10" i="24"/>
  <c r="B10" i="24"/>
  <c r="C9" i="24"/>
  <c r="B9" i="24"/>
  <c r="C8" i="24"/>
  <c r="B8" i="24"/>
  <c r="C7" i="24"/>
  <c r="B7" i="24"/>
  <c r="C6" i="24"/>
  <c r="B6" i="24"/>
  <c r="C5" i="24"/>
  <c r="B5" i="24"/>
  <c r="C4" i="24"/>
  <c r="B4" i="24"/>
  <c r="C3" i="24"/>
  <c r="B3" i="24"/>
  <c r="C2" i="24"/>
  <c r="B2" i="24"/>
  <c r="C1" i="24"/>
  <c r="D3" i="24" l="1"/>
  <c r="N228" i="16"/>
  <c r="M228" i="16"/>
  <c r="F229" i="16"/>
  <c r="K229" i="16"/>
  <c r="H230" i="16"/>
  <c r="P227" i="16"/>
  <c r="R226" i="16"/>
  <c r="T226" i="16" s="1"/>
  <c r="V226" i="16" s="1"/>
  <c r="X226" i="16" s="1"/>
  <c r="Z226" i="16" s="1"/>
  <c r="AB226" i="16" s="1"/>
  <c r="AD226" i="16" s="1"/>
  <c r="AF226" i="16" s="1"/>
  <c r="AH226" i="16" s="1"/>
  <c r="AJ226" i="16" s="1"/>
  <c r="S42" i="27"/>
  <c r="G42" i="27" s="1"/>
  <c r="T42" i="27"/>
  <c r="V42" i="27" s="1"/>
  <c r="X42" i="27" s="1"/>
  <c r="Z42" i="27" s="1"/>
  <c r="AB42" i="27" s="1"/>
  <c r="AD42" i="27" s="1"/>
  <c r="AF42" i="27" s="1"/>
  <c r="AH42" i="27" s="1"/>
  <c r="M84" i="24"/>
  <c r="O84" i="24"/>
  <c r="AH85" i="9"/>
  <c r="AH84" i="8"/>
  <c r="AF84" i="24"/>
  <c r="AH84" i="7"/>
  <c r="AD84" i="1"/>
  <c r="B120" i="24"/>
  <c r="D60" i="24"/>
  <c r="D61" i="24" s="1"/>
  <c r="F33" i="24"/>
  <c r="J7" i="24"/>
  <c r="K7" i="24" s="1"/>
  <c r="J16" i="24"/>
  <c r="K16" i="24" s="1"/>
  <c r="O86" i="24"/>
  <c r="O78" i="24"/>
  <c r="O88" i="24"/>
  <c r="O87" i="24"/>
  <c r="O77" i="24"/>
  <c r="O79" i="24"/>
  <c r="Q31" i="24"/>
  <c r="Q84" i="24" s="1"/>
  <c r="F82" i="24"/>
  <c r="K82" i="24" s="1"/>
  <c r="N82" i="24" s="1"/>
  <c r="P82" i="24" s="1"/>
  <c r="R82" i="24" s="1"/>
  <c r="T82" i="24" s="1"/>
  <c r="V82" i="24" s="1"/>
  <c r="X82" i="24" s="1"/>
  <c r="Z82" i="24" s="1"/>
  <c r="AB82" i="24" s="1"/>
  <c r="AD82" i="24" s="1"/>
  <c r="AF82" i="24" s="1"/>
  <c r="AH82" i="24" s="1"/>
  <c r="AJ82" i="24" s="1"/>
  <c r="F80" i="24"/>
  <c r="K80" i="24" s="1"/>
  <c r="N80" i="24" s="1"/>
  <c r="P80" i="24" s="1"/>
  <c r="R80" i="24" s="1"/>
  <c r="T80" i="24" s="1"/>
  <c r="V80" i="24" s="1"/>
  <c r="X80" i="24" s="1"/>
  <c r="Z80" i="24" s="1"/>
  <c r="AB80" i="24" s="1"/>
  <c r="AD80" i="24" s="1"/>
  <c r="AF80" i="24" s="1"/>
  <c r="AH80" i="24" s="1"/>
  <c r="AJ80" i="24" s="1"/>
  <c r="F74" i="24"/>
  <c r="K74" i="24" s="1"/>
  <c r="N74" i="24" s="1"/>
  <c r="P74" i="24" s="1"/>
  <c r="R74" i="24" s="1"/>
  <c r="T74" i="24" s="1"/>
  <c r="V74" i="24" s="1"/>
  <c r="X74" i="24" s="1"/>
  <c r="Z74" i="24" s="1"/>
  <c r="AB74" i="24" s="1"/>
  <c r="AD74" i="24" s="1"/>
  <c r="AF74" i="24" s="1"/>
  <c r="AH74" i="24" s="1"/>
  <c r="AJ74" i="24" s="1"/>
  <c r="F81" i="24"/>
  <c r="K81" i="24" s="1"/>
  <c r="N81" i="24" s="1"/>
  <c r="P81" i="24" s="1"/>
  <c r="R81" i="24" s="1"/>
  <c r="T81" i="24" s="1"/>
  <c r="V81" i="24" s="1"/>
  <c r="X81" i="24" s="1"/>
  <c r="Z81" i="24" s="1"/>
  <c r="AB81" i="24" s="1"/>
  <c r="AD81" i="24" s="1"/>
  <c r="AF81" i="24" s="1"/>
  <c r="AH81" i="24" s="1"/>
  <c r="AJ81" i="24" s="1"/>
  <c r="F76" i="24"/>
  <c r="K76" i="24" s="1"/>
  <c r="N76" i="24" s="1"/>
  <c r="P76" i="24" s="1"/>
  <c r="R76" i="24" s="1"/>
  <c r="T76" i="24" s="1"/>
  <c r="V76" i="24" s="1"/>
  <c r="X76" i="24" s="1"/>
  <c r="Z76" i="24" s="1"/>
  <c r="AB76" i="24" s="1"/>
  <c r="AD76" i="24" s="1"/>
  <c r="AF76" i="24" s="1"/>
  <c r="AH76" i="24" s="1"/>
  <c r="AJ76" i="24" s="1"/>
  <c r="F75" i="24"/>
  <c r="K75" i="24" s="1"/>
  <c r="N75" i="24" s="1"/>
  <c r="P75" i="24" s="1"/>
  <c r="R75" i="24" s="1"/>
  <c r="T75" i="24" s="1"/>
  <c r="V75" i="24" s="1"/>
  <c r="X75" i="24" s="1"/>
  <c r="Z75" i="24" s="1"/>
  <c r="AB75" i="24" s="1"/>
  <c r="AD75" i="24" s="1"/>
  <c r="AF75" i="24" s="1"/>
  <c r="AH75" i="24" s="1"/>
  <c r="AJ75" i="24" s="1"/>
  <c r="F72" i="24"/>
  <c r="F83" i="24"/>
  <c r="K83" i="24" s="1"/>
  <c r="N83" i="24" s="1"/>
  <c r="P83" i="24" s="1"/>
  <c r="R83" i="24" s="1"/>
  <c r="T83" i="24" s="1"/>
  <c r="V83" i="24" s="1"/>
  <c r="X83" i="24" s="1"/>
  <c r="Z83" i="24" s="1"/>
  <c r="AB83" i="24" s="1"/>
  <c r="AD83" i="24" s="1"/>
  <c r="AF83" i="24" s="1"/>
  <c r="AH83" i="24" s="1"/>
  <c r="AJ83" i="24" s="1"/>
  <c r="F73" i="24"/>
  <c r="K73" i="24" s="1"/>
  <c r="N73" i="24" s="1"/>
  <c r="P73" i="24" s="1"/>
  <c r="R73" i="24" s="1"/>
  <c r="T73" i="24" s="1"/>
  <c r="V73" i="24" s="1"/>
  <c r="X73" i="24" s="1"/>
  <c r="Z73" i="24" s="1"/>
  <c r="AB73" i="24" s="1"/>
  <c r="AD73" i="24" s="1"/>
  <c r="AF73" i="24" s="1"/>
  <c r="AH73" i="24" s="1"/>
  <c r="AJ73" i="24" s="1"/>
  <c r="F32" i="24"/>
  <c r="M88" i="24"/>
  <c r="M78" i="24"/>
  <c r="M87" i="24"/>
  <c r="M86" i="24"/>
  <c r="M79" i="24"/>
  <c r="M77" i="24"/>
  <c r="D46" i="1"/>
  <c r="M82" i="24" l="1"/>
  <c r="M76" i="24"/>
  <c r="M83" i="24"/>
  <c r="H231" i="16"/>
  <c r="K230" i="16"/>
  <c r="F230" i="16"/>
  <c r="M229" i="16"/>
  <c r="N229" i="16"/>
  <c r="R227" i="16"/>
  <c r="T227" i="16" s="1"/>
  <c r="V227" i="16" s="1"/>
  <c r="X227" i="16" s="1"/>
  <c r="Z227" i="16" s="1"/>
  <c r="AB227" i="16" s="1"/>
  <c r="AD227" i="16" s="1"/>
  <c r="AF227" i="16" s="1"/>
  <c r="AH227" i="16" s="1"/>
  <c r="AJ227" i="16" s="1"/>
  <c r="P228" i="16"/>
  <c r="K33" i="24"/>
  <c r="J32" i="24"/>
  <c r="D117" i="24" s="1"/>
  <c r="H117" i="24" s="1"/>
  <c r="D41" i="28"/>
  <c r="F41" i="28" s="1"/>
  <c r="H41" i="28" s="1"/>
  <c r="I41" i="28" s="1"/>
  <c r="D41" i="27"/>
  <c r="F41" i="27" s="1"/>
  <c r="I41" i="27" s="1"/>
  <c r="D46" i="24"/>
  <c r="F3" i="24" s="1"/>
  <c r="F47" i="24" s="1"/>
  <c r="D46" i="26"/>
  <c r="K72" i="24"/>
  <c r="N72" i="24" s="1"/>
  <c r="P72" i="24" s="1"/>
  <c r="R72" i="24" s="1"/>
  <c r="T72" i="24" s="1"/>
  <c r="V72" i="24" s="1"/>
  <c r="X72" i="24" s="1"/>
  <c r="Z72" i="24" s="1"/>
  <c r="AB72" i="24" s="1"/>
  <c r="AD72" i="24" s="1"/>
  <c r="AF72" i="24" s="1"/>
  <c r="AH72" i="24" s="1"/>
  <c r="AJ72" i="24" s="1"/>
  <c r="F85" i="24"/>
  <c r="K85" i="24" s="1"/>
  <c r="AJ85" i="9"/>
  <c r="AJ84" i="8"/>
  <c r="AH84" i="24"/>
  <c r="AJ84" i="7"/>
  <c r="AF84" i="1"/>
  <c r="AH84" i="1" s="1"/>
  <c r="AJ84" i="1" s="1"/>
  <c r="D15" i="24"/>
  <c r="F15" i="24" s="1"/>
  <c r="D4" i="24"/>
  <c r="C123" i="24" s="1"/>
  <c r="M81" i="24"/>
  <c r="M80" i="24"/>
  <c r="M75" i="24"/>
  <c r="O75" i="24"/>
  <c r="M73" i="24"/>
  <c r="O82" i="24"/>
  <c r="D19" i="24"/>
  <c r="F12" i="24"/>
  <c r="O74" i="24"/>
  <c r="O83" i="24"/>
  <c r="Q88" i="24"/>
  <c r="Q82" i="24"/>
  <c r="Q78" i="24"/>
  <c r="Q87" i="24"/>
  <c r="Q83" i="24"/>
  <c r="Q81" i="24"/>
  <c r="Q79" i="24"/>
  <c r="Q74" i="24"/>
  <c r="Q80" i="24"/>
  <c r="Q76" i="24"/>
  <c r="Q75" i="24"/>
  <c r="Q77" i="24"/>
  <c r="Q73" i="24"/>
  <c r="Q72" i="24"/>
  <c r="Q86" i="24"/>
  <c r="S31" i="24"/>
  <c r="S84" i="24" s="1"/>
  <c r="O73" i="24"/>
  <c r="O81" i="24"/>
  <c r="O76" i="24"/>
  <c r="O80" i="24"/>
  <c r="M72" i="24"/>
  <c r="M74" i="24"/>
  <c r="A23" i="11"/>
  <c r="A27" i="11" s="1"/>
  <c r="A28" i="11" s="1"/>
  <c r="A30" i="11" s="1"/>
  <c r="A34" i="11" s="1"/>
  <c r="A35" i="11" s="1"/>
  <c r="F40" i="24" l="1"/>
  <c r="J40" i="24" s="1"/>
  <c r="D120" i="24" s="1"/>
  <c r="H120" i="24" s="1"/>
  <c r="P229" i="16"/>
  <c r="N230" i="16"/>
  <c r="M230" i="16"/>
  <c r="R228" i="16"/>
  <c r="T228" i="16" s="1"/>
  <c r="V228" i="16" s="1"/>
  <c r="X228" i="16" s="1"/>
  <c r="Z228" i="16" s="1"/>
  <c r="AB228" i="16" s="1"/>
  <c r="AD228" i="16" s="1"/>
  <c r="AF228" i="16" s="1"/>
  <c r="AH228" i="16" s="1"/>
  <c r="AJ228" i="16" s="1"/>
  <c r="F231" i="16"/>
  <c r="K231" i="16"/>
  <c r="H232" i="16"/>
  <c r="F52" i="24"/>
  <c r="J52" i="24" s="1"/>
  <c r="K52" i="24" s="1"/>
  <c r="F34" i="24"/>
  <c r="J3" i="24"/>
  <c r="K3" i="24" s="1"/>
  <c r="F68" i="24"/>
  <c r="J68" i="24" s="1"/>
  <c r="K68" i="24" s="1"/>
  <c r="N68" i="24" s="1"/>
  <c r="P68" i="24" s="1"/>
  <c r="H33" i="24"/>
  <c r="M33" i="24"/>
  <c r="N33" i="24"/>
  <c r="O72" i="24"/>
  <c r="K32" i="24"/>
  <c r="L41" i="27"/>
  <c r="K41" i="27"/>
  <c r="F65" i="24"/>
  <c r="J65" i="24" s="1"/>
  <c r="K65" i="24" s="1"/>
  <c r="N65" i="24" s="1"/>
  <c r="P65" i="24" s="1"/>
  <c r="R65" i="24" s="1"/>
  <c r="T65" i="24" s="1"/>
  <c r="V65" i="24" s="1"/>
  <c r="X65" i="24" s="1"/>
  <c r="Z65" i="24" s="1"/>
  <c r="AB65" i="24" s="1"/>
  <c r="AD65" i="24" s="1"/>
  <c r="AF65" i="24" s="1"/>
  <c r="AH65" i="24" s="1"/>
  <c r="AJ65" i="24" s="1"/>
  <c r="F90" i="24"/>
  <c r="K90" i="24" s="1"/>
  <c r="N90" i="24" s="1"/>
  <c r="P90" i="24" s="1"/>
  <c r="R90" i="24" s="1"/>
  <c r="T90" i="24" s="1"/>
  <c r="V90" i="24" s="1"/>
  <c r="X90" i="24" s="1"/>
  <c r="Z90" i="24" s="1"/>
  <c r="AB90" i="24" s="1"/>
  <c r="AD90" i="24" s="1"/>
  <c r="AF90" i="24" s="1"/>
  <c r="AH90" i="24" s="1"/>
  <c r="AJ90" i="24" s="1"/>
  <c r="F61" i="24"/>
  <c r="J61" i="24" s="1"/>
  <c r="K61" i="24" s="1"/>
  <c r="F46" i="24"/>
  <c r="J46" i="24" s="1"/>
  <c r="K46" i="24" s="1"/>
  <c r="M46" i="24" s="1"/>
  <c r="H3" i="25"/>
  <c r="D5" i="24"/>
  <c r="D11" i="24" s="1"/>
  <c r="F11" i="24" s="1"/>
  <c r="J15" i="24"/>
  <c r="K15" i="24" s="1"/>
  <c r="J34" i="24"/>
  <c r="D113" i="24" s="1"/>
  <c r="H113" i="24" s="1"/>
  <c r="J47" i="24"/>
  <c r="D119" i="24" s="1"/>
  <c r="H119" i="24" s="1"/>
  <c r="N85" i="24"/>
  <c r="M85" i="24"/>
  <c r="AJ84" i="24"/>
  <c r="C121" i="24"/>
  <c r="D13" i="24"/>
  <c r="F13" i="24" s="1"/>
  <c r="D22" i="24"/>
  <c r="F22" i="24" s="1"/>
  <c r="D21" i="24"/>
  <c r="F21" i="24" s="1"/>
  <c r="F4" i="24"/>
  <c r="D18" i="24"/>
  <c r="F18" i="24" s="1"/>
  <c r="D27" i="24"/>
  <c r="F27" i="24" s="1"/>
  <c r="C122" i="24"/>
  <c r="H7" i="25" s="1"/>
  <c r="D28" i="24"/>
  <c r="F28" i="24" s="1"/>
  <c r="J12" i="24"/>
  <c r="K12" i="24" s="1"/>
  <c r="F19" i="24"/>
  <c r="D20" i="24"/>
  <c r="F20" i="24" s="1"/>
  <c r="S86" i="24"/>
  <c r="S80" i="24"/>
  <c r="S83" i="24"/>
  <c r="S88" i="24"/>
  <c r="S76" i="24"/>
  <c r="S72" i="24"/>
  <c r="S82" i="24"/>
  <c r="S79" i="24"/>
  <c r="S74" i="24"/>
  <c r="S81" i="24"/>
  <c r="S77" i="24"/>
  <c r="S75" i="24"/>
  <c r="S78" i="24"/>
  <c r="S73" i="24"/>
  <c r="S87" i="24"/>
  <c r="U31" i="24"/>
  <c r="U84" i="24" s="1"/>
  <c r="P230" i="16" l="1"/>
  <c r="K232" i="16"/>
  <c r="H233" i="16"/>
  <c r="F232" i="16"/>
  <c r="M231" i="16"/>
  <c r="N231" i="16"/>
  <c r="R229" i="16"/>
  <c r="T229" i="16" s="1"/>
  <c r="V229" i="16" s="1"/>
  <c r="X229" i="16" s="1"/>
  <c r="Z229" i="16" s="1"/>
  <c r="AB229" i="16" s="1"/>
  <c r="AD229" i="16" s="1"/>
  <c r="AF229" i="16" s="1"/>
  <c r="AH229" i="16" s="1"/>
  <c r="AJ229" i="16" s="1"/>
  <c r="S90" i="24"/>
  <c r="Q90" i="24"/>
  <c r="P33" i="24"/>
  <c r="O33" i="24"/>
  <c r="C117" i="24"/>
  <c r="N32" i="24"/>
  <c r="H32" i="24"/>
  <c r="M32" i="24"/>
  <c r="M90" i="24"/>
  <c r="O90" i="24"/>
  <c r="N41" i="27"/>
  <c r="M41" i="27"/>
  <c r="M61" i="24"/>
  <c r="N61" i="24"/>
  <c r="O61" i="24" s="1"/>
  <c r="M52" i="24"/>
  <c r="H52" i="24"/>
  <c r="R68" i="24"/>
  <c r="Q68" i="24"/>
  <c r="J27" i="24"/>
  <c r="K27" i="24" s="1"/>
  <c r="J21" i="24"/>
  <c r="K21" i="24" s="1"/>
  <c r="J18" i="24"/>
  <c r="K18" i="24" s="1"/>
  <c r="K47" i="24"/>
  <c r="H47" i="24" s="1"/>
  <c r="K40" i="24"/>
  <c r="M40" i="24" s="1"/>
  <c r="J28" i="24"/>
  <c r="K28" i="24" s="1"/>
  <c r="J22" i="24"/>
  <c r="K22" i="24" s="1"/>
  <c r="J11" i="24"/>
  <c r="K11" i="24" s="1"/>
  <c r="J13" i="24"/>
  <c r="K13" i="24" s="1"/>
  <c r="K34" i="24"/>
  <c r="N34" i="24" s="1"/>
  <c r="P34" i="24" s="1"/>
  <c r="R34" i="24" s="1"/>
  <c r="O65" i="24"/>
  <c r="H61" i="24"/>
  <c r="M65" i="24"/>
  <c r="N46" i="24"/>
  <c r="P46" i="24" s="1"/>
  <c r="Q46" i="24" s="1"/>
  <c r="O68" i="24"/>
  <c r="N52" i="24"/>
  <c r="O52" i="24" s="1"/>
  <c r="H46" i="24"/>
  <c r="F63" i="24"/>
  <c r="S65" i="24"/>
  <c r="Q65" i="24"/>
  <c r="M68" i="24"/>
  <c r="P85" i="24"/>
  <c r="O85" i="24"/>
  <c r="F93" i="24"/>
  <c r="K93" i="24" s="1"/>
  <c r="N93" i="24" s="1"/>
  <c r="D94" i="24"/>
  <c r="D14" i="24"/>
  <c r="F14" i="24" s="1"/>
  <c r="F5" i="24"/>
  <c r="D17" i="24"/>
  <c r="F17" i="24" s="1"/>
  <c r="D8" i="24"/>
  <c r="F8" i="24" s="1"/>
  <c r="F35" i="24"/>
  <c r="D10" i="24"/>
  <c r="F10" i="24" s="1"/>
  <c r="B6" i="10" s="1"/>
  <c r="C6" i="10" s="1"/>
  <c r="D6" i="10" s="1"/>
  <c r="E6" i="10" s="1"/>
  <c r="D9" i="24"/>
  <c r="F9" i="24" s="1"/>
  <c r="D6" i="24"/>
  <c r="D98" i="24" s="1"/>
  <c r="J4" i="24"/>
  <c r="K4" i="24" s="1"/>
  <c r="B40" i="10"/>
  <c r="C40" i="10" s="1"/>
  <c r="J20" i="24"/>
  <c r="K20" i="24" s="1"/>
  <c r="J19" i="24"/>
  <c r="K19" i="24" s="1"/>
  <c r="U88" i="24"/>
  <c r="U82" i="24"/>
  <c r="U78" i="24"/>
  <c r="U90" i="24"/>
  <c r="U87" i="24"/>
  <c r="U74" i="24"/>
  <c r="U83" i="24"/>
  <c r="U76" i="24"/>
  <c r="U86" i="24"/>
  <c r="U80" i="24"/>
  <c r="U75" i="24"/>
  <c r="U81" i="24"/>
  <c r="U79" i="24"/>
  <c r="U77" i="24"/>
  <c r="U72" i="24"/>
  <c r="U65" i="24"/>
  <c r="U73" i="24"/>
  <c r="W31" i="24"/>
  <c r="F62" i="24"/>
  <c r="F60" i="24"/>
  <c r="L45" i="26"/>
  <c r="L65" i="24"/>
  <c r="L61" i="24"/>
  <c r="L33" i="26"/>
  <c r="L40" i="24"/>
  <c r="L93" i="26"/>
  <c r="L68" i="26"/>
  <c r="L35" i="26"/>
  <c r="L62" i="26"/>
  <c r="L49" i="26"/>
  <c r="L93" i="24"/>
  <c r="L42" i="26"/>
  <c r="L36" i="26"/>
  <c r="L47" i="26"/>
  <c r="F233" i="16" l="1"/>
  <c r="H234" i="16"/>
  <c r="K233" i="16"/>
  <c r="N232" i="16"/>
  <c r="M232" i="16"/>
  <c r="R230" i="16"/>
  <c r="T230" i="16" s="1"/>
  <c r="V230" i="16" s="1"/>
  <c r="X230" i="16" s="1"/>
  <c r="Z230" i="16" s="1"/>
  <c r="AB230" i="16" s="1"/>
  <c r="AD230" i="16" s="1"/>
  <c r="AF230" i="16" s="1"/>
  <c r="AH230" i="16" s="1"/>
  <c r="AJ230" i="16" s="1"/>
  <c r="P231" i="16"/>
  <c r="W84" i="24"/>
  <c r="R33" i="24"/>
  <c r="Q33" i="24"/>
  <c r="O32" i="24"/>
  <c r="P32" i="24"/>
  <c r="P41" i="27"/>
  <c r="O41" i="27"/>
  <c r="L88" i="24"/>
  <c r="L88" i="26"/>
  <c r="L82" i="24"/>
  <c r="L113" i="9"/>
  <c r="L82" i="26"/>
  <c r="L99" i="26"/>
  <c r="L98" i="26"/>
  <c r="L81" i="26"/>
  <c r="L79" i="26"/>
  <c r="L90" i="26"/>
  <c r="L34" i="26"/>
  <c r="L51" i="26"/>
  <c r="L100" i="26"/>
  <c r="L44" i="26"/>
  <c r="L64" i="26"/>
  <c r="L72" i="26"/>
  <c r="L32" i="26"/>
  <c r="L115" i="9"/>
  <c r="L87" i="26"/>
  <c r="L133" i="26"/>
  <c r="L131" i="26"/>
  <c r="L111" i="26"/>
  <c r="L73" i="26"/>
  <c r="L60" i="26"/>
  <c r="L132" i="26"/>
  <c r="L69" i="26"/>
  <c r="L55" i="26"/>
  <c r="L54" i="26"/>
  <c r="L52" i="26"/>
  <c r="L50" i="26"/>
  <c r="L112" i="9"/>
  <c r="L66" i="26"/>
  <c r="L65" i="26"/>
  <c r="L43" i="26"/>
  <c r="L39" i="26"/>
  <c r="L37" i="26"/>
  <c r="L114" i="9"/>
  <c r="L58" i="26"/>
  <c r="L41" i="26"/>
  <c r="L92" i="26"/>
  <c r="L63" i="26"/>
  <c r="L103" i="26"/>
  <c r="L70" i="26"/>
  <c r="L108" i="26"/>
  <c r="L106" i="26"/>
  <c r="L38" i="26"/>
  <c r="L113" i="26"/>
  <c r="L107" i="26"/>
  <c r="L74" i="26"/>
  <c r="L53" i="26"/>
  <c r="L104" i="9"/>
  <c r="L97" i="26"/>
  <c r="L40" i="26"/>
  <c r="L83" i="24"/>
  <c r="L83" i="26"/>
  <c r="L78" i="26"/>
  <c r="L75" i="26"/>
  <c r="L57" i="26"/>
  <c r="L56" i="26"/>
  <c r="L86" i="24"/>
  <c r="L86" i="26"/>
  <c r="L129" i="26"/>
  <c r="L123" i="26"/>
  <c r="L120" i="26"/>
  <c r="L118" i="26"/>
  <c r="L114" i="26"/>
  <c r="L128" i="26"/>
  <c r="L125" i="26"/>
  <c r="L122" i="26"/>
  <c r="L117" i="26"/>
  <c r="L76" i="26"/>
  <c r="L61" i="26"/>
  <c r="L127" i="26"/>
  <c r="L124" i="26"/>
  <c r="L121" i="26"/>
  <c r="L119" i="26"/>
  <c r="L116" i="26"/>
  <c r="L112" i="26"/>
  <c r="L77" i="26"/>
  <c r="L130" i="26"/>
  <c r="L126" i="26"/>
  <c r="L115" i="26"/>
  <c r="L48" i="26"/>
  <c r="L46" i="26"/>
  <c r="N47" i="24"/>
  <c r="P47" i="24" s="1"/>
  <c r="Q47" i="24" s="1"/>
  <c r="H34" i="24"/>
  <c r="R46" i="24"/>
  <c r="T46" i="24" s="1"/>
  <c r="P61" i="24"/>
  <c r="R61" i="24" s="1"/>
  <c r="S61" i="24" s="1"/>
  <c r="O46" i="24"/>
  <c r="J5" i="24"/>
  <c r="K5" i="24" s="1"/>
  <c r="J9" i="24"/>
  <c r="K9" i="24" s="1"/>
  <c r="J14" i="24"/>
  <c r="K14" i="24" s="1"/>
  <c r="N40" i="24"/>
  <c r="H40" i="24"/>
  <c r="C120" i="24"/>
  <c r="J17" i="24"/>
  <c r="K17" i="24" s="1"/>
  <c r="C113" i="24"/>
  <c r="M34" i="24"/>
  <c r="C119" i="24"/>
  <c r="M47" i="24"/>
  <c r="T68" i="24"/>
  <c r="S68" i="24"/>
  <c r="Q34" i="24"/>
  <c r="O34" i="24"/>
  <c r="J35" i="24"/>
  <c r="K35" i="24" s="1"/>
  <c r="J60" i="24"/>
  <c r="K60" i="24" s="1"/>
  <c r="J62" i="24"/>
  <c r="K62" i="24" s="1"/>
  <c r="H62" i="24" s="1"/>
  <c r="P52" i="24"/>
  <c r="R52" i="24" s="1"/>
  <c r="T52" i="24" s="1"/>
  <c r="J63" i="24"/>
  <c r="K63" i="24" s="1"/>
  <c r="L32" i="24"/>
  <c r="L72" i="24"/>
  <c r="L73" i="24"/>
  <c r="L87" i="24"/>
  <c r="L81" i="24"/>
  <c r="L79" i="24"/>
  <c r="L76" i="24"/>
  <c r="L77" i="24"/>
  <c r="L34" i="24"/>
  <c r="L90" i="24"/>
  <c r="L47" i="24"/>
  <c r="L78" i="24"/>
  <c r="L75" i="24"/>
  <c r="L43" i="9"/>
  <c r="L43" i="1"/>
  <c r="L43" i="8"/>
  <c r="L43" i="7"/>
  <c r="L46" i="24"/>
  <c r="L33" i="24"/>
  <c r="L92" i="24"/>
  <c r="L74" i="24"/>
  <c r="L68" i="24"/>
  <c r="R85" i="24"/>
  <c r="Q85" i="24"/>
  <c r="J8" i="24"/>
  <c r="K8" i="24" s="1"/>
  <c r="F43" i="24"/>
  <c r="M93" i="24"/>
  <c r="F54" i="24"/>
  <c r="F44" i="24"/>
  <c r="D30" i="24"/>
  <c r="F30" i="24" s="1"/>
  <c r="F39" i="24"/>
  <c r="D29" i="24"/>
  <c r="F29" i="24" s="1"/>
  <c r="F42" i="24"/>
  <c r="F36" i="24"/>
  <c r="F58" i="24"/>
  <c r="F55" i="24"/>
  <c r="F6" i="24"/>
  <c r="D97" i="24"/>
  <c r="B112" i="24"/>
  <c r="F57" i="24"/>
  <c r="D96" i="24"/>
  <c r="D99" i="24"/>
  <c r="J10" i="24"/>
  <c r="K10" i="24" s="1"/>
  <c r="W86" i="24"/>
  <c r="W80" i="24"/>
  <c r="W83" i="24"/>
  <c r="W82" i="24"/>
  <c r="W81" i="24"/>
  <c r="W76" i="24"/>
  <c r="W72" i="24"/>
  <c r="W88" i="24"/>
  <c r="W78" i="24"/>
  <c r="W74" i="24"/>
  <c r="W87" i="24"/>
  <c r="W79" i="24"/>
  <c r="W77" i="24"/>
  <c r="W90" i="24"/>
  <c r="W73" i="24"/>
  <c r="W75" i="24"/>
  <c r="W68" i="24"/>
  <c r="W67" i="24"/>
  <c r="W66" i="24"/>
  <c r="W65" i="24"/>
  <c r="W64" i="24"/>
  <c r="W53" i="24"/>
  <c r="W56" i="24"/>
  <c r="Y31" i="24"/>
  <c r="W57" i="24"/>
  <c r="W55" i="24"/>
  <c r="T34" i="24"/>
  <c r="S34" i="24"/>
  <c r="P93" i="24"/>
  <c r="O93" i="24"/>
  <c r="D7" i="23"/>
  <c r="B8" i="23"/>
  <c r="B15" i="23" s="1"/>
  <c r="A15" i="23" s="1"/>
  <c r="B7" i="23"/>
  <c r="B3" i="23" s="1"/>
  <c r="P232" i="16" l="1"/>
  <c r="M233" i="16"/>
  <c r="N233" i="16"/>
  <c r="H235" i="16"/>
  <c r="K234" i="16"/>
  <c r="F234" i="16"/>
  <c r="R231" i="16"/>
  <c r="T231" i="16" s="1"/>
  <c r="V231" i="16" s="1"/>
  <c r="X231" i="16" s="1"/>
  <c r="Z231" i="16" s="1"/>
  <c r="AB231" i="16" s="1"/>
  <c r="AD231" i="16" s="1"/>
  <c r="AF231" i="16" s="1"/>
  <c r="AH231" i="16" s="1"/>
  <c r="AJ231" i="16" s="1"/>
  <c r="Y43" i="24"/>
  <c r="Y84" i="24"/>
  <c r="T33" i="24"/>
  <c r="S33" i="24"/>
  <c r="Q32" i="24"/>
  <c r="R32" i="24"/>
  <c r="Q41" i="27"/>
  <c r="R41" i="27"/>
  <c r="O47" i="24"/>
  <c r="R47" i="24"/>
  <c r="S47" i="24" s="1"/>
  <c r="L35" i="24"/>
  <c r="S46" i="24"/>
  <c r="T61" i="24"/>
  <c r="U61" i="24" s="1"/>
  <c r="S52" i="24"/>
  <c r="Q61" i="24"/>
  <c r="J6" i="24"/>
  <c r="K6" i="24" s="1"/>
  <c r="V68" i="24"/>
  <c r="X68" i="24" s="1"/>
  <c r="Z68" i="24" s="1"/>
  <c r="AB68" i="24" s="1"/>
  <c r="AD68" i="24" s="1"/>
  <c r="AF68" i="24" s="1"/>
  <c r="AH68" i="24" s="1"/>
  <c r="AJ68" i="24" s="1"/>
  <c r="U68" i="24"/>
  <c r="J30" i="24"/>
  <c r="K30" i="24" s="1"/>
  <c r="J29" i="24"/>
  <c r="K29" i="24" s="1"/>
  <c r="P40" i="24"/>
  <c r="O40" i="24"/>
  <c r="H35" i="24"/>
  <c r="M35" i="24"/>
  <c r="Q52" i="24"/>
  <c r="M63" i="24"/>
  <c r="N63" i="24"/>
  <c r="H63" i="24"/>
  <c r="H60" i="24"/>
  <c r="N60" i="24"/>
  <c r="P60" i="24" s="1"/>
  <c r="M60" i="24"/>
  <c r="J44" i="24"/>
  <c r="L44" i="24" s="1"/>
  <c r="J43" i="24"/>
  <c r="L43" i="24" s="1"/>
  <c r="M62" i="24"/>
  <c r="J55" i="24"/>
  <c r="K55" i="24" s="1"/>
  <c r="J54" i="24"/>
  <c r="D111" i="24" s="1"/>
  <c r="H111" i="24" s="1"/>
  <c r="N62" i="24"/>
  <c r="P62" i="24" s="1"/>
  <c r="N35" i="24"/>
  <c r="P35" i="24" s="1"/>
  <c r="R35" i="24" s="1"/>
  <c r="J36" i="24"/>
  <c r="L36" i="24" s="1"/>
  <c r="J39" i="24"/>
  <c r="J57" i="24"/>
  <c r="K57" i="24" s="1"/>
  <c r="J42" i="24"/>
  <c r="J58" i="24"/>
  <c r="K58" i="24" s="1"/>
  <c r="C114" i="24" s="1"/>
  <c r="T85" i="24"/>
  <c r="S85" i="24"/>
  <c r="F37" i="24"/>
  <c r="F56" i="24"/>
  <c r="F51" i="24"/>
  <c r="V34" i="24"/>
  <c r="U34" i="24"/>
  <c r="V52" i="24"/>
  <c r="U52" i="24"/>
  <c r="R93" i="24"/>
  <c r="Q93" i="24"/>
  <c r="V46" i="24"/>
  <c r="U46" i="24"/>
  <c r="Y88" i="24"/>
  <c r="Y82" i="24"/>
  <c r="Y78" i="24"/>
  <c r="Y90" i="24"/>
  <c r="Y87" i="24"/>
  <c r="Y83" i="24"/>
  <c r="Y80" i="24"/>
  <c r="Y74" i="24"/>
  <c r="Y81" i="24"/>
  <c r="Y79" i="24"/>
  <c r="Y76" i="24"/>
  <c r="Y75" i="24"/>
  <c r="Y72" i="24"/>
  <c r="Y56" i="24"/>
  <c r="Y86" i="24"/>
  <c r="Y77" i="24"/>
  <c r="Y73" i="24"/>
  <c r="Y55" i="24"/>
  <c r="Y57" i="24"/>
  <c r="Y53" i="24"/>
  <c r="Y68" i="24"/>
  <c r="Y64" i="24"/>
  <c r="Y46" i="24"/>
  <c r="Y66" i="24"/>
  <c r="Y44" i="24"/>
  <c r="Y65" i="24"/>
  <c r="Y48" i="24"/>
  <c r="Y47" i="24"/>
  <c r="AA31" i="24"/>
  <c r="Y45" i="24"/>
  <c r="Y67" i="24"/>
  <c r="D15" i="23"/>
  <c r="C15" i="23"/>
  <c r="B14" i="23"/>
  <c r="C8" i="23"/>
  <c r="D8" i="23"/>
  <c r="B10" i="23"/>
  <c r="B2" i="23"/>
  <c r="X46" i="24" l="1"/>
  <c r="Z46" i="24" s="1"/>
  <c r="AB46" i="24" s="1"/>
  <c r="AD46" i="24" s="1"/>
  <c r="AF46" i="24" s="1"/>
  <c r="AH46" i="24" s="1"/>
  <c r="AJ46" i="24" s="1"/>
  <c r="W46" i="24"/>
  <c r="F235" i="16"/>
  <c r="H236" i="16"/>
  <c r="K235" i="16"/>
  <c r="P233" i="16"/>
  <c r="R232" i="16"/>
  <c r="T232" i="16" s="1"/>
  <c r="V232" i="16" s="1"/>
  <c r="X232" i="16" s="1"/>
  <c r="Z232" i="16" s="1"/>
  <c r="AB232" i="16" s="1"/>
  <c r="AD232" i="16" s="1"/>
  <c r="AF232" i="16" s="1"/>
  <c r="AH232" i="16" s="1"/>
  <c r="AJ232" i="16" s="1"/>
  <c r="N234" i="16"/>
  <c r="M234" i="16"/>
  <c r="AA43" i="24"/>
  <c r="AA84" i="24"/>
  <c r="T47" i="24"/>
  <c r="V47" i="24" s="1"/>
  <c r="V33" i="24"/>
  <c r="U33" i="24"/>
  <c r="S32" i="24"/>
  <c r="T32" i="24"/>
  <c r="T41" i="27"/>
  <c r="V41" i="27" s="1"/>
  <c r="X41" i="27" s="1"/>
  <c r="Z41" i="27" s="1"/>
  <c r="AB41" i="27" s="1"/>
  <c r="AD41" i="27" s="1"/>
  <c r="AF41" i="27" s="1"/>
  <c r="AH41" i="27" s="1"/>
  <c r="S41" i="27"/>
  <c r="G41" i="27" s="1"/>
  <c r="V61" i="24"/>
  <c r="X61" i="24" s="1"/>
  <c r="O62" i="24"/>
  <c r="O60" i="24"/>
  <c r="Q35" i="24"/>
  <c r="R40" i="24"/>
  <c r="Q40" i="24"/>
  <c r="H57" i="24"/>
  <c r="N57" i="24"/>
  <c r="P57" i="24" s="1"/>
  <c r="R57" i="24" s="1"/>
  <c r="K36" i="24"/>
  <c r="N36" i="24" s="1"/>
  <c r="P36" i="24" s="1"/>
  <c r="R36" i="24" s="1"/>
  <c r="K54" i="24"/>
  <c r="H54" i="24" s="1"/>
  <c r="N55" i="24"/>
  <c r="M55" i="24"/>
  <c r="H55" i="24"/>
  <c r="P63" i="24"/>
  <c r="O63" i="24"/>
  <c r="J51" i="24"/>
  <c r="L51" i="24" s="1"/>
  <c r="J37" i="24"/>
  <c r="L37" i="24" s="1"/>
  <c r="D115" i="24"/>
  <c r="H115" i="24" s="1"/>
  <c r="L42" i="24"/>
  <c r="D116" i="24"/>
  <c r="H116" i="24" s="1"/>
  <c r="L39" i="24"/>
  <c r="K43" i="24"/>
  <c r="M57" i="24"/>
  <c r="J56" i="24"/>
  <c r="L56" i="24" s="1"/>
  <c r="K42" i="24"/>
  <c r="K39" i="24"/>
  <c r="O35" i="24"/>
  <c r="K44" i="24"/>
  <c r="H58" i="24"/>
  <c r="M58" i="24"/>
  <c r="N58" i="24"/>
  <c r="O58" i="24" s="1"/>
  <c r="R23" i="24"/>
  <c r="D92" i="24" s="1"/>
  <c r="F92" i="24" s="1"/>
  <c r="K92" i="24" s="1"/>
  <c r="N92" i="24" s="1"/>
  <c r="D114" i="24"/>
  <c r="H114" i="24" s="1"/>
  <c r="L58" i="24"/>
  <c r="V85" i="24"/>
  <c r="U85" i="24"/>
  <c r="W61" i="24"/>
  <c r="X52" i="24"/>
  <c r="W52" i="24"/>
  <c r="R62" i="24"/>
  <c r="Q62" i="24"/>
  <c r="R60" i="24"/>
  <c r="Q60" i="24"/>
  <c r="X34" i="24"/>
  <c r="W34" i="24"/>
  <c r="AA86" i="24"/>
  <c r="AA80" i="24"/>
  <c r="AA83" i="24"/>
  <c r="AA90" i="24"/>
  <c r="AA88" i="24"/>
  <c r="AA79" i="24"/>
  <c r="AA76" i="24"/>
  <c r="AA72" i="24"/>
  <c r="AA82" i="24"/>
  <c r="AA74" i="24"/>
  <c r="AA78" i="24"/>
  <c r="AA77" i="24"/>
  <c r="AA87" i="24"/>
  <c r="AA62" i="24"/>
  <c r="AA75" i="24"/>
  <c r="AA68" i="24"/>
  <c r="AA67" i="24"/>
  <c r="AA66" i="24"/>
  <c r="AA65" i="24"/>
  <c r="AA64" i="24"/>
  <c r="AA60" i="24"/>
  <c r="AA57" i="24"/>
  <c r="AA55" i="24"/>
  <c r="AA53" i="24"/>
  <c r="AA52" i="24"/>
  <c r="AA73" i="24"/>
  <c r="AA81" i="24"/>
  <c r="AA61" i="24"/>
  <c r="AA56" i="24"/>
  <c r="AA51" i="24"/>
  <c r="AA49" i="24"/>
  <c r="AA44" i="24"/>
  <c r="AA50" i="24"/>
  <c r="AA48" i="24"/>
  <c r="AA46" i="24"/>
  <c r="AA37" i="24"/>
  <c r="AC31" i="24"/>
  <c r="AA45" i="24"/>
  <c r="AA54" i="24"/>
  <c r="AA47" i="24"/>
  <c r="AA38" i="24"/>
  <c r="T93" i="24"/>
  <c r="S93" i="24"/>
  <c r="T35" i="24"/>
  <c r="S35" i="24"/>
  <c r="E10" i="23"/>
  <c r="E7" i="23"/>
  <c r="B4" i="23"/>
  <c r="D10" i="23"/>
  <c r="A14" i="23"/>
  <c r="E8" i="23"/>
  <c r="C10" i="23"/>
  <c r="E15" i="23"/>
  <c r="D14" i="23"/>
  <c r="B11" i="23" s="1"/>
  <c r="C14" i="23"/>
  <c r="X47" i="24" l="1"/>
  <c r="Z47" i="24" s="1"/>
  <c r="AB47" i="24" s="1"/>
  <c r="AD47" i="24" s="1"/>
  <c r="AF47" i="24" s="1"/>
  <c r="AH47" i="24" s="1"/>
  <c r="AJ47" i="24" s="1"/>
  <c r="W47" i="24"/>
  <c r="O36" i="24"/>
  <c r="H36" i="24"/>
  <c r="O57" i="24"/>
  <c r="R233" i="16"/>
  <c r="T233" i="16" s="1"/>
  <c r="V233" i="16" s="1"/>
  <c r="X233" i="16" s="1"/>
  <c r="Z233" i="16" s="1"/>
  <c r="AB233" i="16" s="1"/>
  <c r="AD233" i="16" s="1"/>
  <c r="AF233" i="16" s="1"/>
  <c r="AH233" i="16" s="1"/>
  <c r="AJ233" i="16" s="1"/>
  <c r="M235" i="16"/>
  <c r="N235" i="16"/>
  <c r="K236" i="16"/>
  <c r="H237" i="16"/>
  <c r="F236" i="16"/>
  <c r="P234" i="16"/>
  <c r="D86" i="27"/>
  <c r="F86" i="27" s="1"/>
  <c r="I86" i="27" s="1"/>
  <c r="D98" i="26"/>
  <c r="U47" i="24"/>
  <c r="AC43" i="24"/>
  <c r="AC84" i="24"/>
  <c r="X33" i="24"/>
  <c r="W33" i="24"/>
  <c r="V32" i="24"/>
  <c r="U32" i="24"/>
  <c r="N54" i="24"/>
  <c r="O54" i="24" s="1"/>
  <c r="D23" i="24"/>
  <c r="D25" i="24" s="1"/>
  <c r="F25" i="24" s="1"/>
  <c r="J25" i="24" s="1"/>
  <c r="K25" i="24" s="1"/>
  <c r="Q36" i="24"/>
  <c r="M92" i="24"/>
  <c r="K56" i="24"/>
  <c r="H56" i="24" s="1"/>
  <c r="Q57" i="24"/>
  <c r="T40" i="24"/>
  <c r="S40" i="24"/>
  <c r="C111" i="24"/>
  <c r="M54" i="24"/>
  <c r="P58" i="24"/>
  <c r="Q58" i="24" s="1"/>
  <c r="M36" i="24"/>
  <c r="C115" i="24"/>
  <c r="H42" i="24"/>
  <c r="M42" i="24"/>
  <c r="N42" i="24"/>
  <c r="P55" i="24"/>
  <c r="O55" i="24"/>
  <c r="N43" i="24"/>
  <c r="M43" i="24"/>
  <c r="H43" i="24"/>
  <c r="R63" i="24"/>
  <c r="Q63" i="24"/>
  <c r="M44" i="24"/>
  <c r="N44" i="24"/>
  <c r="H44" i="24"/>
  <c r="C116" i="24"/>
  <c r="N39" i="24"/>
  <c r="H39" i="24"/>
  <c r="M39" i="24"/>
  <c r="K37" i="24"/>
  <c r="K51" i="24"/>
  <c r="X85" i="24"/>
  <c r="W85" i="24"/>
  <c r="Z52" i="24"/>
  <c r="AB52" i="24" s="1"/>
  <c r="AD52" i="24" s="1"/>
  <c r="AF52" i="24" s="1"/>
  <c r="AH52" i="24" s="1"/>
  <c r="AJ52" i="24" s="1"/>
  <c r="Y52" i="24"/>
  <c r="V93" i="24"/>
  <c r="U93" i="24"/>
  <c r="Z61" i="24"/>
  <c r="AB61" i="24" s="1"/>
  <c r="AD61" i="24" s="1"/>
  <c r="AF61" i="24" s="1"/>
  <c r="AH61" i="24" s="1"/>
  <c r="AJ61" i="24" s="1"/>
  <c r="Y61" i="24"/>
  <c r="T62" i="24"/>
  <c r="S62" i="24"/>
  <c r="P92" i="24"/>
  <c r="O92" i="24"/>
  <c r="T57" i="24"/>
  <c r="S57" i="24"/>
  <c r="T36" i="24"/>
  <c r="S36" i="24"/>
  <c r="V35" i="24"/>
  <c r="U35" i="24"/>
  <c r="Y40" i="24"/>
  <c r="AC88" i="24"/>
  <c r="AC82" i="24"/>
  <c r="AC78" i="24"/>
  <c r="AC93" i="24"/>
  <c r="AC90" i="24"/>
  <c r="AC87" i="24"/>
  <c r="AC92" i="24"/>
  <c r="AC74" i="24"/>
  <c r="AC83" i="24"/>
  <c r="AC76" i="24"/>
  <c r="AC86" i="24"/>
  <c r="AC81" i="24"/>
  <c r="AC79" i="24"/>
  <c r="AC75" i="24"/>
  <c r="AC60" i="24"/>
  <c r="AC56" i="24"/>
  <c r="AC62" i="24"/>
  <c r="AC80" i="24"/>
  <c r="AC73" i="24"/>
  <c r="AC63" i="24"/>
  <c r="AC59" i="24"/>
  <c r="AC49" i="24"/>
  <c r="AC77" i="24"/>
  <c r="AC61" i="24"/>
  <c r="AC54" i="24"/>
  <c r="AC68" i="24"/>
  <c r="AC67" i="24"/>
  <c r="AC66" i="24"/>
  <c r="AC65" i="24"/>
  <c r="AC64" i="24"/>
  <c r="AC58" i="24"/>
  <c r="AC55" i="24"/>
  <c r="AC53" i="24"/>
  <c r="AC57" i="24"/>
  <c r="AC48" i="24"/>
  <c r="AC46" i="24"/>
  <c r="AC37" i="24"/>
  <c r="AC72" i="24"/>
  <c r="AC52" i="24"/>
  <c r="AC44" i="24"/>
  <c r="AC39" i="24"/>
  <c r="AC51" i="24"/>
  <c r="AC47" i="24"/>
  <c r="AC42" i="24"/>
  <c r="AC38" i="24"/>
  <c r="AE31" i="24"/>
  <c r="AC45" i="24"/>
  <c r="AC50" i="24"/>
  <c r="Z34" i="24"/>
  <c r="Y34" i="24"/>
  <c r="T60" i="24"/>
  <c r="S60" i="24"/>
  <c r="B9" i="23"/>
  <c r="A9" i="23" s="1"/>
  <c r="D99" i="9"/>
  <c r="D86" i="18"/>
  <c r="C11" i="23"/>
  <c r="E11" i="23"/>
  <c r="A11" i="23"/>
  <c r="D11" i="23"/>
  <c r="B12" i="23"/>
  <c r="E12" i="23" s="1"/>
  <c r="K237" i="16" l="1"/>
  <c r="F237" i="16"/>
  <c r="H238" i="16"/>
  <c r="N236" i="16"/>
  <c r="M236" i="16"/>
  <c r="P235" i="16"/>
  <c r="R234" i="16"/>
  <c r="T234" i="16" s="1"/>
  <c r="V234" i="16" s="1"/>
  <c r="X234" i="16" s="1"/>
  <c r="Z234" i="16" s="1"/>
  <c r="AB234" i="16" s="1"/>
  <c r="AD234" i="16" s="1"/>
  <c r="AF234" i="16" s="1"/>
  <c r="AH234" i="16" s="1"/>
  <c r="AJ234" i="16" s="1"/>
  <c r="D88" i="27"/>
  <c r="F88" i="27" s="1"/>
  <c r="I88" i="27" s="1"/>
  <c r="D100" i="26"/>
  <c r="L86" i="27"/>
  <c r="K86" i="27"/>
  <c r="AE43" i="24"/>
  <c r="AE84" i="24"/>
  <c r="Z33" i="24"/>
  <c r="Y33" i="24"/>
  <c r="W32" i="24"/>
  <c r="X32" i="24"/>
  <c r="P54" i="24"/>
  <c r="D26" i="24"/>
  <c r="F26" i="24" s="1"/>
  <c r="J26" i="24" s="1"/>
  <c r="K26" i="24" s="1"/>
  <c r="D24" i="24"/>
  <c r="F24" i="24" s="1"/>
  <c r="J24" i="24" s="1"/>
  <c r="K24" i="24" s="1"/>
  <c r="F23" i="24"/>
  <c r="R58" i="24"/>
  <c r="T58" i="24" s="1"/>
  <c r="V58" i="24" s="1"/>
  <c r="N56" i="24"/>
  <c r="M56" i="24"/>
  <c r="V40" i="24"/>
  <c r="U40" i="24"/>
  <c r="Q55" i="24"/>
  <c r="R55" i="24"/>
  <c r="O44" i="24"/>
  <c r="P44" i="24"/>
  <c r="P43" i="24"/>
  <c r="O43" i="24"/>
  <c r="P42" i="24"/>
  <c r="O42" i="24"/>
  <c r="M51" i="24"/>
  <c r="N51" i="24"/>
  <c r="O39" i="24"/>
  <c r="P39" i="24"/>
  <c r="S63" i="24"/>
  <c r="T63" i="24"/>
  <c r="N37" i="24"/>
  <c r="H37" i="24"/>
  <c r="M37" i="24"/>
  <c r="Z85" i="24"/>
  <c r="Y85" i="24"/>
  <c r="D9" i="23"/>
  <c r="E9" i="23"/>
  <c r="AB34" i="24"/>
  <c r="AA34" i="24"/>
  <c r="X35" i="24"/>
  <c r="W35" i="24"/>
  <c r="V57" i="24"/>
  <c r="X57" i="24" s="1"/>
  <c r="Z57" i="24" s="1"/>
  <c r="AB57" i="24" s="1"/>
  <c r="AD57" i="24" s="1"/>
  <c r="AF57" i="24" s="1"/>
  <c r="AH57" i="24" s="1"/>
  <c r="AJ57" i="24" s="1"/>
  <c r="U57" i="24"/>
  <c r="R92" i="24"/>
  <c r="Q92" i="24"/>
  <c r="V36" i="24"/>
  <c r="U36" i="24"/>
  <c r="V62" i="24"/>
  <c r="U62" i="24"/>
  <c r="X93" i="24"/>
  <c r="W93" i="24"/>
  <c r="W63" i="24"/>
  <c r="V60" i="24"/>
  <c r="U60" i="24"/>
  <c r="AE92" i="24"/>
  <c r="AE86" i="24"/>
  <c r="AE80" i="24"/>
  <c r="AE83" i="24"/>
  <c r="AE82" i="24"/>
  <c r="AE78" i="24"/>
  <c r="AE76" i="24"/>
  <c r="AE72" i="24"/>
  <c r="AE93" i="24"/>
  <c r="AE88" i="24"/>
  <c r="AE81" i="24"/>
  <c r="AE74" i="24"/>
  <c r="AE90" i="24"/>
  <c r="AE87" i="24"/>
  <c r="AE77" i="24"/>
  <c r="AE62" i="24"/>
  <c r="AE58" i="24"/>
  <c r="AE73" i="24"/>
  <c r="AE68" i="24"/>
  <c r="AE67" i="24"/>
  <c r="AE66" i="24"/>
  <c r="AE65" i="24"/>
  <c r="AE64" i="24"/>
  <c r="AE75" i="24"/>
  <c r="AE61" i="24"/>
  <c r="AE53" i="24"/>
  <c r="AE52" i="24"/>
  <c r="AE60" i="24"/>
  <c r="AE57" i="24"/>
  <c r="AE55" i="24"/>
  <c r="AE54" i="24"/>
  <c r="AE44" i="24"/>
  <c r="AE39" i="24"/>
  <c r="AG31" i="24"/>
  <c r="AE56" i="24"/>
  <c r="AE46" i="24"/>
  <c r="AE37" i="24"/>
  <c r="AE79" i="24"/>
  <c r="AE50" i="24"/>
  <c r="AE48" i="24"/>
  <c r="AE45" i="24"/>
  <c r="AE59" i="24"/>
  <c r="AE51" i="24"/>
  <c r="AE49" i="24"/>
  <c r="AE47" i="24"/>
  <c r="AE42" i="24"/>
  <c r="AE63" i="24"/>
  <c r="AE38" i="24"/>
  <c r="AA40" i="24"/>
  <c r="W69" i="24"/>
  <c r="C9" i="23"/>
  <c r="D101" i="9"/>
  <c r="D88" i="18"/>
  <c r="A12" i="23"/>
  <c r="C12" i="23"/>
  <c r="D12" i="23"/>
  <c r="X40" i="24" l="1"/>
  <c r="Z40" i="24" s="1"/>
  <c r="AB40" i="24" s="1"/>
  <c r="W40" i="24"/>
  <c r="R235" i="16"/>
  <c r="T235" i="16" s="1"/>
  <c r="V235" i="16" s="1"/>
  <c r="X235" i="16" s="1"/>
  <c r="Z235" i="16" s="1"/>
  <c r="AB235" i="16" s="1"/>
  <c r="AD235" i="16" s="1"/>
  <c r="AF235" i="16" s="1"/>
  <c r="AH235" i="16" s="1"/>
  <c r="AJ235" i="16" s="1"/>
  <c r="P236" i="16"/>
  <c r="H239" i="16"/>
  <c r="K238" i="16"/>
  <c r="F238" i="16"/>
  <c r="M237" i="16"/>
  <c r="N237" i="16"/>
  <c r="D98" i="9"/>
  <c r="D85" i="27"/>
  <c r="F85" i="27" s="1"/>
  <c r="D97" i="26"/>
  <c r="D87" i="27"/>
  <c r="F87" i="27" s="1"/>
  <c r="I87" i="27" s="1"/>
  <c r="D99" i="26"/>
  <c r="N86" i="27"/>
  <c r="M86" i="27"/>
  <c r="AG43" i="24"/>
  <c r="AG84" i="24"/>
  <c r="L88" i="27"/>
  <c r="K88" i="27"/>
  <c r="AB33" i="24"/>
  <c r="AA33" i="24"/>
  <c r="Y32" i="24"/>
  <c r="Z32" i="24"/>
  <c r="Q54" i="24"/>
  <c r="R54" i="24"/>
  <c r="S58" i="24"/>
  <c r="J23" i="24"/>
  <c r="K23" i="24" s="1"/>
  <c r="U58" i="24"/>
  <c r="P56" i="24"/>
  <c r="O56" i="24"/>
  <c r="V63" i="24"/>
  <c r="X63" i="24" s="1"/>
  <c r="Z63" i="24" s="1"/>
  <c r="U63" i="24"/>
  <c r="O51" i="24"/>
  <c r="P51" i="24"/>
  <c r="T55" i="24"/>
  <c r="S55" i="24"/>
  <c r="R43" i="24"/>
  <c r="Q43" i="24"/>
  <c r="R39" i="24"/>
  <c r="Q39" i="24"/>
  <c r="Q44" i="24"/>
  <c r="R44" i="24"/>
  <c r="O37" i="24"/>
  <c r="P37" i="24"/>
  <c r="R42" i="24"/>
  <c r="Q42" i="24"/>
  <c r="AB85" i="24"/>
  <c r="AA85" i="24"/>
  <c r="W51" i="24"/>
  <c r="X62" i="24"/>
  <c r="W62" i="24"/>
  <c r="Z93" i="24"/>
  <c r="Y93" i="24"/>
  <c r="X36" i="24"/>
  <c r="W36" i="24"/>
  <c r="W54" i="24"/>
  <c r="T92" i="24"/>
  <c r="S92" i="24"/>
  <c r="AG88" i="24"/>
  <c r="AG82" i="24"/>
  <c r="AG78" i="24"/>
  <c r="AG93" i="24"/>
  <c r="AG90" i="24"/>
  <c r="AG87" i="24"/>
  <c r="AG92" i="24"/>
  <c r="AG83" i="24"/>
  <c r="AG81" i="24"/>
  <c r="AG79" i="24"/>
  <c r="AG74" i="24"/>
  <c r="AG80" i="24"/>
  <c r="AG76" i="24"/>
  <c r="AG75" i="24"/>
  <c r="AG77" i="24"/>
  <c r="AG73" i="24"/>
  <c r="AG60" i="24"/>
  <c r="AG56" i="24"/>
  <c r="AG72" i="24"/>
  <c r="AG62" i="24"/>
  <c r="AG86" i="24"/>
  <c r="AG57" i="24"/>
  <c r="AG49" i="24"/>
  <c r="AG70" i="24"/>
  <c r="AG69" i="24"/>
  <c r="AG68" i="24"/>
  <c r="AG67" i="24"/>
  <c r="AG66" i="24"/>
  <c r="AG65" i="24"/>
  <c r="AG64" i="24"/>
  <c r="AG59" i="24"/>
  <c r="AG54" i="24"/>
  <c r="AG63" i="24"/>
  <c r="AG53" i="24"/>
  <c r="AG52" i="24"/>
  <c r="AG61" i="24"/>
  <c r="AG58" i="24"/>
  <c r="AG51" i="24"/>
  <c r="AG46" i="24"/>
  <c r="AG37" i="24"/>
  <c r="AG50" i="24"/>
  <c r="AG44" i="24"/>
  <c r="AG39" i="24"/>
  <c r="AG55" i="24"/>
  <c r="AG47" i="24"/>
  <c r="AG42" i="24"/>
  <c r="AG38" i="24"/>
  <c r="AG34" i="24"/>
  <c r="AI31" i="24"/>
  <c r="AG48" i="24"/>
  <c r="AG40" i="24"/>
  <c r="AG45" i="24"/>
  <c r="Y63" i="24"/>
  <c r="W59" i="24"/>
  <c r="Z35" i="24"/>
  <c r="Y35" i="24"/>
  <c r="Y69" i="24"/>
  <c r="X58" i="24"/>
  <c r="W58" i="24"/>
  <c r="AD40" i="24"/>
  <c r="AC40" i="24"/>
  <c r="X60" i="24"/>
  <c r="W60" i="24"/>
  <c r="AD34" i="24"/>
  <c r="AC34" i="24"/>
  <c r="D85" i="18"/>
  <c r="D100" i="9"/>
  <c r="D87" i="18"/>
  <c r="D49" i="1"/>
  <c r="AD33" i="24" l="1"/>
  <c r="AC33" i="24"/>
  <c r="N238" i="16"/>
  <c r="M238" i="16"/>
  <c r="F239" i="16"/>
  <c r="H240" i="16"/>
  <c r="K239" i="16"/>
  <c r="R236" i="16"/>
  <c r="T236" i="16" s="1"/>
  <c r="V236" i="16" s="1"/>
  <c r="X236" i="16" s="1"/>
  <c r="Z236" i="16" s="1"/>
  <c r="AB236" i="16" s="1"/>
  <c r="AD236" i="16" s="1"/>
  <c r="AF236" i="16" s="1"/>
  <c r="AH236" i="16" s="1"/>
  <c r="AJ236" i="16" s="1"/>
  <c r="P237" i="16"/>
  <c r="P86" i="27"/>
  <c r="O86" i="27"/>
  <c r="AI43" i="24"/>
  <c r="AI84" i="24"/>
  <c r="L87" i="27"/>
  <c r="K87" i="27"/>
  <c r="N88" i="27"/>
  <c r="M88" i="27"/>
  <c r="F89" i="27"/>
  <c r="I89" i="27" s="1"/>
  <c r="I85" i="27"/>
  <c r="D49" i="24"/>
  <c r="F49" i="24" s="1"/>
  <c r="J49" i="24" s="1"/>
  <c r="L49" i="24" s="1"/>
  <c r="D44" i="28"/>
  <c r="F44" i="28" s="1"/>
  <c r="H44" i="28" s="1"/>
  <c r="I44" i="28" s="1"/>
  <c r="D44" i="27"/>
  <c r="F44" i="27" s="1"/>
  <c r="I44" i="27" s="1"/>
  <c r="D49" i="26"/>
  <c r="AA32" i="24"/>
  <c r="AB32" i="24"/>
  <c r="T54" i="24"/>
  <c r="S54" i="24"/>
  <c r="Q56" i="24"/>
  <c r="R56" i="24"/>
  <c r="T42" i="24"/>
  <c r="S42" i="24"/>
  <c r="T43" i="24"/>
  <c r="S43" i="24"/>
  <c r="Q37" i="24"/>
  <c r="R37" i="24"/>
  <c r="T39" i="24"/>
  <c r="S39" i="24"/>
  <c r="U55" i="24"/>
  <c r="V55" i="24"/>
  <c r="X55" i="24" s="1"/>
  <c r="Z55" i="24" s="1"/>
  <c r="AB55" i="24" s="1"/>
  <c r="AD55" i="24" s="1"/>
  <c r="AF55" i="24" s="1"/>
  <c r="AH55" i="24" s="1"/>
  <c r="AJ55" i="24" s="1"/>
  <c r="T44" i="24"/>
  <c r="S44" i="24"/>
  <c r="R51" i="24"/>
  <c r="Q51" i="24"/>
  <c r="AD85" i="24"/>
  <c r="AC85" i="24"/>
  <c r="Y59" i="24"/>
  <c r="Y42" i="24"/>
  <c r="AF34" i="24"/>
  <c r="AH34" i="24" s="1"/>
  <c r="AJ34" i="24" s="1"/>
  <c r="AE34" i="24"/>
  <c r="AF40" i="24"/>
  <c r="AH40" i="24" s="1"/>
  <c r="AJ40" i="24" s="1"/>
  <c r="AE40" i="24"/>
  <c r="AA69" i="24"/>
  <c r="Y39" i="24"/>
  <c r="AB63" i="24"/>
  <c r="AD63" i="24" s="1"/>
  <c r="AF63" i="24" s="1"/>
  <c r="AH63" i="24" s="1"/>
  <c r="AJ63" i="24" s="1"/>
  <c r="AA63" i="24"/>
  <c r="AI92" i="24"/>
  <c r="AI86" i="24"/>
  <c r="AI80" i="24"/>
  <c r="AI83" i="24"/>
  <c r="AI88" i="24"/>
  <c r="AI77" i="24"/>
  <c r="AI76" i="24"/>
  <c r="AI72" i="24"/>
  <c r="AI90" i="24"/>
  <c r="AI82" i="24"/>
  <c r="AI79" i="24"/>
  <c r="AI74" i="24"/>
  <c r="AI81" i="24"/>
  <c r="AI78" i="24"/>
  <c r="AI75" i="24"/>
  <c r="AI62" i="24"/>
  <c r="AI58" i="24"/>
  <c r="AI54" i="24"/>
  <c r="AI87" i="24"/>
  <c r="AI73" i="24"/>
  <c r="AI70" i="24"/>
  <c r="AI69" i="24"/>
  <c r="AI68" i="24"/>
  <c r="AI67" i="24"/>
  <c r="AI66" i="24"/>
  <c r="AI65" i="24"/>
  <c r="AI64" i="24"/>
  <c r="AI93" i="24"/>
  <c r="AI59" i="24"/>
  <c r="AI56" i="24"/>
  <c r="AI53" i="24"/>
  <c r="AI52" i="24"/>
  <c r="AI63" i="24"/>
  <c r="AI61" i="24"/>
  <c r="AI60" i="24"/>
  <c r="AI57" i="24"/>
  <c r="AI55" i="24"/>
  <c r="AI50" i="24"/>
  <c r="AI48" i="24"/>
  <c r="AI44" i="24"/>
  <c r="AI39" i="24"/>
  <c r="AI51" i="24"/>
  <c r="AI49" i="24"/>
  <c r="AI46" i="24"/>
  <c r="AI41" i="24"/>
  <c r="AI37" i="24"/>
  <c r="AI33" i="24"/>
  <c r="AK31" i="24"/>
  <c r="AI45" i="24"/>
  <c r="AI40" i="24"/>
  <c r="AI36" i="24"/>
  <c r="AI32" i="24"/>
  <c r="AI42" i="24"/>
  <c r="AI38" i="24"/>
  <c r="AI34" i="24"/>
  <c r="AI47" i="24"/>
  <c r="W50" i="24"/>
  <c r="Y54" i="24"/>
  <c r="Y37" i="24"/>
  <c r="AB93" i="24"/>
  <c r="AD93" i="24" s="1"/>
  <c r="AF93" i="24" s="1"/>
  <c r="AH93" i="24" s="1"/>
  <c r="AJ93" i="24" s="1"/>
  <c r="AA93" i="24"/>
  <c r="Z62" i="24"/>
  <c r="AB62" i="24" s="1"/>
  <c r="AD62" i="24" s="1"/>
  <c r="AF62" i="24" s="1"/>
  <c r="AH62" i="24" s="1"/>
  <c r="AJ62" i="24" s="1"/>
  <c r="Y62" i="24"/>
  <c r="Z60" i="24"/>
  <c r="AB60" i="24" s="1"/>
  <c r="AD60" i="24" s="1"/>
  <c r="AF60" i="24" s="1"/>
  <c r="AH60" i="24" s="1"/>
  <c r="AJ60" i="24" s="1"/>
  <c r="Y60" i="24"/>
  <c r="Z58" i="24"/>
  <c r="Y58" i="24"/>
  <c r="AB35" i="24"/>
  <c r="AA35" i="24"/>
  <c r="V92" i="24"/>
  <c r="U92" i="24"/>
  <c r="Y38" i="24"/>
  <c r="Z36" i="24"/>
  <c r="Y36" i="24"/>
  <c r="Y51" i="24"/>
  <c r="R15" i="18"/>
  <c r="AF33" i="24" l="1"/>
  <c r="AE33" i="24"/>
  <c r="P238" i="16"/>
  <c r="M239" i="16"/>
  <c r="N239" i="16"/>
  <c r="K240" i="16"/>
  <c r="H241" i="16"/>
  <c r="F240" i="16"/>
  <c r="R237" i="16"/>
  <c r="T237" i="16" s="1"/>
  <c r="V237" i="16" s="1"/>
  <c r="X237" i="16" s="1"/>
  <c r="Z237" i="16" s="1"/>
  <c r="AB237" i="16" s="1"/>
  <c r="AD237" i="16" s="1"/>
  <c r="AF237" i="16" s="1"/>
  <c r="AH237" i="16" s="1"/>
  <c r="AJ237" i="16" s="1"/>
  <c r="AK85" i="24"/>
  <c r="AK84" i="24"/>
  <c r="G84" i="24" s="1"/>
  <c r="AK43" i="24"/>
  <c r="N87" i="27"/>
  <c r="M87" i="27"/>
  <c r="P88" i="27"/>
  <c r="O88" i="27"/>
  <c r="L85" i="27"/>
  <c r="K85" i="27"/>
  <c r="K89" i="27"/>
  <c r="L89" i="27"/>
  <c r="R86" i="27"/>
  <c r="Q86" i="27"/>
  <c r="L44" i="27"/>
  <c r="K44" i="27"/>
  <c r="AC32" i="24"/>
  <c r="AD32" i="24"/>
  <c r="U54" i="24"/>
  <c r="V54" i="24"/>
  <c r="X54" i="24" s="1"/>
  <c r="Z54" i="24" s="1"/>
  <c r="AB54" i="24" s="1"/>
  <c r="AD54" i="24" s="1"/>
  <c r="AF54" i="24" s="1"/>
  <c r="AH54" i="24" s="1"/>
  <c r="AJ54" i="24" s="1"/>
  <c r="S56" i="24"/>
  <c r="T56" i="24"/>
  <c r="K49" i="24"/>
  <c r="U44" i="24"/>
  <c r="V44" i="24"/>
  <c r="V39" i="24"/>
  <c r="U39" i="24"/>
  <c r="U42" i="24"/>
  <c r="V42" i="24"/>
  <c r="T37" i="24"/>
  <c r="S37" i="24"/>
  <c r="S51" i="24"/>
  <c r="T51" i="24"/>
  <c r="U43" i="24"/>
  <c r="V43" i="24"/>
  <c r="AF85" i="24"/>
  <c r="AE85" i="24"/>
  <c r="AA59" i="24"/>
  <c r="AB36" i="24"/>
  <c r="AA36" i="24"/>
  <c r="AD35" i="24"/>
  <c r="AC35" i="24"/>
  <c r="AC69" i="24"/>
  <c r="X92" i="24"/>
  <c r="W92" i="24"/>
  <c r="AK88" i="24"/>
  <c r="G88" i="24" s="1"/>
  <c r="AK82" i="24"/>
  <c r="G82" i="24" s="1"/>
  <c r="AK78" i="24"/>
  <c r="G78" i="24" s="1"/>
  <c r="AK93" i="24"/>
  <c r="G93" i="24" s="1"/>
  <c r="AK90" i="24"/>
  <c r="G90" i="24" s="1"/>
  <c r="AK87" i="24"/>
  <c r="G87" i="24" s="1"/>
  <c r="AK92" i="24"/>
  <c r="AK74" i="24"/>
  <c r="G74" i="24" s="1"/>
  <c r="AK70" i="24"/>
  <c r="AK83" i="24"/>
  <c r="G83" i="24" s="1"/>
  <c r="AK77" i="24"/>
  <c r="G77" i="24" s="1"/>
  <c r="AK76" i="24"/>
  <c r="G76" i="24" s="1"/>
  <c r="AK86" i="24"/>
  <c r="G86" i="24" s="1"/>
  <c r="AK80" i="24"/>
  <c r="G80" i="24" s="1"/>
  <c r="AK75" i="24"/>
  <c r="G75" i="24" s="1"/>
  <c r="AK79" i="24"/>
  <c r="G79" i="24" s="1"/>
  <c r="AK60" i="24"/>
  <c r="G60" i="24" s="1"/>
  <c r="AK56" i="24"/>
  <c r="AK62" i="24"/>
  <c r="G62" i="24" s="1"/>
  <c r="AK81" i="24"/>
  <c r="G81" i="24" s="1"/>
  <c r="AK72" i="24"/>
  <c r="G72" i="24" s="1"/>
  <c r="AK69" i="24"/>
  <c r="AK68" i="24"/>
  <c r="G68" i="24" s="1"/>
  <c r="AK67" i="24"/>
  <c r="AK66" i="24"/>
  <c r="AK65" i="24"/>
  <c r="G65" i="24" s="1"/>
  <c r="AK64" i="24"/>
  <c r="AK63" i="24"/>
  <c r="G63" i="24" s="1"/>
  <c r="AK58" i="24"/>
  <c r="AK55" i="24"/>
  <c r="G55" i="24" s="1"/>
  <c r="AK49" i="24"/>
  <c r="AK61" i="24"/>
  <c r="G61" i="24" s="1"/>
  <c r="AK57" i="24"/>
  <c r="G57" i="24" s="1"/>
  <c r="AK59" i="24"/>
  <c r="AK54" i="24"/>
  <c r="AK53" i="24"/>
  <c r="AK52" i="24"/>
  <c r="G52" i="24" s="1"/>
  <c r="AK46" i="24"/>
  <c r="G46" i="24" s="1"/>
  <c r="AK41" i="24"/>
  <c r="AK37" i="24"/>
  <c r="AK33" i="24"/>
  <c r="AK48" i="24"/>
  <c r="AK44" i="24"/>
  <c r="AK39" i="24"/>
  <c r="AK73" i="24"/>
  <c r="G73" i="24" s="1"/>
  <c r="AK50" i="24"/>
  <c r="AK47" i="24"/>
  <c r="G47" i="24" s="1"/>
  <c r="AK42" i="24"/>
  <c r="AK38" i="24"/>
  <c r="AK34" i="24"/>
  <c r="G34" i="24" s="1"/>
  <c r="AK32" i="24"/>
  <c r="AK45" i="24"/>
  <c r="AK51" i="24"/>
  <c r="AK40" i="24"/>
  <c r="G40" i="24" s="1"/>
  <c r="AK36" i="24"/>
  <c r="AA39" i="24"/>
  <c r="AA42" i="24"/>
  <c r="Y50" i="24"/>
  <c r="AB58" i="24"/>
  <c r="AD58" i="24" s="1"/>
  <c r="AF58" i="24" s="1"/>
  <c r="AH58" i="24" s="1"/>
  <c r="AJ58" i="24" s="1"/>
  <c r="AA58" i="24"/>
  <c r="F6" i="18"/>
  <c r="AD36" i="24" l="1"/>
  <c r="AC36" i="24"/>
  <c r="X44" i="24"/>
  <c r="Z44" i="24" s="1"/>
  <c r="AB44" i="24" s="1"/>
  <c r="AD44" i="24" s="1"/>
  <c r="AF44" i="24" s="1"/>
  <c r="AH44" i="24" s="1"/>
  <c r="AJ44" i="24" s="1"/>
  <c r="W44" i="24"/>
  <c r="AH33" i="24"/>
  <c r="AJ33" i="24" s="1"/>
  <c r="AG33" i="24"/>
  <c r="G33" i="24" s="1"/>
  <c r="X42" i="24"/>
  <c r="Z42" i="24" s="1"/>
  <c r="AB42" i="24" s="1"/>
  <c r="AD42" i="24" s="1"/>
  <c r="AF42" i="24" s="1"/>
  <c r="AH42" i="24" s="1"/>
  <c r="AJ42" i="24" s="1"/>
  <c r="W42" i="24"/>
  <c r="G42" i="24" s="1"/>
  <c r="X39" i="24"/>
  <c r="Z39" i="24" s="1"/>
  <c r="AB39" i="24" s="1"/>
  <c r="AD39" i="24" s="1"/>
  <c r="AF39" i="24" s="1"/>
  <c r="AH39" i="24" s="1"/>
  <c r="AJ39" i="24" s="1"/>
  <c r="W39" i="24"/>
  <c r="G39" i="24" s="1"/>
  <c r="X43" i="24"/>
  <c r="Z43" i="24" s="1"/>
  <c r="AB43" i="24" s="1"/>
  <c r="AD43" i="24" s="1"/>
  <c r="AF43" i="24" s="1"/>
  <c r="AH43" i="24" s="1"/>
  <c r="AJ43" i="24" s="1"/>
  <c r="W43" i="24"/>
  <c r="G43" i="24" s="1"/>
  <c r="G54" i="24"/>
  <c r="N240" i="16"/>
  <c r="M240" i="16"/>
  <c r="R238" i="16"/>
  <c r="T238" i="16" s="1"/>
  <c r="V238" i="16" s="1"/>
  <c r="X238" i="16" s="1"/>
  <c r="Z238" i="16" s="1"/>
  <c r="AB238" i="16" s="1"/>
  <c r="AD238" i="16" s="1"/>
  <c r="AF238" i="16" s="1"/>
  <c r="AH238" i="16" s="1"/>
  <c r="AJ238" i="16" s="1"/>
  <c r="K241" i="16"/>
  <c r="F241" i="16"/>
  <c r="H242" i="16"/>
  <c r="P239" i="16"/>
  <c r="R88" i="27"/>
  <c r="Q88" i="27"/>
  <c r="T86" i="27"/>
  <c r="S86" i="27"/>
  <c r="P87" i="27"/>
  <c r="O87" i="27"/>
  <c r="N89" i="27"/>
  <c r="M89" i="27"/>
  <c r="N85" i="27"/>
  <c r="M85" i="27"/>
  <c r="N44" i="27"/>
  <c r="M44" i="27"/>
  <c r="AF32" i="24"/>
  <c r="AE32" i="24"/>
  <c r="V56" i="24"/>
  <c r="X56" i="24" s="1"/>
  <c r="Z56" i="24" s="1"/>
  <c r="AB56" i="24" s="1"/>
  <c r="AD56" i="24" s="1"/>
  <c r="AF56" i="24" s="1"/>
  <c r="AH56" i="24" s="1"/>
  <c r="AJ56" i="24" s="1"/>
  <c r="U56" i="24"/>
  <c r="G56" i="24" s="1"/>
  <c r="M49" i="24"/>
  <c r="N49" i="24"/>
  <c r="H49" i="24"/>
  <c r="G44" i="24"/>
  <c r="V51" i="24"/>
  <c r="X51" i="24" s="1"/>
  <c r="Z51" i="24" s="1"/>
  <c r="AB51" i="24" s="1"/>
  <c r="AD51" i="24" s="1"/>
  <c r="AF51" i="24" s="1"/>
  <c r="AH51" i="24" s="1"/>
  <c r="AJ51" i="24" s="1"/>
  <c r="U51" i="24"/>
  <c r="G51" i="24" s="1"/>
  <c r="U37" i="24"/>
  <c r="V37" i="24"/>
  <c r="AG85" i="24"/>
  <c r="AH85" i="24"/>
  <c r="G58" i="24"/>
  <c r="AF35" i="24"/>
  <c r="AE35" i="24"/>
  <c r="AE69" i="24"/>
  <c r="Z92" i="24"/>
  <c r="Y92" i="24"/>
  <c r="F187" i="16"/>
  <c r="X37" i="24" l="1"/>
  <c r="Z37" i="24" s="1"/>
  <c r="AB37" i="24" s="1"/>
  <c r="AD37" i="24" s="1"/>
  <c r="AF37" i="24" s="1"/>
  <c r="AH37" i="24" s="1"/>
  <c r="AJ37" i="24" s="1"/>
  <c r="W37" i="24"/>
  <c r="G37" i="24" s="1"/>
  <c r="AH32" i="24"/>
  <c r="AJ32" i="24" s="1"/>
  <c r="AG32" i="24"/>
  <c r="G32" i="24" s="1"/>
  <c r="AF36" i="24"/>
  <c r="AE36" i="24"/>
  <c r="M241" i="16"/>
  <c r="N241" i="16"/>
  <c r="P240" i="16"/>
  <c r="R239" i="16"/>
  <c r="T239" i="16" s="1"/>
  <c r="V239" i="16" s="1"/>
  <c r="X239" i="16" s="1"/>
  <c r="Z239" i="16" s="1"/>
  <c r="AB239" i="16" s="1"/>
  <c r="AD239" i="16" s="1"/>
  <c r="AF239" i="16" s="1"/>
  <c r="AH239" i="16" s="1"/>
  <c r="AJ239" i="16" s="1"/>
  <c r="H243" i="16"/>
  <c r="K242" i="16"/>
  <c r="F242" i="16"/>
  <c r="P89" i="27"/>
  <c r="O89" i="27"/>
  <c r="R87" i="27"/>
  <c r="Q87" i="27"/>
  <c r="V86" i="27"/>
  <c r="U86" i="27"/>
  <c r="O85" i="27"/>
  <c r="P85" i="27"/>
  <c r="T88" i="27"/>
  <c r="S88" i="27"/>
  <c r="O44" i="27"/>
  <c r="P44" i="27"/>
  <c r="O49" i="24"/>
  <c r="P49" i="24"/>
  <c r="AI85" i="24"/>
  <c r="G85" i="24" s="1"/>
  <c r="AJ85" i="24"/>
  <c r="AB92" i="24"/>
  <c r="AD92" i="24" s="1"/>
  <c r="AF92" i="24" s="1"/>
  <c r="AH92" i="24" s="1"/>
  <c r="AJ92" i="24" s="1"/>
  <c r="AA92" i="24"/>
  <c r="G92" i="24" s="1"/>
  <c r="AH35" i="24"/>
  <c r="AG35" i="24"/>
  <c r="P35" i="17"/>
  <c r="L98" i="9"/>
  <c r="L101" i="9"/>
  <c r="AH36" i="24" l="1"/>
  <c r="AJ36" i="24" s="1"/>
  <c r="AG36" i="24"/>
  <c r="G36" i="24" s="1"/>
  <c r="R240" i="16"/>
  <c r="T240" i="16" s="1"/>
  <c r="V240" i="16" s="1"/>
  <c r="X240" i="16" s="1"/>
  <c r="Z240" i="16" s="1"/>
  <c r="AB240" i="16" s="1"/>
  <c r="AD240" i="16" s="1"/>
  <c r="AF240" i="16" s="1"/>
  <c r="AH240" i="16" s="1"/>
  <c r="AJ240" i="16" s="1"/>
  <c r="P241" i="16"/>
  <c r="N242" i="16"/>
  <c r="M242" i="16"/>
  <c r="F243" i="16"/>
  <c r="H244" i="16"/>
  <c r="K243" i="16"/>
  <c r="X86" i="27"/>
  <c r="Z86" i="27" s="1"/>
  <c r="AB86" i="27" s="1"/>
  <c r="AD86" i="27" s="1"/>
  <c r="AF86" i="27" s="1"/>
  <c r="AH86" i="27" s="1"/>
  <c r="W86" i="27"/>
  <c r="G86" i="27" s="1"/>
  <c r="S87" i="27"/>
  <c r="T87" i="27"/>
  <c r="Q85" i="27"/>
  <c r="R85" i="27"/>
  <c r="U88" i="27"/>
  <c r="V88" i="27"/>
  <c r="Q89" i="27"/>
  <c r="R89" i="27"/>
  <c r="R44" i="27"/>
  <c r="Q44" i="27"/>
  <c r="Q49" i="24"/>
  <c r="R49" i="24"/>
  <c r="AJ35" i="24"/>
  <c r="AK35" i="24" s="1"/>
  <c r="AI35" i="24"/>
  <c r="L100" i="9"/>
  <c r="L99" i="9"/>
  <c r="P131" i="17"/>
  <c r="P130" i="17"/>
  <c r="G237" i="22"/>
  <c r="G236" i="22"/>
  <c r="G235" i="22"/>
  <c r="G234" i="22"/>
  <c r="G233" i="22"/>
  <c r="G232" i="22"/>
  <c r="G231" i="22"/>
  <c r="G230" i="22"/>
  <c r="G229" i="22"/>
  <c r="G228" i="22"/>
  <c r="G227" i="22"/>
  <c r="G226" i="22"/>
  <c r="G225" i="22"/>
  <c r="G224" i="22"/>
  <c r="G223" i="22"/>
  <c r="G222" i="22"/>
  <c r="G221" i="22"/>
  <c r="G220" i="22"/>
  <c r="G219" i="22"/>
  <c r="G218" i="22"/>
  <c r="G217" i="22"/>
  <c r="G216" i="22"/>
  <c r="G215" i="22"/>
  <c r="G214" i="22"/>
  <c r="G213" i="22"/>
  <c r="G212" i="22"/>
  <c r="G211" i="22"/>
  <c r="G210" i="22"/>
  <c r="G209" i="22"/>
  <c r="G208" i="22"/>
  <c r="G207" i="22"/>
  <c r="G206" i="22"/>
  <c r="J206" i="22" s="1"/>
  <c r="G205" i="22"/>
  <c r="G204" i="22"/>
  <c r="G203" i="22"/>
  <c r="G202" i="22"/>
  <c r="G201" i="22"/>
  <c r="G200" i="22"/>
  <c r="G199" i="22"/>
  <c r="G198" i="22"/>
  <c r="G197" i="22"/>
  <c r="G196" i="22"/>
  <c r="J196" i="22" s="1"/>
  <c r="G195" i="22"/>
  <c r="G194" i="22"/>
  <c r="G193" i="22"/>
  <c r="G192" i="22"/>
  <c r="G191" i="22"/>
  <c r="G190" i="22"/>
  <c r="G189" i="22"/>
  <c r="G188" i="22"/>
  <c r="G187" i="22"/>
  <c r="G186" i="22"/>
  <c r="J186" i="22" s="1"/>
  <c r="G185" i="22"/>
  <c r="G184" i="22"/>
  <c r="G183" i="22"/>
  <c r="G182" i="22"/>
  <c r="G181" i="22"/>
  <c r="J181" i="22" s="1"/>
  <c r="M181" i="22" s="1"/>
  <c r="G180" i="22"/>
  <c r="J180" i="22" s="1"/>
  <c r="M180" i="22" s="1"/>
  <c r="G179" i="22"/>
  <c r="G178" i="22"/>
  <c r="G177" i="22"/>
  <c r="G176" i="22"/>
  <c r="J176" i="22" s="1"/>
  <c r="G175" i="22"/>
  <c r="J175" i="22" s="1"/>
  <c r="G174" i="22"/>
  <c r="G173" i="22"/>
  <c r="G172" i="22"/>
  <c r="J172" i="22" s="1"/>
  <c r="G171" i="22"/>
  <c r="J171" i="22" s="1"/>
  <c r="G170" i="22"/>
  <c r="G169" i="22"/>
  <c r="G168" i="22"/>
  <c r="G167" i="22"/>
  <c r="G166" i="22"/>
  <c r="G165" i="22"/>
  <c r="G164" i="22"/>
  <c r="G163" i="22"/>
  <c r="G162" i="22"/>
  <c r="G161" i="22"/>
  <c r="G160" i="22"/>
  <c r="J160" i="22" s="1"/>
  <c r="G159" i="22"/>
  <c r="J159" i="22" s="1"/>
  <c r="G158" i="22"/>
  <c r="J158" i="22" s="1"/>
  <c r="G157" i="22"/>
  <c r="G156" i="22"/>
  <c r="G155" i="22"/>
  <c r="G154" i="22"/>
  <c r="G153" i="22"/>
  <c r="G152" i="22"/>
  <c r="G151" i="22"/>
  <c r="G150" i="22"/>
  <c r="J150" i="22" s="1"/>
  <c r="G149" i="22"/>
  <c r="G148" i="22"/>
  <c r="G147" i="22"/>
  <c r="J147" i="22" s="1"/>
  <c r="L147" i="22" s="1"/>
  <c r="G146" i="22"/>
  <c r="G145" i="22"/>
  <c r="J145" i="22" s="1"/>
  <c r="G144" i="22"/>
  <c r="G143" i="22"/>
  <c r="G142" i="22"/>
  <c r="J142" i="22" s="1"/>
  <c r="M142" i="22" s="1"/>
  <c r="G141" i="22"/>
  <c r="G140" i="22"/>
  <c r="G139" i="22"/>
  <c r="G138" i="22"/>
  <c r="G137" i="22"/>
  <c r="G136" i="22"/>
  <c r="G135" i="22"/>
  <c r="G134" i="22"/>
  <c r="J134" i="22" s="1"/>
  <c r="G133" i="22"/>
  <c r="J133" i="22" s="1"/>
  <c r="G132" i="22"/>
  <c r="G131" i="22"/>
  <c r="G130" i="22"/>
  <c r="G129" i="22"/>
  <c r="G128" i="22"/>
  <c r="G127" i="22"/>
  <c r="G126" i="22"/>
  <c r="J126" i="22" s="1"/>
  <c r="M126" i="22" s="1"/>
  <c r="G125" i="22"/>
  <c r="G124" i="22"/>
  <c r="G123" i="22"/>
  <c r="J123" i="22" s="1"/>
  <c r="G122" i="22"/>
  <c r="J122" i="22" s="1"/>
  <c r="L122" i="22" s="1"/>
  <c r="G121" i="22"/>
  <c r="G120" i="22"/>
  <c r="G119" i="22"/>
  <c r="G118" i="22"/>
  <c r="G117" i="22"/>
  <c r="G116" i="22"/>
  <c r="G115" i="22"/>
  <c r="G114" i="22"/>
  <c r="G113" i="22"/>
  <c r="G112" i="22"/>
  <c r="G111" i="22"/>
  <c r="G110" i="22"/>
  <c r="G109" i="22"/>
  <c r="G108" i="22"/>
  <c r="G107" i="22"/>
  <c r="G106" i="22"/>
  <c r="G105" i="22"/>
  <c r="G104" i="22"/>
  <c r="G103" i="22"/>
  <c r="G102" i="22"/>
  <c r="J102" i="22" s="1"/>
  <c r="L102" i="22" s="1"/>
  <c r="G101" i="22"/>
  <c r="G100" i="22"/>
  <c r="J100" i="22" s="1"/>
  <c r="G99" i="22"/>
  <c r="G98" i="22"/>
  <c r="G97" i="22"/>
  <c r="G96" i="22"/>
  <c r="G95" i="22"/>
  <c r="G94" i="22"/>
  <c r="G93" i="22"/>
  <c r="G92" i="22"/>
  <c r="G91" i="22"/>
  <c r="G90" i="22"/>
  <c r="G89" i="22"/>
  <c r="J89" i="22" s="1"/>
  <c r="G88" i="22"/>
  <c r="G87" i="22"/>
  <c r="G86" i="22"/>
  <c r="G85" i="22"/>
  <c r="G84" i="22"/>
  <c r="G83" i="22"/>
  <c r="G82" i="22"/>
  <c r="G81" i="22"/>
  <c r="G80" i="22"/>
  <c r="G79" i="22"/>
  <c r="G78" i="22"/>
  <c r="G77" i="22"/>
  <c r="G76" i="22"/>
  <c r="G75" i="22"/>
  <c r="G74" i="22"/>
  <c r="G73" i="22"/>
  <c r="G72" i="22"/>
  <c r="G71" i="22"/>
  <c r="G70" i="22"/>
  <c r="G69" i="22"/>
  <c r="G68" i="22"/>
  <c r="G67" i="22"/>
  <c r="G66" i="22"/>
  <c r="G65" i="22"/>
  <c r="G64" i="22"/>
  <c r="G63" i="22"/>
  <c r="G62" i="22"/>
  <c r="G61" i="22"/>
  <c r="G60" i="22"/>
  <c r="G59" i="22"/>
  <c r="G58" i="22"/>
  <c r="G57" i="22"/>
  <c r="G56" i="22"/>
  <c r="G55" i="22"/>
  <c r="G54" i="22"/>
  <c r="G53" i="22"/>
  <c r="G52" i="22"/>
  <c r="G51" i="22"/>
  <c r="G50" i="22"/>
  <c r="J50" i="22" s="1"/>
  <c r="L50" i="22" s="1"/>
  <c r="G49" i="22"/>
  <c r="G48" i="22"/>
  <c r="G47" i="22"/>
  <c r="G46" i="22"/>
  <c r="G45" i="22"/>
  <c r="G44" i="22"/>
  <c r="G43" i="22"/>
  <c r="G42" i="22"/>
  <c r="J42" i="22" s="1"/>
  <c r="L42" i="22" s="1"/>
  <c r="G41" i="22"/>
  <c r="G40" i="22"/>
  <c r="G39" i="22"/>
  <c r="G38" i="22"/>
  <c r="G37" i="22"/>
  <c r="J37" i="22" s="1"/>
  <c r="G36" i="22"/>
  <c r="G35" i="22"/>
  <c r="G34" i="22"/>
  <c r="G33" i="22"/>
  <c r="J33" i="22" s="1"/>
  <c r="M33" i="22" s="1"/>
  <c r="O33" i="22" s="1"/>
  <c r="Q33" i="22" s="1"/>
  <c r="S33" i="22" s="1"/>
  <c r="U33" i="22" s="1"/>
  <c r="W33" i="22" s="1"/>
  <c r="Y33" i="22" s="1"/>
  <c r="AA33" i="22" s="1"/>
  <c r="AC33" i="22" s="1"/>
  <c r="AE33" i="22" s="1"/>
  <c r="AG33" i="22" s="1"/>
  <c r="AI33" i="22" s="1"/>
  <c r="G32" i="22"/>
  <c r="G31" i="22"/>
  <c r="G30" i="22"/>
  <c r="G29" i="22"/>
  <c r="G28" i="22"/>
  <c r="J28" i="22" s="1"/>
  <c r="M28" i="22" s="1"/>
  <c r="O28" i="22" s="1"/>
  <c r="Q28" i="22" s="1"/>
  <c r="S28" i="22" s="1"/>
  <c r="U28" i="22" s="1"/>
  <c r="W28" i="22" s="1"/>
  <c r="Y28" i="22" s="1"/>
  <c r="AA28" i="22" s="1"/>
  <c r="AC28" i="22" s="1"/>
  <c r="AE28" i="22" s="1"/>
  <c r="AG28" i="22" s="1"/>
  <c r="AI28" i="22" s="1"/>
  <c r="G27" i="22"/>
  <c r="G26" i="22"/>
  <c r="J26" i="22" s="1"/>
  <c r="M26" i="22" s="1"/>
  <c r="O26" i="22" s="1"/>
  <c r="Q26" i="22" s="1"/>
  <c r="S26" i="22" s="1"/>
  <c r="U26" i="22" s="1"/>
  <c r="W26" i="22" s="1"/>
  <c r="Y26" i="22" s="1"/>
  <c r="AA26" i="22" s="1"/>
  <c r="AC26" i="22" s="1"/>
  <c r="AE26" i="22" s="1"/>
  <c r="AG26" i="22" s="1"/>
  <c r="AI26" i="22" s="1"/>
  <c r="G25" i="22"/>
  <c r="J25" i="22" s="1"/>
  <c r="M25" i="22" s="1"/>
  <c r="O25" i="22" s="1"/>
  <c r="Q25" i="22" s="1"/>
  <c r="S25" i="22" s="1"/>
  <c r="U25" i="22" s="1"/>
  <c r="W25" i="22" s="1"/>
  <c r="Y25" i="22" s="1"/>
  <c r="AA25" i="22" s="1"/>
  <c r="AC25" i="22" s="1"/>
  <c r="AE25" i="22" s="1"/>
  <c r="AG25" i="22" s="1"/>
  <c r="AI25" i="22" s="1"/>
  <c r="G24" i="22"/>
  <c r="J24" i="22" s="1"/>
  <c r="L24" i="22" s="1"/>
  <c r="G23" i="22"/>
  <c r="J23" i="22" s="1"/>
  <c r="M23" i="22" s="1"/>
  <c r="O23" i="22" s="1"/>
  <c r="Q23" i="22" s="1"/>
  <c r="S23" i="22" s="1"/>
  <c r="U23" i="22" s="1"/>
  <c r="W23" i="22" s="1"/>
  <c r="Y23" i="22" s="1"/>
  <c r="AA23" i="22" s="1"/>
  <c r="AC23" i="22" s="1"/>
  <c r="AE23" i="22" s="1"/>
  <c r="AG23" i="22" s="1"/>
  <c r="AI23" i="22" s="1"/>
  <c r="G22" i="22"/>
  <c r="J22" i="22" s="1"/>
  <c r="G21" i="22"/>
  <c r="J21" i="22" s="1"/>
  <c r="L21" i="22" s="1"/>
  <c r="G20" i="22"/>
  <c r="G19" i="22"/>
  <c r="G18" i="22"/>
  <c r="J18" i="22" s="1"/>
  <c r="L18" i="22" s="1"/>
  <c r="G17" i="22"/>
  <c r="G16" i="22"/>
  <c r="G15" i="22"/>
  <c r="G14" i="22"/>
  <c r="J14" i="22" s="1"/>
  <c r="M14" i="22" s="1"/>
  <c r="O14" i="22" s="1"/>
  <c r="Q14" i="22" s="1"/>
  <c r="S14" i="22" s="1"/>
  <c r="U14" i="22" s="1"/>
  <c r="W14" i="22" s="1"/>
  <c r="Y14" i="22" s="1"/>
  <c r="AA14" i="22" s="1"/>
  <c r="AC14" i="22" s="1"/>
  <c r="AE14" i="22" s="1"/>
  <c r="AG14" i="22" s="1"/>
  <c r="AI14" i="22" s="1"/>
  <c r="G13" i="22"/>
  <c r="G12" i="22"/>
  <c r="J12" i="22" s="1"/>
  <c r="M12" i="22" s="1"/>
  <c r="O12" i="22" s="1"/>
  <c r="Q12" i="22" s="1"/>
  <c r="S12" i="22" s="1"/>
  <c r="U12" i="22" s="1"/>
  <c r="W12" i="22" s="1"/>
  <c r="Y12" i="22" s="1"/>
  <c r="AA12" i="22" s="1"/>
  <c r="AC12" i="22" s="1"/>
  <c r="AE12" i="22" s="1"/>
  <c r="AG12" i="22" s="1"/>
  <c r="AI12" i="22" s="1"/>
  <c r="G11" i="22"/>
  <c r="J11" i="22" s="1"/>
  <c r="G10" i="22"/>
  <c r="J10" i="22" s="1"/>
  <c r="L10" i="22" s="1"/>
  <c r="J201" i="22"/>
  <c r="J200" i="22"/>
  <c r="J169" i="22"/>
  <c r="M169" i="22" s="1"/>
  <c r="J165" i="22"/>
  <c r="J141" i="22"/>
  <c r="J140" i="22"/>
  <c r="L140" i="22" s="1"/>
  <c r="J139" i="22"/>
  <c r="J129" i="22"/>
  <c r="J125" i="22"/>
  <c r="M125" i="22" s="1"/>
  <c r="J53" i="22"/>
  <c r="J45" i="22"/>
  <c r="K237" i="22"/>
  <c r="K236" i="22"/>
  <c r="K235" i="22"/>
  <c r="K234" i="22"/>
  <c r="K233" i="22"/>
  <c r="K232" i="22"/>
  <c r="K231" i="22"/>
  <c r="K230" i="22"/>
  <c r="K229" i="22"/>
  <c r="K228" i="22"/>
  <c r="K227" i="22"/>
  <c r="K226" i="22"/>
  <c r="K225" i="22"/>
  <c r="K224" i="22"/>
  <c r="K223" i="22"/>
  <c r="K222" i="22"/>
  <c r="K221" i="22"/>
  <c r="K220" i="22"/>
  <c r="K219" i="22"/>
  <c r="K218" i="22"/>
  <c r="K217" i="22"/>
  <c r="K216" i="22"/>
  <c r="K215" i="22"/>
  <c r="K214" i="22"/>
  <c r="K213" i="22"/>
  <c r="K212" i="22"/>
  <c r="K211" i="22"/>
  <c r="K210" i="22"/>
  <c r="K209" i="22"/>
  <c r="K208" i="22"/>
  <c r="K207" i="22"/>
  <c r="K206" i="22"/>
  <c r="K205" i="22"/>
  <c r="K204" i="22"/>
  <c r="K203" i="22"/>
  <c r="K202" i="22"/>
  <c r="K201" i="22"/>
  <c r="K200" i="22"/>
  <c r="K199" i="22"/>
  <c r="K198" i="22"/>
  <c r="K197" i="22"/>
  <c r="K196" i="22"/>
  <c r="K195" i="22"/>
  <c r="K194" i="22"/>
  <c r="K193" i="22"/>
  <c r="K192" i="22"/>
  <c r="K191" i="22"/>
  <c r="K190" i="22"/>
  <c r="K189" i="22"/>
  <c r="K188" i="22"/>
  <c r="K187" i="22"/>
  <c r="K186" i="22"/>
  <c r="K185" i="22"/>
  <c r="K184" i="22"/>
  <c r="K183" i="22"/>
  <c r="K182" i="22"/>
  <c r="K181" i="22"/>
  <c r="K180" i="22"/>
  <c r="K179" i="22"/>
  <c r="K178" i="22"/>
  <c r="K177" i="22"/>
  <c r="K176" i="22"/>
  <c r="K175" i="22"/>
  <c r="K174" i="22"/>
  <c r="K173" i="22"/>
  <c r="K172" i="22"/>
  <c r="K171" i="22"/>
  <c r="K170" i="22"/>
  <c r="K169" i="22"/>
  <c r="K168" i="22"/>
  <c r="K167" i="22"/>
  <c r="K166" i="22"/>
  <c r="K165" i="22"/>
  <c r="K164" i="22"/>
  <c r="K163" i="22"/>
  <c r="K162" i="22"/>
  <c r="K161" i="22"/>
  <c r="K160" i="22"/>
  <c r="K159" i="22"/>
  <c r="K158" i="22"/>
  <c r="K157" i="22"/>
  <c r="K156" i="22"/>
  <c r="K155" i="22"/>
  <c r="K154" i="22"/>
  <c r="K153" i="22"/>
  <c r="K152" i="22"/>
  <c r="K151" i="22"/>
  <c r="K150" i="22"/>
  <c r="K149" i="22"/>
  <c r="K148" i="22"/>
  <c r="K147" i="22"/>
  <c r="K146" i="22"/>
  <c r="K145" i="22"/>
  <c r="K144" i="22"/>
  <c r="K143" i="22"/>
  <c r="K142" i="22"/>
  <c r="K141" i="22"/>
  <c r="K140" i="22"/>
  <c r="K139" i="22"/>
  <c r="K138" i="22"/>
  <c r="K137" i="22"/>
  <c r="K136" i="22"/>
  <c r="K135" i="22"/>
  <c r="K134" i="22"/>
  <c r="K133" i="22"/>
  <c r="K132" i="22"/>
  <c r="K131" i="22"/>
  <c r="K130" i="22"/>
  <c r="K129" i="22"/>
  <c r="K128" i="22"/>
  <c r="K127" i="22"/>
  <c r="K126" i="22"/>
  <c r="K125" i="22"/>
  <c r="K124" i="22"/>
  <c r="K123" i="22"/>
  <c r="K122" i="22"/>
  <c r="K11" i="22"/>
  <c r="K121" i="22"/>
  <c r="K120" i="22"/>
  <c r="K119" i="22"/>
  <c r="K118" i="22"/>
  <c r="K117" i="22"/>
  <c r="K116" i="22"/>
  <c r="K115" i="22"/>
  <c r="K114" i="22"/>
  <c r="K113" i="22"/>
  <c r="K112" i="22"/>
  <c r="K111" i="22"/>
  <c r="K110" i="22"/>
  <c r="K109" i="22"/>
  <c r="K108" i="22"/>
  <c r="K107" i="22"/>
  <c r="K106" i="22"/>
  <c r="K105" i="22"/>
  <c r="K104" i="22"/>
  <c r="K103" i="22"/>
  <c r="K102" i="22"/>
  <c r="K101" i="22"/>
  <c r="K100" i="22"/>
  <c r="K99" i="22"/>
  <c r="K98" i="22"/>
  <c r="K97" i="22"/>
  <c r="K96" i="22"/>
  <c r="K95" i="22"/>
  <c r="K94" i="22"/>
  <c r="K93" i="22"/>
  <c r="K92" i="22"/>
  <c r="K91" i="22"/>
  <c r="K90" i="22"/>
  <c r="K89" i="22"/>
  <c r="K88" i="22"/>
  <c r="K87" i="22"/>
  <c r="K86" i="22"/>
  <c r="K85" i="22"/>
  <c r="K84" i="22"/>
  <c r="K83" i="22"/>
  <c r="K82" i="22"/>
  <c r="K81" i="22"/>
  <c r="K80" i="22"/>
  <c r="K79" i="22"/>
  <c r="K78" i="22"/>
  <c r="K77" i="22"/>
  <c r="K76" i="22"/>
  <c r="K75" i="22"/>
  <c r="K74" i="22"/>
  <c r="K73" i="22"/>
  <c r="K72" i="22"/>
  <c r="K71" i="22"/>
  <c r="K70" i="22"/>
  <c r="K69" i="22"/>
  <c r="K68" i="22"/>
  <c r="K67" i="22"/>
  <c r="K66" i="22"/>
  <c r="K65" i="22"/>
  <c r="K64" i="22"/>
  <c r="K63" i="22"/>
  <c r="K62" i="22"/>
  <c r="K61" i="22"/>
  <c r="K60" i="22"/>
  <c r="K59" i="22"/>
  <c r="K58" i="22"/>
  <c r="K57" i="22"/>
  <c r="K56" i="22"/>
  <c r="K55" i="22"/>
  <c r="K54" i="22"/>
  <c r="K53" i="22"/>
  <c r="K52" i="22"/>
  <c r="K51" i="22"/>
  <c r="K50" i="22"/>
  <c r="K49" i="22"/>
  <c r="K48" i="22"/>
  <c r="K47" i="22"/>
  <c r="K46" i="22"/>
  <c r="K45" i="22"/>
  <c r="K44" i="22"/>
  <c r="K43" i="22"/>
  <c r="K42" i="22"/>
  <c r="K41" i="22"/>
  <c r="K40" i="22"/>
  <c r="K39" i="22"/>
  <c r="K38" i="22"/>
  <c r="K37" i="22"/>
  <c r="K36" i="22"/>
  <c r="K35" i="22"/>
  <c r="K34" i="22"/>
  <c r="K33" i="22"/>
  <c r="K32" i="22"/>
  <c r="K31" i="22"/>
  <c r="K30" i="22"/>
  <c r="K29" i="22"/>
  <c r="K28" i="22"/>
  <c r="K27" i="22"/>
  <c r="K26" i="22"/>
  <c r="K25" i="22"/>
  <c r="K24" i="22"/>
  <c r="K23" i="22"/>
  <c r="K22" i="22"/>
  <c r="K21" i="22"/>
  <c r="K20" i="22"/>
  <c r="K19" i="22"/>
  <c r="K18" i="22"/>
  <c r="K17" i="22"/>
  <c r="K16" i="22"/>
  <c r="K15" i="22"/>
  <c r="K14" i="22"/>
  <c r="K13" i="22"/>
  <c r="K12" i="22"/>
  <c r="K10" i="22"/>
  <c r="N9" i="22"/>
  <c r="P9" i="22" s="1"/>
  <c r="P242" i="16" l="1"/>
  <c r="R241" i="16"/>
  <c r="T241" i="16" s="1"/>
  <c r="V241" i="16" s="1"/>
  <c r="X241" i="16" s="1"/>
  <c r="Z241" i="16" s="1"/>
  <c r="AB241" i="16" s="1"/>
  <c r="AD241" i="16" s="1"/>
  <c r="AF241" i="16" s="1"/>
  <c r="AH241" i="16" s="1"/>
  <c r="AJ241" i="16" s="1"/>
  <c r="M243" i="16"/>
  <c r="N243" i="16"/>
  <c r="K244" i="16"/>
  <c r="H245" i="16"/>
  <c r="F244" i="16"/>
  <c r="X88" i="27"/>
  <c r="Z88" i="27" s="1"/>
  <c r="AB88" i="27" s="1"/>
  <c r="AD88" i="27" s="1"/>
  <c r="AF88" i="27" s="1"/>
  <c r="AH88" i="27" s="1"/>
  <c r="W88" i="27"/>
  <c r="G88" i="27" s="1"/>
  <c r="T85" i="27"/>
  <c r="S85" i="27"/>
  <c r="U87" i="27"/>
  <c r="V87" i="27"/>
  <c r="T89" i="27"/>
  <c r="S89" i="27"/>
  <c r="T44" i="27"/>
  <c r="S44" i="27"/>
  <c r="T49" i="24"/>
  <c r="S49" i="24"/>
  <c r="G35" i="24"/>
  <c r="L11" i="22"/>
  <c r="M11" i="22"/>
  <c r="N11" i="22" s="1"/>
  <c r="L129" i="22"/>
  <c r="M129" i="22"/>
  <c r="N129" i="22" s="1"/>
  <c r="M141" i="22"/>
  <c r="O141" i="22" s="1"/>
  <c r="L141" i="22"/>
  <c r="N126" i="22"/>
  <c r="O126" i="22"/>
  <c r="Q126" i="22" s="1"/>
  <c r="S126" i="22" s="1"/>
  <c r="U126" i="22" s="1"/>
  <c r="W126" i="22" s="1"/>
  <c r="Y126" i="22" s="1"/>
  <c r="AA126" i="22" s="1"/>
  <c r="AC126" i="22" s="1"/>
  <c r="AE126" i="22" s="1"/>
  <c r="AG126" i="22" s="1"/>
  <c r="AI126" i="22" s="1"/>
  <c r="L172" i="22"/>
  <c r="M172" i="22"/>
  <c r="O172" i="22" s="1"/>
  <c r="M176" i="22"/>
  <c r="O176" i="22" s="1"/>
  <c r="L176" i="22"/>
  <c r="M22" i="22"/>
  <c r="O22" i="22" s="1"/>
  <c r="Q22" i="22" s="1"/>
  <c r="S22" i="22" s="1"/>
  <c r="U22" i="22" s="1"/>
  <c r="W22" i="22" s="1"/>
  <c r="Y22" i="22" s="1"/>
  <c r="AA22" i="22" s="1"/>
  <c r="AC22" i="22" s="1"/>
  <c r="AE22" i="22" s="1"/>
  <c r="AG22" i="22" s="1"/>
  <c r="AI22" i="22" s="1"/>
  <c r="L22" i="22"/>
  <c r="M134" i="22"/>
  <c r="N134" i="22" s="1"/>
  <c r="L134" i="22"/>
  <c r="N142" i="22"/>
  <c r="O142" i="22"/>
  <c r="Q142" i="22" s="1"/>
  <c r="S142" i="22" s="1"/>
  <c r="U142" i="22" s="1"/>
  <c r="W142" i="22" s="1"/>
  <c r="Y142" i="22" s="1"/>
  <c r="AA142" i="22" s="1"/>
  <c r="AC142" i="22" s="1"/>
  <c r="AE142" i="22" s="1"/>
  <c r="AG142" i="22" s="1"/>
  <c r="AI142" i="22" s="1"/>
  <c r="N181" i="22"/>
  <c r="O181" i="22"/>
  <c r="P181" i="22" s="1"/>
  <c r="M158" i="22"/>
  <c r="L158" i="22"/>
  <c r="M140" i="22"/>
  <c r="O140" i="22" s="1"/>
  <c r="L145" i="22"/>
  <c r="M145" i="22"/>
  <c r="N145" i="22" s="1"/>
  <c r="M165" i="22"/>
  <c r="N165" i="22" s="1"/>
  <c r="L165" i="22"/>
  <c r="M196" i="22"/>
  <c r="N196" i="22" s="1"/>
  <c r="L196" i="22"/>
  <c r="J38" i="22"/>
  <c r="L38" i="22" s="1"/>
  <c r="J41" i="22"/>
  <c r="L41" i="22" s="1"/>
  <c r="J46" i="22"/>
  <c r="J94" i="22"/>
  <c r="L94" i="22" s="1"/>
  <c r="J124" i="22"/>
  <c r="J127" i="22"/>
  <c r="J128" i="22"/>
  <c r="J130" i="22"/>
  <c r="J135" i="22"/>
  <c r="L135" i="22" s="1"/>
  <c r="J136" i="22"/>
  <c r="L136" i="22" s="1"/>
  <c r="J143" i="22"/>
  <c r="J144" i="22"/>
  <c r="J153" i="22"/>
  <c r="J157" i="22"/>
  <c r="M157" i="22" s="1"/>
  <c r="N157" i="22" s="1"/>
  <c r="J187" i="22"/>
  <c r="L187" i="22" s="1"/>
  <c r="J188" i="22"/>
  <c r="L188" i="22" s="1"/>
  <c r="J192" i="22"/>
  <c r="J222" i="22"/>
  <c r="L222" i="22" s="1"/>
  <c r="J236" i="22"/>
  <c r="M236" i="22" s="1"/>
  <c r="J235" i="22"/>
  <c r="M235" i="22" s="1"/>
  <c r="J230" i="22"/>
  <c r="J226" i="22"/>
  <c r="M226" i="22" s="1"/>
  <c r="J220" i="22"/>
  <c r="J219" i="22"/>
  <c r="M219" i="22" s="1"/>
  <c r="N219" i="22" s="1"/>
  <c r="J234" i="22"/>
  <c r="J232" i="22"/>
  <c r="M232" i="22" s="1"/>
  <c r="J228" i="22"/>
  <c r="M228" i="22" s="1"/>
  <c r="J218" i="22"/>
  <c r="M218" i="22" s="1"/>
  <c r="N218" i="22" s="1"/>
  <c r="J216" i="22"/>
  <c r="J214" i="22"/>
  <c r="M214" i="22" s="1"/>
  <c r="J212" i="22"/>
  <c r="J210" i="22"/>
  <c r="M210" i="22" s="1"/>
  <c r="J209" i="22"/>
  <c r="M209" i="22" s="1"/>
  <c r="J203" i="22"/>
  <c r="M203" i="22" s="1"/>
  <c r="J231" i="22"/>
  <c r="M231" i="22" s="1"/>
  <c r="J227" i="22"/>
  <c r="L227" i="22" s="1"/>
  <c r="J225" i="22"/>
  <c r="M225" i="22" s="1"/>
  <c r="J223" i="22"/>
  <c r="J208" i="22"/>
  <c r="J207" i="22"/>
  <c r="M207" i="22" s="1"/>
  <c r="J233" i="22"/>
  <c r="J213" i="22"/>
  <c r="J211" i="22"/>
  <c r="J204" i="22"/>
  <c r="M204" i="22" s="1"/>
  <c r="J198" i="22"/>
  <c r="L198" i="22" s="1"/>
  <c r="J195" i="22"/>
  <c r="J190" i="22"/>
  <c r="M190" i="22" s="1"/>
  <c r="J221" i="22"/>
  <c r="J215" i="22"/>
  <c r="M215" i="22" s="1"/>
  <c r="J197" i="22"/>
  <c r="J194" i="22"/>
  <c r="L194" i="22" s="1"/>
  <c r="J193" i="22"/>
  <c r="M193" i="22" s="1"/>
  <c r="J237" i="22"/>
  <c r="L237" i="22" s="1"/>
  <c r="J199" i="22"/>
  <c r="M199" i="22" s="1"/>
  <c r="J191" i="22"/>
  <c r="L191" i="22" s="1"/>
  <c r="J185" i="22"/>
  <c r="J183" i="22"/>
  <c r="J179" i="22"/>
  <c r="J173" i="22"/>
  <c r="J168" i="22"/>
  <c r="L168" i="22" s="1"/>
  <c r="J164" i="22"/>
  <c r="J155" i="22"/>
  <c r="J149" i="22"/>
  <c r="J229" i="22"/>
  <c r="J224" i="22"/>
  <c r="L224" i="22" s="1"/>
  <c r="J217" i="22"/>
  <c r="M217" i="22" s="1"/>
  <c r="J205" i="22"/>
  <c r="M205" i="22" s="1"/>
  <c r="J189" i="22"/>
  <c r="J184" i="22"/>
  <c r="L184" i="22" s="1"/>
  <c r="J182" i="22"/>
  <c r="J178" i="22"/>
  <c r="M178" i="22" s="1"/>
  <c r="J177" i="22"/>
  <c r="L177" i="22" s="1"/>
  <c r="J167" i="22"/>
  <c r="L167" i="22" s="1"/>
  <c r="J166" i="22"/>
  <c r="J163" i="22"/>
  <c r="M163" i="22" s="1"/>
  <c r="J162" i="22"/>
  <c r="M162" i="22" s="1"/>
  <c r="J161" i="22"/>
  <c r="M161" i="22" s="1"/>
  <c r="N161" i="22" s="1"/>
  <c r="J154" i="22"/>
  <c r="L154" i="22" s="1"/>
  <c r="J148" i="22"/>
  <c r="M148" i="22" s="1"/>
  <c r="J13" i="22"/>
  <c r="L13" i="22" s="1"/>
  <c r="J15" i="22"/>
  <c r="J17" i="22"/>
  <c r="M17" i="22" s="1"/>
  <c r="O17" i="22" s="1"/>
  <c r="Q17" i="22" s="1"/>
  <c r="S17" i="22" s="1"/>
  <c r="U17" i="22" s="1"/>
  <c r="W17" i="22" s="1"/>
  <c r="Y17" i="22" s="1"/>
  <c r="AA17" i="22" s="1"/>
  <c r="AC17" i="22" s="1"/>
  <c r="AE17" i="22" s="1"/>
  <c r="AG17" i="22" s="1"/>
  <c r="AI17" i="22" s="1"/>
  <c r="J19" i="22"/>
  <c r="M19" i="22" s="1"/>
  <c r="O19" i="22" s="1"/>
  <c r="Q19" i="22" s="1"/>
  <c r="S19" i="22" s="1"/>
  <c r="U19" i="22" s="1"/>
  <c r="W19" i="22" s="1"/>
  <c r="Y19" i="22" s="1"/>
  <c r="AA19" i="22" s="1"/>
  <c r="AC19" i="22" s="1"/>
  <c r="AE19" i="22" s="1"/>
  <c r="AG19" i="22" s="1"/>
  <c r="AI19" i="22" s="1"/>
  <c r="J27" i="22"/>
  <c r="L27" i="22" s="1"/>
  <c r="J29" i="22"/>
  <c r="J34" i="22"/>
  <c r="J49" i="22"/>
  <c r="M49" i="22" s="1"/>
  <c r="O49" i="22" s="1"/>
  <c r="Q49" i="22" s="1"/>
  <c r="S49" i="22" s="1"/>
  <c r="U49" i="22" s="1"/>
  <c r="W49" i="22" s="1"/>
  <c r="Y49" i="22" s="1"/>
  <c r="AA49" i="22" s="1"/>
  <c r="AC49" i="22" s="1"/>
  <c r="AE49" i="22" s="1"/>
  <c r="AG49" i="22" s="1"/>
  <c r="AI49" i="22" s="1"/>
  <c r="J54" i="22"/>
  <c r="L54" i="22" s="1"/>
  <c r="J81" i="22"/>
  <c r="M81" i="22" s="1"/>
  <c r="O81" i="22" s="1"/>
  <c r="Q81" i="22" s="1"/>
  <c r="S81" i="22" s="1"/>
  <c r="U81" i="22" s="1"/>
  <c r="W81" i="22" s="1"/>
  <c r="Y81" i="22" s="1"/>
  <c r="AA81" i="22" s="1"/>
  <c r="AC81" i="22" s="1"/>
  <c r="AE81" i="22" s="1"/>
  <c r="AG81" i="22" s="1"/>
  <c r="AI81" i="22" s="1"/>
  <c r="J112" i="22"/>
  <c r="M112" i="22" s="1"/>
  <c r="O112" i="22" s="1"/>
  <c r="Q112" i="22" s="1"/>
  <c r="S112" i="22" s="1"/>
  <c r="U112" i="22" s="1"/>
  <c r="W112" i="22" s="1"/>
  <c r="Y112" i="22" s="1"/>
  <c r="AA112" i="22" s="1"/>
  <c r="AC112" i="22" s="1"/>
  <c r="AE112" i="22" s="1"/>
  <c r="AG112" i="22" s="1"/>
  <c r="AI112" i="22" s="1"/>
  <c r="J119" i="22"/>
  <c r="L119" i="22" s="1"/>
  <c r="J131" i="22"/>
  <c r="M131" i="22" s="1"/>
  <c r="O131" i="22" s="1"/>
  <c r="J132" i="22"/>
  <c r="L132" i="22" s="1"/>
  <c r="J137" i="22"/>
  <c r="M137" i="22" s="1"/>
  <c r="J138" i="22"/>
  <c r="J146" i="22"/>
  <c r="J151" i="22"/>
  <c r="M151" i="22" s="1"/>
  <c r="J152" i="22"/>
  <c r="M152" i="22" s="1"/>
  <c r="J156" i="22"/>
  <c r="M156" i="22" s="1"/>
  <c r="N156" i="22" s="1"/>
  <c r="J170" i="22"/>
  <c r="M170" i="22" s="1"/>
  <c r="J174" i="22"/>
  <c r="M174" i="22" s="1"/>
  <c r="J202" i="22"/>
  <c r="M202" i="22" s="1"/>
  <c r="M139" i="22"/>
  <c r="L139" i="22"/>
  <c r="L200" i="22"/>
  <c r="M200" i="22"/>
  <c r="M133" i="22"/>
  <c r="L133" i="22"/>
  <c r="L125" i="22"/>
  <c r="M122" i="22"/>
  <c r="M123" i="22"/>
  <c r="L123" i="22"/>
  <c r="O180" i="22"/>
  <c r="N180" i="22"/>
  <c r="M186" i="22"/>
  <c r="L186" i="22"/>
  <c r="O169" i="22"/>
  <c r="N169" i="22"/>
  <c r="O125" i="22"/>
  <c r="N125" i="22"/>
  <c r="M150" i="22"/>
  <c r="L150" i="22"/>
  <c r="L160" i="22"/>
  <c r="M160" i="22"/>
  <c r="L175" i="22"/>
  <c r="M175" i="22"/>
  <c r="M171" i="22"/>
  <c r="L171" i="22"/>
  <c r="M201" i="22"/>
  <c r="L201" i="22"/>
  <c r="L126" i="22"/>
  <c r="L142" i="22"/>
  <c r="L169" i="22"/>
  <c r="L180" i="22"/>
  <c r="O196" i="22"/>
  <c r="M147" i="22"/>
  <c r="M159" i="22"/>
  <c r="L159" i="22"/>
  <c r="L181" i="22"/>
  <c r="L206" i="22"/>
  <c r="M206" i="22"/>
  <c r="M21" i="22"/>
  <c r="O21" i="22" s="1"/>
  <c r="Q21" i="22" s="1"/>
  <c r="S21" i="22" s="1"/>
  <c r="U21" i="22" s="1"/>
  <c r="W21" i="22" s="1"/>
  <c r="Y21" i="22" s="1"/>
  <c r="AA21" i="22" s="1"/>
  <c r="AC21" i="22" s="1"/>
  <c r="AE21" i="22" s="1"/>
  <c r="AG21" i="22" s="1"/>
  <c r="AI21" i="22" s="1"/>
  <c r="L26" i="22"/>
  <c r="L33" i="22"/>
  <c r="L12" i="22"/>
  <c r="L25" i="22"/>
  <c r="M50" i="22"/>
  <c r="O50" i="22" s="1"/>
  <c r="Q50" i="22" s="1"/>
  <c r="S50" i="22" s="1"/>
  <c r="U50" i="22" s="1"/>
  <c r="W50" i="22" s="1"/>
  <c r="Y50" i="22" s="1"/>
  <c r="AA50" i="22" s="1"/>
  <c r="AC50" i="22" s="1"/>
  <c r="AE50" i="22" s="1"/>
  <c r="AG50" i="22" s="1"/>
  <c r="AI50" i="22" s="1"/>
  <c r="M102" i="22"/>
  <c r="O102" i="22" s="1"/>
  <c r="Q102" i="22" s="1"/>
  <c r="S102" i="22" s="1"/>
  <c r="U102" i="22" s="1"/>
  <c r="W102" i="22" s="1"/>
  <c r="Y102" i="22" s="1"/>
  <c r="AA102" i="22" s="1"/>
  <c r="AC102" i="22" s="1"/>
  <c r="AE102" i="22" s="1"/>
  <c r="AG102" i="22" s="1"/>
  <c r="AI102" i="22" s="1"/>
  <c r="P14" i="22"/>
  <c r="M18" i="22"/>
  <c r="O18" i="22" s="1"/>
  <c r="Q18" i="22" s="1"/>
  <c r="S18" i="22" s="1"/>
  <c r="U18" i="22" s="1"/>
  <c r="W18" i="22" s="1"/>
  <c r="Y18" i="22" s="1"/>
  <c r="AA18" i="22" s="1"/>
  <c r="AC18" i="22" s="1"/>
  <c r="AE18" i="22" s="1"/>
  <c r="AG18" i="22" s="1"/>
  <c r="AI18" i="22" s="1"/>
  <c r="P28" i="22"/>
  <c r="M45" i="22"/>
  <c r="O45" i="22" s="1"/>
  <c r="Q45" i="22" s="1"/>
  <c r="S45" i="22" s="1"/>
  <c r="U45" i="22" s="1"/>
  <c r="W45" i="22" s="1"/>
  <c r="Y45" i="22" s="1"/>
  <c r="AA45" i="22" s="1"/>
  <c r="AC45" i="22" s="1"/>
  <c r="AE45" i="22" s="1"/>
  <c r="AG45" i="22" s="1"/>
  <c r="AI45" i="22" s="1"/>
  <c r="L45" i="22"/>
  <c r="M100" i="22"/>
  <c r="O100" i="22" s="1"/>
  <c r="Q100" i="22" s="1"/>
  <c r="S100" i="22" s="1"/>
  <c r="U100" i="22" s="1"/>
  <c r="W100" i="22" s="1"/>
  <c r="Y100" i="22" s="1"/>
  <c r="AA100" i="22" s="1"/>
  <c r="AC100" i="22" s="1"/>
  <c r="AE100" i="22" s="1"/>
  <c r="AG100" i="22" s="1"/>
  <c r="AI100" i="22" s="1"/>
  <c r="L100" i="22"/>
  <c r="M89" i="22"/>
  <c r="O89" i="22" s="1"/>
  <c r="Q89" i="22" s="1"/>
  <c r="S89" i="22" s="1"/>
  <c r="U89" i="22" s="1"/>
  <c r="W89" i="22" s="1"/>
  <c r="Y89" i="22" s="1"/>
  <c r="AA89" i="22" s="1"/>
  <c r="AC89" i="22" s="1"/>
  <c r="AE89" i="22" s="1"/>
  <c r="AG89" i="22" s="1"/>
  <c r="AI89" i="22" s="1"/>
  <c r="L89" i="22"/>
  <c r="M10" i="22"/>
  <c r="P12" i="22"/>
  <c r="L14" i="22"/>
  <c r="M24" i="22"/>
  <c r="P26" i="22"/>
  <c r="L28" i="22"/>
  <c r="M37" i="22"/>
  <c r="O37" i="22" s="1"/>
  <c r="Q37" i="22" s="1"/>
  <c r="S37" i="22" s="1"/>
  <c r="U37" i="22" s="1"/>
  <c r="W37" i="22" s="1"/>
  <c r="Y37" i="22" s="1"/>
  <c r="AA37" i="22" s="1"/>
  <c r="AC37" i="22" s="1"/>
  <c r="AE37" i="22" s="1"/>
  <c r="AG37" i="22" s="1"/>
  <c r="AI37" i="22" s="1"/>
  <c r="L37" i="22"/>
  <c r="M53" i="22"/>
  <c r="O53" i="22" s="1"/>
  <c r="Q53" i="22" s="1"/>
  <c r="S53" i="22" s="1"/>
  <c r="U53" i="22" s="1"/>
  <c r="W53" i="22" s="1"/>
  <c r="Y53" i="22" s="1"/>
  <c r="AA53" i="22" s="1"/>
  <c r="AC53" i="22" s="1"/>
  <c r="AE53" i="22" s="1"/>
  <c r="AG53" i="22" s="1"/>
  <c r="AI53" i="22" s="1"/>
  <c r="L53" i="22"/>
  <c r="R9" i="22"/>
  <c r="P23" i="22"/>
  <c r="P33" i="22"/>
  <c r="L23" i="22"/>
  <c r="P25" i="22"/>
  <c r="M42" i="22"/>
  <c r="O42" i="22" s="1"/>
  <c r="Q42" i="22" s="1"/>
  <c r="S42" i="22" s="1"/>
  <c r="U42" i="22" s="1"/>
  <c r="W42" i="22" s="1"/>
  <c r="Y42" i="22" s="1"/>
  <c r="AA42" i="22" s="1"/>
  <c r="AC42" i="22" s="1"/>
  <c r="AE42" i="22" s="1"/>
  <c r="AG42" i="22" s="1"/>
  <c r="AI42" i="22" s="1"/>
  <c r="J120" i="22"/>
  <c r="J118" i="22"/>
  <c r="J117" i="22"/>
  <c r="J113" i="22"/>
  <c r="J109" i="22"/>
  <c r="J105" i="22"/>
  <c r="J101" i="22"/>
  <c r="J97" i="22"/>
  <c r="J115" i="22"/>
  <c r="J111" i="22"/>
  <c r="J107" i="22"/>
  <c r="J103" i="22"/>
  <c r="J121" i="22"/>
  <c r="J90" i="22"/>
  <c r="J86" i="22"/>
  <c r="J82" i="22"/>
  <c r="J78" i="22"/>
  <c r="J98" i="22"/>
  <c r="J96" i="22"/>
  <c r="J91" i="22"/>
  <c r="J87" i="22"/>
  <c r="J83" i="22"/>
  <c r="J79" i="22"/>
  <c r="J73" i="22"/>
  <c r="J69" i="22"/>
  <c r="J65" i="22"/>
  <c r="J61" i="22"/>
  <c r="J57" i="22"/>
  <c r="J116" i="22"/>
  <c r="J114" i="22"/>
  <c r="J108" i="22"/>
  <c r="J106" i="22"/>
  <c r="J95" i="22"/>
  <c r="J92" i="22"/>
  <c r="J88" i="22"/>
  <c r="J84" i="22"/>
  <c r="J80" i="22"/>
  <c r="J76" i="22"/>
  <c r="J72" i="22"/>
  <c r="J68" i="22"/>
  <c r="J64" i="22"/>
  <c r="J60" i="22"/>
  <c r="J56" i="22"/>
  <c r="J52" i="22"/>
  <c r="J48" i="22"/>
  <c r="J44" i="22"/>
  <c r="J40" i="22"/>
  <c r="J36" i="22"/>
  <c r="J32" i="22"/>
  <c r="N14" i="22"/>
  <c r="J16" i="22"/>
  <c r="J20" i="22"/>
  <c r="N25" i="22"/>
  <c r="N28" i="22"/>
  <c r="J30" i="22"/>
  <c r="J31" i="22"/>
  <c r="J35" i="22"/>
  <c r="J39" i="22"/>
  <c r="J43" i="22"/>
  <c r="J47" i="22"/>
  <c r="J51" i="22"/>
  <c r="J55" i="22"/>
  <c r="J77" i="22"/>
  <c r="J85" i="22"/>
  <c r="J93" i="22"/>
  <c r="J99" i="22"/>
  <c r="N12" i="22"/>
  <c r="N23" i="22"/>
  <c r="N26" i="22"/>
  <c r="N33" i="22"/>
  <c r="J58" i="22"/>
  <c r="J59" i="22"/>
  <c r="J62" i="22"/>
  <c r="J63" i="22"/>
  <c r="J66" i="22"/>
  <c r="J67" i="22"/>
  <c r="J70" i="22"/>
  <c r="J71" i="22"/>
  <c r="J74" i="22"/>
  <c r="J75" i="22"/>
  <c r="J104" i="22"/>
  <c r="J110" i="22"/>
  <c r="F125" i="21"/>
  <c r="F124" i="21"/>
  <c r="AL122" i="21"/>
  <c r="L122" i="21"/>
  <c r="AL121" i="21"/>
  <c r="L121" i="21"/>
  <c r="AL120" i="21"/>
  <c r="L120" i="21"/>
  <c r="L119" i="21"/>
  <c r="L118" i="21"/>
  <c r="L117" i="21"/>
  <c r="L116" i="21"/>
  <c r="L115" i="21"/>
  <c r="AL114" i="21"/>
  <c r="L114" i="21"/>
  <c r="L113" i="21"/>
  <c r="AL112" i="21"/>
  <c r="L112" i="21"/>
  <c r="L111" i="21"/>
  <c r="L110" i="21"/>
  <c r="AL109" i="21"/>
  <c r="L109" i="21"/>
  <c r="AL108" i="21"/>
  <c r="L108" i="21"/>
  <c r="AL107" i="21"/>
  <c r="L107" i="21"/>
  <c r="L106" i="21"/>
  <c r="L105" i="21"/>
  <c r="L104" i="21"/>
  <c r="L103" i="21"/>
  <c r="L102" i="21"/>
  <c r="L101" i="21"/>
  <c r="AL100" i="21"/>
  <c r="L100" i="21"/>
  <c r="L97" i="21"/>
  <c r="L96" i="21"/>
  <c r="L95" i="21"/>
  <c r="F93" i="21"/>
  <c r="L92" i="21"/>
  <c r="L91" i="21"/>
  <c r="D90" i="21"/>
  <c r="L89" i="21"/>
  <c r="D89" i="21"/>
  <c r="C89" i="21"/>
  <c r="L87" i="21"/>
  <c r="F87" i="21"/>
  <c r="K87" i="21" s="1"/>
  <c r="N87" i="21" s="1"/>
  <c r="P87" i="21" s="1"/>
  <c r="R87" i="21" s="1"/>
  <c r="T87" i="21" s="1"/>
  <c r="V87" i="21" s="1"/>
  <c r="X87" i="21" s="1"/>
  <c r="Z87" i="21" s="1"/>
  <c r="AB87" i="21" s="1"/>
  <c r="AD87" i="21" s="1"/>
  <c r="AF87" i="21" s="1"/>
  <c r="AH87" i="21" s="1"/>
  <c r="AJ87" i="21" s="1"/>
  <c r="L86" i="21"/>
  <c r="F86" i="21"/>
  <c r="K86" i="21" s="1"/>
  <c r="N86" i="21" s="1"/>
  <c r="P86" i="21" s="1"/>
  <c r="R86" i="21" s="1"/>
  <c r="T86" i="21" s="1"/>
  <c r="V86" i="21" s="1"/>
  <c r="X86" i="21" s="1"/>
  <c r="Z86" i="21" s="1"/>
  <c r="AB86" i="21" s="1"/>
  <c r="AD86" i="21" s="1"/>
  <c r="AF86" i="21" s="1"/>
  <c r="AH86" i="21" s="1"/>
  <c r="AJ86" i="21" s="1"/>
  <c r="L85" i="21"/>
  <c r="F85" i="21"/>
  <c r="K85" i="21" s="1"/>
  <c r="N85" i="21" s="1"/>
  <c r="P85" i="21" s="1"/>
  <c r="R85" i="21" s="1"/>
  <c r="T85" i="21" s="1"/>
  <c r="V85" i="21" s="1"/>
  <c r="X85" i="21" s="1"/>
  <c r="Z85" i="21" s="1"/>
  <c r="AB85" i="21" s="1"/>
  <c r="AD85" i="21" s="1"/>
  <c r="AF85" i="21" s="1"/>
  <c r="AH85" i="21" s="1"/>
  <c r="AJ85" i="21" s="1"/>
  <c r="L82" i="21"/>
  <c r="L81" i="21"/>
  <c r="L80" i="21"/>
  <c r="L79" i="21"/>
  <c r="L78" i="21"/>
  <c r="F78" i="21"/>
  <c r="K78" i="21" s="1"/>
  <c r="N78" i="21" s="1"/>
  <c r="P78" i="21" s="1"/>
  <c r="R78" i="21" s="1"/>
  <c r="T78" i="21" s="1"/>
  <c r="V78" i="21" s="1"/>
  <c r="X78" i="21" s="1"/>
  <c r="Z78" i="21" s="1"/>
  <c r="AB78" i="21" s="1"/>
  <c r="AD78" i="21" s="1"/>
  <c r="AF78" i="21" s="1"/>
  <c r="AH78" i="21" s="1"/>
  <c r="AJ78" i="21" s="1"/>
  <c r="L77" i="21"/>
  <c r="F77" i="21"/>
  <c r="K77" i="21" s="1"/>
  <c r="N77" i="21" s="1"/>
  <c r="P77" i="21" s="1"/>
  <c r="R77" i="21" s="1"/>
  <c r="T77" i="21" s="1"/>
  <c r="V77" i="21" s="1"/>
  <c r="X77" i="21" s="1"/>
  <c r="Z77" i="21" s="1"/>
  <c r="AB77" i="21" s="1"/>
  <c r="AD77" i="21" s="1"/>
  <c r="AF77" i="21" s="1"/>
  <c r="AH77" i="21" s="1"/>
  <c r="AJ77" i="21" s="1"/>
  <c r="L76" i="21"/>
  <c r="F76" i="21"/>
  <c r="K76" i="21" s="1"/>
  <c r="N76" i="21" s="1"/>
  <c r="P76" i="21" s="1"/>
  <c r="R76" i="21" s="1"/>
  <c r="T76" i="21" s="1"/>
  <c r="V76" i="21" s="1"/>
  <c r="X76" i="21" s="1"/>
  <c r="Z76" i="21" s="1"/>
  <c r="AB76" i="21" s="1"/>
  <c r="AD76" i="21" s="1"/>
  <c r="AF76" i="21" s="1"/>
  <c r="AH76" i="21" s="1"/>
  <c r="AJ76" i="21" s="1"/>
  <c r="L75" i="21"/>
  <c r="L74" i="21"/>
  <c r="L73" i="21"/>
  <c r="L72" i="21"/>
  <c r="L71" i="21"/>
  <c r="C69" i="21"/>
  <c r="C68" i="21"/>
  <c r="B68" i="21"/>
  <c r="D67" i="21"/>
  <c r="C67" i="21"/>
  <c r="B67" i="21"/>
  <c r="C66" i="21"/>
  <c r="B66" i="21"/>
  <c r="C65" i="21"/>
  <c r="B65" i="21"/>
  <c r="D64" i="21"/>
  <c r="C64" i="21"/>
  <c r="B64" i="21"/>
  <c r="C63" i="21"/>
  <c r="B63" i="21"/>
  <c r="D62" i="21"/>
  <c r="C62" i="21"/>
  <c r="B62" i="21"/>
  <c r="D61" i="21"/>
  <c r="C61" i="21"/>
  <c r="B61" i="21"/>
  <c r="C60" i="21"/>
  <c r="B60" i="21"/>
  <c r="C59" i="21"/>
  <c r="B59" i="21"/>
  <c r="C58" i="21"/>
  <c r="B58" i="21"/>
  <c r="C57" i="21"/>
  <c r="B57" i="21"/>
  <c r="D56" i="21"/>
  <c r="C56" i="21"/>
  <c r="B56" i="21"/>
  <c r="D55" i="21"/>
  <c r="C55" i="21"/>
  <c r="B55" i="21"/>
  <c r="D54" i="21"/>
  <c r="C54" i="21"/>
  <c r="B54" i="21"/>
  <c r="D53" i="21"/>
  <c r="C53" i="21"/>
  <c r="B53" i="21"/>
  <c r="C52" i="21"/>
  <c r="B52" i="21"/>
  <c r="D51" i="21"/>
  <c r="C51" i="21"/>
  <c r="B51" i="21"/>
  <c r="D50" i="21"/>
  <c r="C50" i="21"/>
  <c r="B50" i="21"/>
  <c r="C49" i="21"/>
  <c r="B49" i="21"/>
  <c r="D48" i="21"/>
  <c r="C48" i="21"/>
  <c r="B48" i="21"/>
  <c r="C47" i="21"/>
  <c r="B47" i="21"/>
  <c r="D46" i="21"/>
  <c r="C46" i="21"/>
  <c r="B46" i="21"/>
  <c r="C45" i="21"/>
  <c r="B45" i="21"/>
  <c r="C44" i="21"/>
  <c r="B44" i="21"/>
  <c r="D43" i="21"/>
  <c r="C43" i="21"/>
  <c r="B43" i="21"/>
  <c r="L42" i="21"/>
  <c r="D42" i="21"/>
  <c r="C42" i="21"/>
  <c r="B42" i="21"/>
  <c r="C41" i="21"/>
  <c r="B41" i="21"/>
  <c r="D40" i="21"/>
  <c r="C40" i="21"/>
  <c r="B40" i="21"/>
  <c r="D39" i="21"/>
  <c r="C39" i="21"/>
  <c r="B39" i="21"/>
  <c r="C38" i="21"/>
  <c r="B38" i="21"/>
  <c r="D37" i="21"/>
  <c r="C37" i="21"/>
  <c r="B37" i="21"/>
  <c r="D36" i="21"/>
  <c r="D57" i="21" s="1"/>
  <c r="C36" i="21"/>
  <c r="B36" i="21"/>
  <c r="D35" i="21"/>
  <c r="C35" i="21"/>
  <c r="B35" i="21"/>
  <c r="D34" i="21"/>
  <c r="D3" i="21" s="1"/>
  <c r="F3" i="21" s="1"/>
  <c r="C34" i="21"/>
  <c r="B34" i="21"/>
  <c r="D33" i="21"/>
  <c r="C33" i="21"/>
  <c r="B33" i="21"/>
  <c r="D32" i="21"/>
  <c r="F74" i="21" s="1"/>
  <c r="K74" i="21" s="1"/>
  <c r="N74" i="21" s="1"/>
  <c r="P74" i="21" s="1"/>
  <c r="R74" i="21" s="1"/>
  <c r="T74" i="21" s="1"/>
  <c r="V74" i="21" s="1"/>
  <c r="X74" i="21" s="1"/>
  <c r="Z74" i="21" s="1"/>
  <c r="AB74" i="21" s="1"/>
  <c r="AD74" i="21" s="1"/>
  <c r="AF74" i="21" s="1"/>
  <c r="AH74" i="21" s="1"/>
  <c r="AJ74" i="21" s="1"/>
  <c r="C32" i="21"/>
  <c r="B32" i="21"/>
  <c r="O31" i="21"/>
  <c r="L31" i="21"/>
  <c r="K31" i="21"/>
  <c r="J31" i="21"/>
  <c r="M77" i="21" s="1"/>
  <c r="C31" i="21"/>
  <c r="E30" i="21"/>
  <c r="C30" i="21"/>
  <c r="B30" i="21"/>
  <c r="E29" i="21"/>
  <c r="C29" i="21"/>
  <c r="B29" i="21"/>
  <c r="C28" i="21"/>
  <c r="B28" i="21"/>
  <c r="C27" i="21"/>
  <c r="B27" i="21"/>
  <c r="C26" i="21"/>
  <c r="B26" i="21"/>
  <c r="E25" i="21"/>
  <c r="C25" i="21"/>
  <c r="E24" i="21"/>
  <c r="C24" i="21"/>
  <c r="B24" i="21"/>
  <c r="E23" i="21"/>
  <c r="C23" i="21"/>
  <c r="B23" i="21"/>
  <c r="C22" i="21"/>
  <c r="B22" i="21"/>
  <c r="C21" i="21"/>
  <c r="B21" i="21"/>
  <c r="L20" i="21"/>
  <c r="C20" i="21"/>
  <c r="B20" i="21"/>
  <c r="C19" i="21"/>
  <c r="B19" i="21"/>
  <c r="L18" i="21"/>
  <c r="C18" i="21"/>
  <c r="B18" i="21"/>
  <c r="L17" i="21"/>
  <c r="C17" i="21"/>
  <c r="B17" i="21"/>
  <c r="L16" i="21"/>
  <c r="B16" i="21"/>
  <c r="L15" i="21"/>
  <c r="C15" i="21"/>
  <c r="B15" i="21"/>
  <c r="C14" i="21"/>
  <c r="B14" i="21"/>
  <c r="L13" i="21"/>
  <c r="C13" i="21"/>
  <c r="B13" i="21"/>
  <c r="L12" i="21"/>
  <c r="C12" i="21"/>
  <c r="B12" i="21"/>
  <c r="L11" i="21"/>
  <c r="C11" i="21"/>
  <c r="B11" i="21"/>
  <c r="L10" i="21"/>
  <c r="C10" i="21"/>
  <c r="B10" i="21"/>
  <c r="C9" i="21"/>
  <c r="B9" i="21"/>
  <c r="L8" i="21"/>
  <c r="C8" i="21"/>
  <c r="B8" i="21"/>
  <c r="L7" i="21"/>
  <c r="C7" i="21"/>
  <c r="B7" i="21"/>
  <c r="C6" i="21"/>
  <c r="B6" i="21"/>
  <c r="C5" i="21"/>
  <c r="B5" i="21"/>
  <c r="C4" i="21"/>
  <c r="B4" i="21"/>
  <c r="C3" i="21"/>
  <c r="B3" i="21"/>
  <c r="R2" i="21"/>
  <c r="M2" i="21"/>
  <c r="C2" i="21"/>
  <c r="B2" i="21"/>
  <c r="C1" i="21"/>
  <c r="P243" i="16" l="1"/>
  <c r="R242" i="16"/>
  <c r="T242" i="16" s="1"/>
  <c r="V242" i="16" s="1"/>
  <c r="X242" i="16" s="1"/>
  <c r="Z242" i="16" s="1"/>
  <c r="AB242" i="16" s="1"/>
  <c r="AD242" i="16" s="1"/>
  <c r="AF242" i="16" s="1"/>
  <c r="AH242" i="16" s="1"/>
  <c r="AJ242" i="16" s="1"/>
  <c r="F245" i="16"/>
  <c r="H246" i="16"/>
  <c r="K245" i="16"/>
  <c r="N244" i="16"/>
  <c r="M244" i="16"/>
  <c r="U89" i="27"/>
  <c r="V89" i="27"/>
  <c r="X87" i="27"/>
  <c r="Z87" i="27" s="1"/>
  <c r="AB87" i="27" s="1"/>
  <c r="AD87" i="27" s="1"/>
  <c r="AF87" i="27" s="1"/>
  <c r="AH87" i="27" s="1"/>
  <c r="W87" i="27"/>
  <c r="G87" i="27" s="1"/>
  <c r="U85" i="27"/>
  <c r="V85" i="27"/>
  <c r="V44" i="27"/>
  <c r="U44" i="27"/>
  <c r="U49" i="24"/>
  <c r="V49" i="24"/>
  <c r="F32" i="21"/>
  <c r="J32" i="21" s="1"/>
  <c r="L32" i="21" s="1"/>
  <c r="F46" i="21"/>
  <c r="J46" i="21" s="1"/>
  <c r="L46" i="21" s="1"/>
  <c r="D12" i="21"/>
  <c r="D15" i="21" s="1"/>
  <c r="F15" i="21" s="1"/>
  <c r="J15" i="21" s="1"/>
  <c r="J3" i="21"/>
  <c r="K3" i="21" s="1"/>
  <c r="P126" i="22"/>
  <c r="Q181" i="22"/>
  <c r="S181" i="22" s="1"/>
  <c r="U181" i="22" s="1"/>
  <c r="W181" i="22" s="1"/>
  <c r="Y181" i="22" s="1"/>
  <c r="AA181" i="22" s="1"/>
  <c r="AC181" i="22" s="1"/>
  <c r="AE181" i="22" s="1"/>
  <c r="AG181" i="22" s="1"/>
  <c r="AI181" i="22" s="1"/>
  <c r="O129" i="22"/>
  <c r="P129" i="22" s="1"/>
  <c r="M94" i="22"/>
  <c r="O94" i="22" s="1"/>
  <c r="Q94" i="22" s="1"/>
  <c r="S94" i="22" s="1"/>
  <c r="U94" i="22" s="1"/>
  <c r="W94" i="22" s="1"/>
  <c r="Y94" i="22" s="1"/>
  <c r="AA94" i="22" s="1"/>
  <c r="AC94" i="22" s="1"/>
  <c r="AE94" i="22" s="1"/>
  <c r="AG94" i="22" s="1"/>
  <c r="AI94" i="22" s="1"/>
  <c r="L202" i="22"/>
  <c r="L226" i="22"/>
  <c r="L81" i="22"/>
  <c r="M224" i="22"/>
  <c r="N224" i="22" s="1"/>
  <c r="L193" i="22"/>
  <c r="L161" i="22"/>
  <c r="M177" i="22"/>
  <c r="O177" i="22" s="1"/>
  <c r="N140" i="22"/>
  <c r="M136" i="22"/>
  <c r="L209" i="22"/>
  <c r="M198" i="22"/>
  <c r="N198" i="22" s="1"/>
  <c r="L225" i="22"/>
  <c r="M168" i="22"/>
  <c r="O168" i="22" s="1"/>
  <c r="O11" i="22"/>
  <c r="Q11" i="22" s="1"/>
  <c r="M167" i="22"/>
  <c r="O167" i="22" s="1"/>
  <c r="M132" i="22"/>
  <c r="O132" i="22" s="1"/>
  <c r="N172" i="22"/>
  <c r="L148" i="22"/>
  <c r="L174" i="22"/>
  <c r="O165" i="22"/>
  <c r="Q165" i="22" s="1"/>
  <c r="S165" i="22" s="1"/>
  <c r="U165" i="22" s="1"/>
  <c r="W165" i="22" s="1"/>
  <c r="Y165" i="22" s="1"/>
  <c r="AA165" i="22" s="1"/>
  <c r="AC165" i="22" s="1"/>
  <c r="AE165" i="22" s="1"/>
  <c r="AG165" i="22" s="1"/>
  <c r="AI165" i="22" s="1"/>
  <c r="M54" i="22"/>
  <c r="O54" i="22" s="1"/>
  <c r="Q54" i="22" s="1"/>
  <c r="S54" i="22" s="1"/>
  <c r="U54" i="22" s="1"/>
  <c r="W54" i="22" s="1"/>
  <c r="Y54" i="22" s="1"/>
  <c r="AA54" i="22" s="1"/>
  <c r="AC54" i="22" s="1"/>
  <c r="AE54" i="22" s="1"/>
  <c r="AG54" i="22" s="1"/>
  <c r="AI54" i="22" s="1"/>
  <c r="L131" i="22"/>
  <c r="N131" i="22"/>
  <c r="N102" i="22"/>
  <c r="M41" i="22"/>
  <c r="O41" i="22" s="1"/>
  <c r="Q41" i="22" s="1"/>
  <c r="S41" i="22" s="1"/>
  <c r="U41" i="22" s="1"/>
  <c r="W41" i="22" s="1"/>
  <c r="Y41" i="22" s="1"/>
  <c r="AA41" i="22" s="1"/>
  <c r="AC41" i="22" s="1"/>
  <c r="AE41" i="22" s="1"/>
  <c r="AG41" i="22" s="1"/>
  <c r="AI41" i="22" s="1"/>
  <c r="M13" i="22"/>
  <c r="O13" i="22" s="1"/>
  <c r="L215" i="22"/>
  <c r="L170" i="22"/>
  <c r="O134" i="22"/>
  <c r="Q134" i="22" s="1"/>
  <c r="S134" i="22" s="1"/>
  <c r="U134" i="22" s="1"/>
  <c r="W134" i="22" s="1"/>
  <c r="Y134" i="22" s="1"/>
  <c r="AA134" i="22" s="1"/>
  <c r="AC134" i="22" s="1"/>
  <c r="AE134" i="22" s="1"/>
  <c r="AG134" i="22" s="1"/>
  <c r="AI134" i="22" s="1"/>
  <c r="L162" i="22"/>
  <c r="M27" i="22"/>
  <c r="O27" i="22" s="1"/>
  <c r="P89" i="22"/>
  <c r="L214" i="22"/>
  <c r="M222" i="22"/>
  <c r="O222" i="22" s="1"/>
  <c r="L204" i="22"/>
  <c r="L151" i="22"/>
  <c r="O161" i="22"/>
  <c r="P161" i="22" s="1"/>
  <c r="L232" i="22"/>
  <c r="M237" i="22"/>
  <c r="N237" i="22" s="1"/>
  <c r="L157" i="22"/>
  <c r="L203" i="22"/>
  <c r="M191" i="22"/>
  <c r="O191" i="22" s="1"/>
  <c r="L199" i="22"/>
  <c r="L190" i="22"/>
  <c r="N50" i="22"/>
  <c r="L17" i="22"/>
  <c r="M194" i="22"/>
  <c r="O194" i="22" s="1"/>
  <c r="M184" i="22"/>
  <c r="O184" i="22" s="1"/>
  <c r="M154" i="22"/>
  <c r="N154" i="22" s="1"/>
  <c r="L236" i="22"/>
  <c r="N81" i="22"/>
  <c r="N37" i="22"/>
  <c r="P50" i="22"/>
  <c r="M187" i="22"/>
  <c r="O187" i="22" s="1"/>
  <c r="O157" i="22"/>
  <c r="Q157" i="22" s="1"/>
  <c r="S157" i="22" s="1"/>
  <c r="U157" i="22" s="1"/>
  <c r="W157" i="22" s="1"/>
  <c r="Y157" i="22" s="1"/>
  <c r="AA157" i="22" s="1"/>
  <c r="AC157" i="22" s="1"/>
  <c r="AE157" i="22" s="1"/>
  <c r="AG157" i="22" s="1"/>
  <c r="AI157" i="22" s="1"/>
  <c r="O145" i="22"/>
  <c r="Q145" i="22" s="1"/>
  <c r="S145" i="22" s="1"/>
  <c r="U145" i="22" s="1"/>
  <c r="W145" i="22" s="1"/>
  <c r="Y145" i="22" s="1"/>
  <c r="AA145" i="22" s="1"/>
  <c r="AC145" i="22" s="1"/>
  <c r="AE145" i="22" s="1"/>
  <c r="AG145" i="22" s="1"/>
  <c r="AI145" i="22" s="1"/>
  <c r="M119" i="22"/>
  <c r="O119" i="22" s="1"/>
  <c r="Q119" i="22" s="1"/>
  <c r="S119" i="22" s="1"/>
  <c r="U119" i="22" s="1"/>
  <c r="W119" i="22" s="1"/>
  <c r="Y119" i="22" s="1"/>
  <c r="AA119" i="22" s="1"/>
  <c r="AC119" i="22" s="1"/>
  <c r="AE119" i="22" s="1"/>
  <c r="AG119" i="22" s="1"/>
  <c r="AI119" i="22" s="1"/>
  <c r="N18" i="22"/>
  <c r="M38" i="22"/>
  <c r="O38" i="22" s="1"/>
  <c r="Q38" i="22" s="1"/>
  <c r="S38" i="22" s="1"/>
  <c r="U38" i="22" s="1"/>
  <c r="W38" i="22" s="1"/>
  <c r="Y38" i="22" s="1"/>
  <c r="AA38" i="22" s="1"/>
  <c r="AC38" i="22" s="1"/>
  <c r="AE38" i="22" s="1"/>
  <c r="AG38" i="22" s="1"/>
  <c r="AI38" i="22" s="1"/>
  <c r="P18" i="22"/>
  <c r="N176" i="22"/>
  <c r="L207" i="22"/>
  <c r="L235" i="22"/>
  <c r="L152" i="22"/>
  <c r="N53" i="22"/>
  <c r="P81" i="22"/>
  <c r="L210" i="22"/>
  <c r="M188" i="22"/>
  <c r="O188" i="22" s="1"/>
  <c r="M135" i="22"/>
  <c r="O135" i="22" s="1"/>
  <c r="L137" i="22"/>
  <c r="M149" i="22"/>
  <c r="L149" i="22"/>
  <c r="L221" i="22"/>
  <c r="M221" i="22"/>
  <c r="L124" i="22"/>
  <c r="M124" i="22"/>
  <c r="N17" i="22"/>
  <c r="P142" i="22"/>
  <c r="N141" i="22"/>
  <c r="L34" i="22"/>
  <c r="M34" i="22"/>
  <c r="M166" i="22"/>
  <c r="L166" i="22"/>
  <c r="L179" i="22"/>
  <c r="M179" i="22"/>
  <c r="L211" i="22"/>
  <c r="M211" i="22"/>
  <c r="L208" i="22"/>
  <c r="M208" i="22"/>
  <c r="M212" i="22"/>
  <c r="L212" i="22"/>
  <c r="L144" i="22"/>
  <c r="M144" i="22"/>
  <c r="N158" i="22"/>
  <c r="O158" i="22"/>
  <c r="L112" i="22"/>
  <c r="P19" i="22"/>
  <c r="P17" i="22"/>
  <c r="P102" i="22"/>
  <c r="P22" i="22"/>
  <c r="L49" i="22"/>
  <c r="M227" i="22"/>
  <c r="N227" i="22" s="1"/>
  <c r="L218" i="22"/>
  <c r="L231" i="22"/>
  <c r="L228" i="22"/>
  <c r="O219" i="22"/>
  <c r="P219" i="22" s="1"/>
  <c r="O218" i="22"/>
  <c r="Q218" i="22" s="1"/>
  <c r="S218" i="22" s="1"/>
  <c r="U218" i="22" s="1"/>
  <c r="W218" i="22" s="1"/>
  <c r="Y218" i="22" s="1"/>
  <c r="AA218" i="22" s="1"/>
  <c r="AC218" i="22" s="1"/>
  <c r="AE218" i="22" s="1"/>
  <c r="AG218" i="22" s="1"/>
  <c r="AI218" i="22" s="1"/>
  <c r="L205" i="22"/>
  <c r="L217" i="22"/>
  <c r="L163" i="22"/>
  <c r="L178" i="22"/>
  <c r="O156" i="22"/>
  <c r="P156" i="22" s="1"/>
  <c r="M29" i="22"/>
  <c r="L29" i="22"/>
  <c r="M15" i="22"/>
  <c r="L15" i="22"/>
  <c r="L164" i="22"/>
  <c r="M164" i="22"/>
  <c r="L183" i="22"/>
  <c r="M183" i="22"/>
  <c r="M197" i="22"/>
  <c r="L197" i="22"/>
  <c r="L195" i="22"/>
  <c r="M195" i="22"/>
  <c r="M213" i="22"/>
  <c r="L213" i="22"/>
  <c r="M223" i="22"/>
  <c r="L223" i="22"/>
  <c r="N214" i="22"/>
  <c r="O214" i="22"/>
  <c r="M143" i="22"/>
  <c r="L143" i="22"/>
  <c r="L128" i="22"/>
  <c r="M128" i="22"/>
  <c r="L46" i="22"/>
  <c r="M46" i="22"/>
  <c r="L138" i="22"/>
  <c r="M138" i="22"/>
  <c r="M173" i="22"/>
  <c r="L173" i="22"/>
  <c r="L219" i="22"/>
  <c r="M182" i="22"/>
  <c r="L182" i="22"/>
  <c r="L155" i="22"/>
  <c r="M155" i="22"/>
  <c r="M220" i="22"/>
  <c r="L220" i="22"/>
  <c r="M130" i="22"/>
  <c r="L130" i="22"/>
  <c r="N19" i="22"/>
  <c r="N100" i="22"/>
  <c r="N89" i="22"/>
  <c r="N22" i="22"/>
  <c r="R181" i="22"/>
  <c r="R142" i="22"/>
  <c r="R145" i="22"/>
  <c r="R126" i="22"/>
  <c r="P100" i="22"/>
  <c r="L19" i="22"/>
  <c r="L156" i="22"/>
  <c r="M146" i="22"/>
  <c r="L146" i="22"/>
  <c r="M189" i="22"/>
  <c r="L189" i="22"/>
  <c r="L229" i="22"/>
  <c r="M229" i="22"/>
  <c r="M185" i="22"/>
  <c r="L185" i="22"/>
  <c r="L233" i="22"/>
  <c r="M233" i="22"/>
  <c r="L216" i="22"/>
  <c r="M216" i="22"/>
  <c r="M234" i="22"/>
  <c r="L234" i="22"/>
  <c r="M230" i="22"/>
  <c r="L230" i="22"/>
  <c r="M192" i="22"/>
  <c r="L192" i="22"/>
  <c r="L153" i="22"/>
  <c r="M153" i="22"/>
  <c r="M127" i="22"/>
  <c r="L127" i="22"/>
  <c r="P140" i="22"/>
  <c r="Q140" i="22"/>
  <c r="S140" i="22" s="1"/>
  <c r="U140" i="22" s="1"/>
  <c r="W140" i="22" s="1"/>
  <c r="Y140" i="22" s="1"/>
  <c r="AA140" i="22" s="1"/>
  <c r="AC140" i="22" s="1"/>
  <c r="AE140" i="22" s="1"/>
  <c r="AG140" i="22" s="1"/>
  <c r="AI140" i="22" s="1"/>
  <c r="O190" i="22"/>
  <c r="N190" i="22"/>
  <c r="N231" i="22"/>
  <c r="O231" i="22"/>
  <c r="O210" i="22"/>
  <c r="N210" i="22"/>
  <c r="N222" i="22"/>
  <c r="N209" i="22"/>
  <c r="O209" i="22"/>
  <c r="O215" i="22"/>
  <c r="N215" i="22"/>
  <c r="N204" i="22"/>
  <c r="O204" i="22"/>
  <c r="Q176" i="22"/>
  <c r="S176" i="22" s="1"/>
  <c r="U176" i="22" s="1"/>
  <c r="W176" i="22" s="1"/>
  <c r="Y176" i="22" s="1"/>
  <c r="AA176" i="22" s="1"/>
  <c r="AC176" i="22" s="1"/>
  <c r="AE176" i="22" s="1"/>
  <c r="AG176" i="22" s="1"/>
  <c r="AI176" i="22" s="1"/>
  <c r="P176" i="22"/>
  <c r="O202" i="22"/>
  <c r="N202" i="22"/>
  <c r="N171" i="22"/>
  <c r="O171" i="22"/>
  <c r="P172" i="22"/>
  <c r="Q172" i="22"/>
  <c r="S172" i="22" s="1"/>
  <c r="U172" i="22" s="1"/>
  <c r="W172" i="22" s="1"/>
  <c r="Y172" i="22" s="1"/>
  <c r="AA172" i="22" s="1"/>
  <c r="AC172" i="22" s="1"/>
  <c r="AE172" i="22" s="1"/>
  <c r="AG172" i="22" s="1"/>
  <c r="AI172" i="22" s="1"/>
  <c r="N151" i="22"/>
  <c r="O151" i="22"/>
  <c r="P125" i="22"/>
  <c r="Q125" i="22"/>
  <c r="S125" i="22" s="1"/>
  <c r="U125" i="22" s="1"/>
  <c r="W125" i="22" s="1"/>
  <c r="Y125" i="22" s="1"/>
  <c r="AA125" i="22" s="1"/>
  <c r="AC125" i="22" s="1"/>
  <c r="AE125" i="22" s="1"/>
  <c r="AG125" i="22" s="1"/>
  <c r="AI125" i="22" s="1"/>
  <c r="Q169" i="22"/>
  <c r="S169" i="22" s="1"/>
  <c r="U169" i="22" s="1"/>
  <c r="W169" i="22" s="1"/>
  <c r="Y169" i="22" s="1"/>
  <c r="AA169" i="22" s="1"/>
  <c r="AC169" i="22" s="1"/>
  <c r="AE169" i="22" s="1"/>
  <c r="AG169" i="22" s="1"/>
  <c r="AI169" i="22" s="1"/>
  <c r="P169" i="22"/>
  <c r="N168" i="22"/>
  <c r="N122" i="22"/>
  <c r="O122" i="22"/>
  <c r="N136" i="22"/>
  <c r="O136" i="22"/>
  <c r="O232" i="22"/>
  <c r="N232" i="22"/>
  <c r="O159" i="22"/>
  <c r="N159" i="22"/>
  <c r="O152" i="22"/>
  <c r="N152" i="22"/>
  <c r="O200" i="22"/>
  <c r="N200" i="22"/>
  <c r="O174" i="22"/>
  <c r="N174" i="22"/>
  <c r="Q131" i="22"/>
  <c r="S131" i="22" s="1"/>
  <c r="U131" i="22" s="1"/>
  <c r="W131" i="22" s="1"/>
  <c r="Y131" i="22" s="1"/>
  <c r="AA131" i="22" s="1"/>
  <c r="AC131" i="22" s="1"/>
  <c r="AE131" i="22" s="1"/>
  <c r="AG131" i="22" s="1"/>
  <c r="AI131" i="22" s="1"/>
  <c r="P131" i="22"/>
  <c r="N162" i="22"/>
  <c r="O162" i="22"/>
  <c r="O236" i="22"/>
  <c r="N236" i="22"/>
  <c r="O226" i="22"/>
  <c r="N226" i="22"/>
  <c r="O147" i="22"/>
  <c r="N147" i="22"/>
  <c r="O205" i="22"/>
  <c r="N205" i="22"/>
  <c r="P196" i="22"/>
  <c r="Q196" i="22"/>
  <c r="S196" i="22" s="1"/>
  <c r="U196" i="22" s="1"/>
  <c r="W196" i="22" s="1"/>
  <c r="Y196" i="22" s="1"/>
  <c r="AA196" i="22" s="1"/>
  <c r="AC196" i="22" s="1"/>
  <c r="AE196" i="22" s="1"/>
  <c r="AG196" i="22" s="1"/>
  <c r="AI196" i="22" s="1"/>
  <c r="N217" i="22"/>
  <c r="O217" i="22"/>
  <c r="N163" i="22"/>
  <c r="O163" i="22"/>
  <c r="N170" i="22"/>
  <c r="O170" i="22"/>
  <c r="O148" i="22"/>
  <c r="N148" i="22"/>
  <c r="O186" i="22"/>
  <c r="N186" i="22"/>
  <c r="P180" i="22"/>
  <c r="Q180" i="22"/>
  <c r="S180" i="22" s="1"/>
  <c r="U180" i="22" s="1"/>
  <c r="W180" i="22" s="1"/>
  <c r="Y180" i="22" s="1"/>
  <c r="AA180" i="22" s="1"/>
  <c r="AC180" i="22" s="1"/>
  <c r="AE180" i="22" s="1"/>
  <c r="AG180" i="22" s="1"/>
  <c r="AI180" i="22" s="1"/>
  <c r="O133" i="22"/>
  <c r="N133" i="22"/>
  <c r="O193" i="22"/>
  <c r="N193" i="22"/>
  <c r="O225" i="22"/>
  <c r="N225" i="22"/>
  <c r="O228" i="22"/>
  <c r="N228" i="22"/>
  <c r="N206" i="22"/>
  <c r="O206" i="22"/>
  <c r="O207" i="22"/>
  <c r="N207" i="22"/>
  <c r="N235" i="22"/>
  <c r="O235" i="22"/>
  <c r="O203" i="22"/>
  <c r="N203" i="22"/>
  <c r="O201" i="22"/>
  <c r="N201" i="22"/>
  <c r="N175" i="22"/>
  <c r="O175" i="22"/>
  <c r="O160" i="22"/>
  <c r="N160" i="22"/>
  <c r="O150" i="22"/>
  <c r="N150" i="22"/>
  <c r="P141" i="22"/>
  <c r="Q141" i="22"/>
  <c r="S141" i="22" s="1"/>
  <c r="U141" i="22" s="1"/>
  <c r="W141" i="22" s="1"/>
  <c r="Y141" i="22" s="1"/>
  <c r="AA141" i="22" s="1"/>
  <c r="AC141" i="22" s="1"/>
  <c r="AE141" i="22" s="1"/>
  <c r="AG141" i="22" s="1"/>
  <c r="AI141" i="22" s="1"/>
  <c r="N123" i="22"/>
  <c r="O123" i="22"/>
  <c r="O199" i="22"/>
  <c r="N199" i="22"/>
  <c r="N178" i="22"/>
  <c r="O178" i="22"/>
  <c r="N139" i="22"/>
  <c r="O139" i="22"/>
  <c r="O137" i="22"/>
  <c r="N137" i="22"/>
  <c r="P21" i="22"/>
  <c r="N21" i="22"/>
  <c r="L110" i="22"/>
  <c r="M110" i="22"/>
  <c r="M71" i="22"/>
  <c r="L71" i="22"/>
  <c r="M63" i="22"/>
  <c r="L63" i="22"/>
  <c r="L56" i="22"/>
  <c r="M56" i="22"/>
  <c r="M88" i="22"/>
  <c r="L88" i="22"/>
  <c r="L61" i="22"/>
  <c r="M61" i="22"/>
  <c r="M96" i="22"/>
  <c r="L96" i="22"/>
  <c r="M107" i="22"/>
  <c r="L107" i="22"/>
  <c r="M117" i="22"/>
  <c r="L117" i="22"/>
  <c r="P112" i="22"/>
  <c r="M104" i="22"/>
  <c r="L104" i="22"/>
  <c r="M70" i="22"/>
  <c r="L70" i="22"/>
  <c r="M93" i="22"/>
  <c r="L93" i="22"/>
  <c r="M55" i="22"/>
  <c r="L55" i="22"/>
  <c r="M39" i="22"/>
  <c r="L39" i="22"/>
  <c r="M31" i="22"/>
  <c r="L31" i="22"/>
  <c r="L44" i="22"/>
  <c r="M44" i="22"/>
  <c r="M76" i="22"/>
  <c r="L76" i="22"/>
  <c r="M114" i="22"/>
  <c r="L114" i="22"/>
  <c r="L83" i="22"/>
  <c r="M83" i="22"/>
  <c r="L90" i="22"/>
  <c r="M90" i="22"/>
  <c r="L105" i="22"/>
  <c r="M105" i="22"/>
  <c r="O24" i="22"/>
  <c r="N24" i="22"/>
  <c r="M74" i="22"/>
  <c r="L74" i="22"/>
  <c r="M66" i="22"/>
  <c r="L66" i="22"/>
  <c r="M58" i="22"/>
  <c r="L58" i="22"/>
  <c r="M77" i="22"/>
  <c r="L77" i="22"/>
  <c r="M51" i="22"/>
  <c r="L51" i="22"/>
  <c r="M43" i="22"/>
  <c r="L43" i="22"/>
  <c r="M35" i="22"/>
  <c r="L35" i="22"/>
  <c r="L36" i="22"/>
  <c r="M36" i="22"/>
  <c r="L52" i="22"/>
  <c r="M52" i="22"/>
  <c r="M68" i="22"/>
  <c r="L68" i="22"/>
  <c r="M84" i="22"/>
  <c r="L84" i="22"/>
  <c r="M106" i="22"/>
  <c r="L106" i="22"/>
  <c r="L57" i="22"/>
  <c r="M57" i="22"/>
  <c r="L73" i="22"/>
  <c r="M73" i="22"/>
  <c r="L91" i="22"/>
  <c r="M91" i="22"/>
  <c r="L82" i="22"/>
  <c r="M82" i="22"/>
  <c r="M103" i="22"/>
  <c r="L103" i="22"/>
  <c r="L97" i="22"/>
  <c r="M97" i="22"/>
  <c r="L113" i="22"/>
  <c r="M113" i="22"/>
  <c r="P49" i="22"/>
  <c r="R89" i="22"/>
  <c r="R81" i="22"/>
  <c r="R102" i="22"/>
  <c r="R100" i="22"/>
  <c r="R50" i="22"/>
  <c r="R42" i="22"/>
  <c r="R112" i="22"/>
  <c r="R26" i="22"/>
  <c r="R23" i="22"/>
  <c r="R19" i="22"/>
  <c r="R12" i="22"/>
  <c r="R53" i="22"/>
  <c r="R49" i="22"/>
  <c r="R45" i="22"/>
  <c r="R37" i="22"/>
  <c r="R33" i="22"/>
  <c r="R28" i="22"/>
  <c r="R25" i="22"/>
  <c r="R22" i="22"/>
  <c r="R18" i="22"/>
  <c r="R14" i="22"/>
  <c r="T9" i="22"/>
  <c r="R17" i="22"/>
  <c r="R21" i="22"/>
  <c r="P42" i="22"/>
  <c r="O10" i="22"/>
  <c r="N10" i="22"/>
  <c r="P53" i="22"/>
  <c r="L99" i="22"/>
  <c r="M99" i="22"/>
  <c r="M20" i="22"/>
  <c r="L20" i="22"/>
  <c r="L40" i="22"/>
  <c r="M40" i="22"/>
  <c r="M72" i="22"/>
  <c r="L72" i="22"/>
  <c r="M108" i="22"/>
  <c r="L108" i="22"/>
  <c r="L79" i="22"/>
  <c r="M79" i="22"/>
  <c r="L86" i="22"/>
  <c r="M86" i="22"/>
  <c r="L101" i="22"/>
  <c r="M101" i="22"/>
  <c r="M62" i="22"/>
  <c r="L62" i="22"/>
  <c r="N49" i="22"/>
  <c r="N112" i="22"/>
  <c r="M47" i="22"/>
  <c r="L47" i="22"/>
  <c r="M60" i="22"/>
  <c r="L60" i="22"/>
  <c r="M92" i="22"/>
  <c r="L92" i="22"/>
  <c r="L65" i="22"/>
  <c r="M65" i="22"/>
  <c r="M98" i="22"/>
  <c r="L98" i="22"/>
  <c r="M111" i="22"/>
  <c r="L111" i="22"/>
  <c r="L118" i="22"/>
  <c r="M118" i="22"/>
  <c r="N13" i="22"/>
  <c r="M75" i="22"/>
  <c r="L75" i="22"/>
  <c r="M67" i="22"/>
  <c r="L67" i="22"/>
  <c r="M59" i="22"/>
  <c r="L59" i="22"/>
  <c r="N45" i="22"/>
  <c r="N42" i="22"/>
  <c r="M85" i="22"/>
  <c r="L85" i="22"/>
  <c r="M30" i="22"/>
  <c r="L30" i="22"/>
  <c r="M16" i="22"/>
  <c r="L16" i="22"/>
  <c r="L32" i="22"/>
  <c r="M32" i="22"/>
  <c r="L48" i="22"/>
  <c r="M48" i="22"/>
  <c r="M64" i="22"/>
  <c r="L64" i="22"/>
  <c r="M80" i="22"/>
  <c r="L80" i="22"/>
  <c r="L95" i="22"/>
  <c r="M95" i="22"/>
  <c r="M116" i="22"/>
  <c r="L116" i="22"/>
  <c r="L69" i="22"/>
  <c r="M69" i="22"/>
  <c r="L87" i="22"/>
  <c r="M87" i="22"/>
  <c r="L78" i="22"/>
  <c r="M78" i="22"/>
  <c r="M121" i="22"/>
  <c r="L121" i="22"/>
  <c r="M115" i="22"/>
  <c r="L115" i="22"/>
  <c r="L109" i="22"/>
  <c r="M109" i="22"/>
  <c r="M120" i="22"/>
  <c r="L120" i="22"/>
  <c r="P45" i="22"/>
  <c r="P37" i="22"/>
  <c r="L33" i="21"/>
  <c r="F40" i="21"/>
  <c r="F64" i="21"/>
  <c r="F16" i="21"/>
  <c r="J16" i="21" s="1"/>
  <c r="N3" i="21"/>
  <c r="P3" i="21" s="1"/>
  <c r="D7" i="21"/>
  <c r="D4" i="21"/>
  <c r="M86" i="21"/>
  <c r="M76" i="21"/>
  <c r="M78" i="21"/>
  <c r="M85" i="21"/>
  <c r="M74" i="21"/>
  <c r="Q31" i="21"/>
  <c r="F34" i="21"/>
  <c r="D59" i="21"/>
  <c r="D60" i="21" s="1"/>
  <c r="F60" i="21" s="1"/>
  <c r="M87" i="21"/>
  <c r="O78" i="21"/>
  <c r="O87" i="21"/>
  <c r="O76" i="21"/>
  <c r="O77" i="21"/>
  <c r="O74" i="21"/>
  <c r="F80" i="21"/>
  <c r="K80" i="21" s="1"/>
  <c r="N80" i="21" s="1"/>
  <c r="P80" i="21" s="1"/>
  <c r="R80" i="21" s="1"/>
  <c r="T80" i="21" s="1"/>
  <c r="V80" i="21" s="1"/>
  <c r="X80" i="21" s="1"/>
  <c r="Z80" i="21" s="1"/>
  <c r="AB80" i="21" s="1"/>
  <c r="AD80" i="21" s="1"/>
  <c r="AF80" i="21" s="1"/>
  <c r="AH80" i="21" s="1"/>
  <c r="AJ80" i="21" s="1"/>
  <c r="F82" i="21"/>
  <c r="K82" i="21" s="1"/>
  <c r="N82" i="21" s="1"/>
  <c r="P82" i="21" s="1"/>
  <c r="R82" i="21" s="1"/>
  <c r="T82" i="21" s="1"/>
  <c r="V82" i="21" s="1"/>
  <c r="X82" i="21" s="1"/>
  <c r="Z82" i="21" s="1"/>
  <c r="AB82" i="21" s="1"/>
  <c r="AD82" i="21" s="1"/>
  <c r="AF82" i="21" s="1"/>
  <c r="AH82" i="21" s="1"/>
  <c r="AJ82" i="21" s="1"/>
  <c r="F73" i="21"/>
  <c r="K73" i="21" s="1"/>
  <c r="N73" i="21" s="1"/>
  <c r="P73" i="21" s="1"/>
  <c r="R73" i="21" s="1"/>
  <c r="T73" i="21" s="1"/>
  <c r="V73" i="21" s="1"/>
  <c r="X73" i="21" s="1"/>
  <c r="Z73" i="21" s="1"/>
  <c r="AB73" i="21" s="1"/>
  <c r="AD73" i="21" s="1"/>
  <c r="AF73" i="21" s="1"/>
  <c r="AH73" i="21" s="1"/>
  <c r="AJ73" i="21" s="1"/>
  <c r="F72" i="21"/>
  <c r="K72" i="21" s="1"/>
  <c r="N72" i="21" s="1"/>
  <c r="P72" i="21" s="1"/>
  <c r="R72" i="21" s="1"/>
  <c r="T72" i="21" s="1"/>
  <c r="V72" i="21" s="1"/>
  <c r="X72" i="21" s="1"/>
  <c r="Z72" i="21" s="1"/>
  <c r="AB72" i="21" s="1"/>
  <c r="AD72" i="21" s="1"/>
  <c r="AF72" i="21" s="1"/>
  <c r="AH72" i="21" s="1"/>
  <c r="AJ72" i="21" s="1"/>
  <c r="F79" i="21"/>
  <c r="K79" i="21" s="1"/>
  <c r="F71" i="21"/>
  <c r="K71" i="21" s="1"/>
  <c r="N71" i="21" s="1"/>
  <c r="P71" i="21" s="1"/>
  <c r="R71" i="21" s="1"/>
  <c r="T71" i="21" s="1"/>
  <c r="V71" i="21" s="1"/>
  <c r="X71" i="21" s="1"/>
  <c r="Z71" i="21" s="1"/>
  <c r="AB71" i="21" s="1"/>
  <c r="AD71" i="21" s="1"/>
  <c r="AF71" i="21" s="1"/>
  <c r="AH71" i="21" s="1"/>
  <c r="AJ71" i="21" s="1"/>
  <c r="F67" i="21"/>
  <c r="F75" i="21"/>
  <c r="K75" i="21" s="1"/>
  <c r="N75" i="21" s="1"/>
  <c r="P75" i="21" s="1"/>
  <c r="R75" i="21" s="1"/>
  <c r="T75" i="21" s="1"/>
  <c r="V75" i="21" s="1"/>
  <c r="X75" i="21" s="1"/>
  <c r="Z75" i="21" s="1"/>
  <c r="AB75" i="21" s="1"/>
  <c r="AD75" i="21" s="1"/>
  <c r="AF75" i="21" s="1"/>
  <c r="AH75" i="21" s="1"/>
  <c r="AJ75" i="21" s="1"/>
  <c r="F81" i="21"/>
  <c r="K81" i="21" s="1"/>
  <c r="O85" i="21"/>
  <c r="O86" i="21"/>
  <c r="F89" i="21"/>
  <c r="K89" i="21" s="1"/>
  <c r="N89" i="21" s="1"/>
  <c r="P89" i="21" s="1"/>
  <c r="R89" i="21" s="1"/>
  <c r="T89" i="21" s="1"/>
  <c r="V89" i="21" s="1"/>
  <c r="X89" i="21" s="1"/>
  <c r="Z89" i="21" s="1"/>
  <c r="AB89" i="21" s="1"/>
  <c r="AD89" i="21" s="1"/>
  <c r="AF89" i="21" s="1"/>
  <c r="AH89" i="21" s="1"/>
  <c r="AJ89" i="21" s="1"/>
  <c r="P66" i="17"/>
  <c r="P65" i="17"/>
  <c r="N62" i="17"/>
  <c r="N63" i="17" s="1"/>
  <c r="P63" i="17" s="1"/>
  <c r="P60" i="17"/>
  <c r="N60" i="17"/>
  <c r="N61" i="17" s="1"/>
  <c r="P61" i="17" s="1"/>
  <c r="J60" i="17"/>
  <c r="J61" i="17" s="1"/>
  <c r="J62" i="17" s="1"/>
  <c r="J63" i="17" s="1"/>
  <c r="I60" i="17"/>
  <c r="I61" i="17" s="1"/>
  <c r="I62" i="17" s="1"/>
  <c r="I63" i="17" s="1"/>
  <c r="I64" i="17" s="1"/>
  <c r="I65" i="17" s="1"/>
  <c r="I66" i="17" s="1"/>
  <c r="D60" i="17"/>
  <c r="D61" i="17" s="1"/>
  <c r="D62" i="17" s="1"/>
  <c r="D63" i="17" s="1"/>
  <c r="P59" i="17"/>
  <c r="N58" i="17"/>
  <c r="J58" i="17"/>
  <c r="J57" i="17" s="1"/>
  <c r="J56" i="17" s="1"/>
  <c r="J55" i="17" s="1"/>
  <c r="J54" i="17" s="1"/>
  <c r="J53" i="17" s="1"/>
  <c r="I58" i="17"/>
  <c r="I57" i="17" s="1"/>
  <c r="I56" i="17" s="1"/>
  <c r="I55" i="17" s="1"/>
  <c r="I54" i="17" s="1"/>
  <c r="I53" i="17" s="1"/>
  <c r="D58" i="17"/>
  <c r="D57" i="17" s="1"/>
  <c r="D56" i="17" s="1"/>
  <c r="D55" i="17" s="1"/>
  <c r="D54" i="17" s="1"/>
  <c r="D53" i="17" s="1"/>
  <c r="P11" i="22" l="1"/>
  <c r="K246" i="16"/>
  <c r="F246" i="16"/>
  <c r="H247" i="16"/>
  <c r="P244" i="16"/>
  <c r="R243" i="16"/>
  <c r="T243" i="16" s="1"/>
  <c r="V243" i="16" s="1"/>
  <c r="X243" i="16" s="1"/>
  <c r="Z243" i="16" s="1"/>
  <c r="AB243" i="16" s="1"/>
  <c r="AD243" i="16" s="1"/>
  <c r="AF243" i="16" s="1"/>
  <c r="AH243" i="16" s="1"/>
  <c r="AJ243" i="16" s="1"/>
  <c r="N245" i="16"/>
  <c r="M245" i="16"/>
  <c r="X85" i="27"/>
  <c r="Z85" i="27" s="1"/>
  <c r="AB85" i="27" s="1"/>
  <c r="AD85" i="27" s="1"/>
  <c r="AF85" i="27" s="1"/>
  <c r="AH85" i="27" s="1"/>
  <c r="W85" i="27"/>
  <c r="G85" i="27" s="1"/>
  <c r="X89" i="27"/>
  <c r="Z89" i="27" s="1"/>
  <c r="AB89" i="27" s="1"/>
  <c r="AD89" i="27" s="1"/>
  <c r="AF89" i="27" s="1"/>
  <c r="AH89" i="27" s="1"/>
  <c r="W89" i="27"/>
  <c r="G89" i="27" s="1"/>
  <c r="F12" i="21"/>
  <c r="J12" i="21" s="1"/>
  <c r="K12" i="21" s="1"/>
  <c r="X44" i="27"/>
  <c r="Z44" i="27" s="1"/>
  <c r="AB44" i="27" s="1"/>
  <c r="AD44" i="27" s="1"/>
  <c r="AF44" i="27" s="1"/>
  <c r="AH44" i="27" s="1"/>
  <c r="W44" i="27"/>
  <c r="G44" i="27" s="1"/>
  <c r="X49" i="24"/>
  <c r="W49" i="24"/>
  <c r="K32" i="21"/>
  <c r="M32" i="21" s="1"/>
  <c r="O72" i="21"/>
  <c r="O73" i="21"/>
  <c r="M73" i="21"/>
  <c r="K46" i="21"/>
  <c r="N46" i="21" s="1"/>
  <c r="P46" i="21" s="1"/>
  <c r="R46" i="21" s="1"/>
  <c r="T46" i="21" s="1"/>
  <c r="V46" i="21" s="1"/>
  <c r="X46" i="21" s="1"/>
  <c r="Z46" i="21" s="1"/>
  <c r="AB46" i="21" s="1"/>
  <c r="AD46" i="21" s="1"/>
  <c r="AF46" i="21" s="1"/>
  <c r="AH46" i="21" s="1"/>
  <c r="AJ46" i="21" s="1"/>
  <c r="M71" i="21"/>
  <c r="J60" i="21"/>
  <c r="L60" i="21" s="1"/>
  <c r="J67" i="21"/>
  <c r="L67" i="21" s="1"/>
  <c r="O71" i="21"/>
  <c r="J34" i="21"/>
  <c r="L34" i="21" s="1"/>
  <c r="J40" i="21"/>
  <c r="L40" i="21" s="1"/>
  <c r="O82" i="21"/>
  <c r="J64" i="21"/>
  <c r="L64" i="21" s="1"/>
  <c r="Q129" i="22"/>
  <c r="S129" i="22" s="1"/>
  <c r="U129" i="22" s="1"/>
  <c r="W129" i="22" s="1"/>
  <c r="Y129" i="22" s="1"/>
  <c r="AA129" i="22" s="1"/>
  <c r="AC129" i="22" s="1"/>
  <c r="AE129" i="22" s="1"/>
  <c r="AG129" i="22" s="1"/>
  <c r="AI129" i="22" s="1"/>
  <c r="R176" i="22"/>
  <c r="R134" i="22"/>
  <c r="R94" i="22"/>
  <c r="O224" i="22"/>
  <c r="P224" i="22" s="1"/>
  <c r="R169" i="22"/>
  <c r="P94" i="22"/>
  <c r="N94" i="22"/>
  <c r="R131" i="22"/>
  <c r="R172" i="22"/>
  <c r="R140" i="22"/>
  <c r="R125" i="22"/>
  <c r="R141" i="22"/>
  <c r="R196" i="22"/>
  <c r="R180" i="22"/>
  <c r="R165" i="22"/>
  <c r="R157" i="22"/>
  <c r="R218" i="22"/>
  <c r="O198" i="22"/>
  <c r="P198" i="22" s="1"/>
  <c r="N167" i="22"/>
  <c r="N177" i="22"/>
  <c r="P165" i="22"/>
  <c r="P38" i="22"/>
  <c r="P157" i="22"/>
  <c r="N132" i="22"/>
  <c r="N184" i="22"/>
  <c r="O154" i="22"/>
  <c r="P154" i="22" s="1"/>
  <c r="P41" i="22"/>
  <c r="R54" i="22"/>
  <c r="P54" i="22"/>
  <c r="R38" i="22"/>
  <c r="Q161" i="22"/>
  <c r="P134" i="22"/>
  <c r="R41" i="22"/>
  <c r="N54" i="22"/>
  <c r="N38" i="22"/>
  <c r="N41" i="22"/>
  <c r="N191" i="22"/>
  <c r="O237" i="22"/>
  <c r="Q237" i="22" s="1"/>
  <c r="N27" i="22"/>
  <c r="N194" i="22"/>
  <c r="N135" i="22"/>
  <c r="N187" i="22"/>
  <c r="Q219" i="22"/>
  <c r="P119" i="22"/>
  <c r="P145" i="22"/>
  <c r="N119" i="22"/>
  <c r="R119" i="22"/>
  <c r="Q156" i="22"/>
  <c r="N188" i="22"/>
  <c r="T237" i="22"/>
  <c r="T236" i="22"/>
  <c r="T227" i="22"/>
  <c r="T226" i="22"/>
  <c r="T214" i="22"/>
  <c r="T234" i="22"/>
  <c r="T224" i="22"/>
  <c r="T222" i="22"/>
  <c r="T210" i="22"/>
  <c r="T204" i="22"/>
  <c r="T232" i="22"/>
  <c r="T229" i="22"/>
  <c r="T218" i="22"/>
  <c r="T216" i="22"/>
  <c r="T212" i="22"/>
  <c r="T208" i="22"/>
  <c r="T220" i="22"/>
  <c r="T198" i="22"/>
  <c r="T235" i="22"/>
  <c r="T206" i="22"/>
  <c r="T200" i="22"/>
  <c r="T202" i="22"/>
  <c r="T196" i="22"/>
  <c r="T185" i="22"/>
  <c r="T169" i="22"/>
  <c r="T145" i="22"/>
  <c r="T189" i="22"/>
  <c r="T172" i="22"/>
  <c r="T183" i="22"/>
  <c r="T181" i="22"/>
  <c r="T180" i="22"/>
  <c r="T165" i="22"/>
  <c r="T140" i="22"/>
  <c r="T233" i="22"/>
  <c r="T131" i="22"/>
  <c r="T187" i="22"/>
  <c r="T179" i="22"/>
  <c r="T142" i="22"/>
  <c r="T141" i="22"/>
  <c r="T134" i="22"/>
  <c r="T133" i="22"/>
  <c r="T157" i="22"/>
  <c r="T126" i="22"/>
  <c r="T176" i="22"/>
  <c r="T125" i="22"/>
  <c r="O146" i="22"/>
  <c r="N146" i="22"/>
  <c r="O220" i="22"/>
  <c r="N220" i="22"/>
  <c r="N173" i="22"/>
  <c r="O173" i="22"/>
  <c r="O143" i="22"/>
  <c r="N143" i="22"/>
  <c r="O138" i="22"/>
  <c r="N138" i="22"/>
  <c r="N164" i="22"/>
  <c r="O164" i="22"/>
  <c r="N211" i="22"/>
  <c r="O211" i="22"/>
  <c r="O124" i="22"/>
  <c r="N124" i="22"/>
  <c r="P218" i="22"/>
  <c r="O227" i="22"/>
  <c r="Q227" i="22" s="1"/>
  <c r="O230" i="22"/>
  <c r="N230" i="22"/>
  <c r="N185" i="22"/>
  <c r="O185" i="22"/>
  <c r="O189" i="22"/>
  <c r="N189" i="22"/>
  <c r="N130" i="22"/>
  <c r="O130" i="22"/>
  <c r="N213" i="22"/>
  <c r="O213" i="22"/>
  <c r="N197" i="22"/>
  <c r="O197" i="22"/>
  <c r="O29" i="22"/>
  <c r="N29" i="22"/>
  <c r="O212" i="22"/>
  <c r="N212" i="22"/>
  <c r="N166" i="22"/>
  <c r="O166" i="22"/>
  <c r="O149" i="22"/>
  <c r="N149" i="22"/>
  <c r="O127" i="22"/>
  <c r="N127" i="22"/>
  <c r="N192" i="22"/>
  <c r="O192" i="22"/>
  <c r="N234" i="22"/>
  <c r="O234" i="22"/>
  <c r="O182" i="22"/>
  <c r="N182" i="22"/>
  <c r="N223" i="22"/>
  <c r="O223" i="22"/>
  <c r="O15" i="22"/>
  <c r="N15" i="22"/>
  <c r="O153" i="22"/>
  <c r="N153" i="22"/>
  <c r="N216" i="22"/>
  <c r="O216" i="22"/>
  <c r="O155" i="22"/>
  <c r="N155" i="22"/>
  <c r="N128" i="22"/>
  <c r="O128" i="22"/>
  <c r="Q214" i="22"/>
  <c r="P214" i="22"/>
  <c r="Q158" i="22"/>
  <c r="P158" i="22"/>
  <c r="N233" i="22"/>
  <c r="O233" i="22"/>
  <c r="N229" i="22"/>
  <c r="O229" i="22"/>
  <c r="O46" i="22"/>
  <c r="N46" i="22"/>
  <c r="O195" i="22"/>
  <c r="N195" i="22"/>
  <c r="O183" i="22"/>
  <c r="N183" i="22"/>
  <c r="O144" i="22"/>
  <c r="N144" i="22"/>
  <c r="O208" i="22"/>
  <c r="N208" i="22"/>
  <c r="O179" i="22"/>
  <c r="N179" i="22"/>
  <c r="O34" i="22"/>
  <c r="N34" i="22"/>
  <c r="O221" i="22"/>
  <c r="N221" i="22"/>
  <c r="Q225" i="22"/>
  <c r="P225" i="22"/>
  <c r="Q163" i="22"/>
  <c r="P163" i="22"/>
  <c r="Q236" i="22"/>
  <c r="P236" i="22"/>
  <c r="P136" i="22"/>
  <c r="Q136" i="22"/>
  <c r="P202" i="22"/>
  <c r="Q202" i="22"/>
  <c r="P204" i="22"/>
  <c r="Q204" i="22"/>
  <c r="P187" i="22"/>
  <c r="Q187" i="22"/>
  <c r="Q231" i="22"/>
  <c r="P231" i="22"/>
  <c r="Q150" i="22"/>
  <c r="P150" i="22"/>
  <c r="P175" i="22"/>
  <c r="Q175" i="22"/>
  <c r="Q203" i="22"/>
  <c r="P203" i="22"/>
  <c r="P132" i="22"/>
  <c r="Q132" i="22"/>
  <c r="Q184" i="22"/>
  <c r="P184" i="22"/>
  <c r="Q205" i="22"/>
  <c r="P205" i="22"/>
  <c r="P226" i="22"/>
  <c r="Q226" i="22"/>
  <c r="Q162" i="22"/>
  <c r="P162" i="22"/>
  <c r="Q152" i="22"/>
  <c r="P152" i="22"/>
  <c r="Q122" i="22"/>
  <c r="P122" i="22"/>
  <c r="P151" i="22"/>
  <c r="Q151" i="22"/>
  <c r="P215" i="22"/>
  <c r="Q215" i="22"/>
  <c r="Q210" i="22"/>
  <c r="P210" i="22"/>
  <c r="Q137" i="22"/>
  <c r="P137" i="22"/>
  <c r="P199" i="22"/>
  <c r="Q199" i="22"/>
  <c r="Q228" i="22"/>
  <c r="P228" i="22"/>
  <c r="P133" i="22"/>
  <c r="Q133" i="22"/>
  <c r="Q186" i="22"/>
  <c r="P186" i="22"/>
  <c r="Q170" i="22"/>
  <c r="P170" i="22"/>
  <c r="Q217" i="22"/>
  <c r="P217" i="22"/>
  <c r="Q200" i="22"/>
  <c r="P200" i="22"/>
  <c r="Q159" i="22"/>
  <c r="P159" i="22"/>
  <c r="Q135" i="22"/>
  <c r="P135" i="22"/>
  <c r="P168" i="22"/>
  <c r="Q168" i="22"/>
  <c r="Q190" i="22"/>
  <c r="P190" i="22"/>
  <c r="P207" i="22"/>
  <c r="Q207" i="22"/>
  <c r="Q193" i="22"/>
  <c r="P193" i="22"/>
  <c r="Q177" i="22"/>
  <c r="P177" i="22"/>
  <c r="Q174" i="22"/>
  <c r="P174" i="22"/>
  <c r="Q194" i="22"/>
  <c r="P194" i="22"/>
  <c r="Q154" i="22"/>
  <c r="Q123" i="22"/>
  <c r="P123" i="22"/>
  <c r="Q224" i="22"/>
  <c r="Q235" i="22"/>
  <c r="P235" i="22"/>
  <c r="Q139" i="22"/>
  <c r="P139" i="22"/>
  <c r="Q178" i="22"/>
  <c r="P178" i="22"/>
  <c r="P160" i="22"/>
  <c r="Q160" i="22"/>
  <c r="Q201" i="22"/>
  <c r="P201" i="22"/>
  <c r="Q167" i="22"/>
  <c r="P167" i="22"/>
  <c r="Q188" i="22"/>
  <c r="P188" i="22"/>
  <c r="P191" i="22"/>
  <c r="Q191" i="22"/>
  <c r="P206" i="22"/>
  <c r="Q206" i="22"/>
  <c r="Q148" i="22"/>
  <c r="P148" i="22"/>
  <c r="P147" i="22"/>
  <c r="Q147" i="22"/>
  <c r="Q232" i="22"/>
  <c r="P232" i="22"/>
  <c r="Q171" i="22"/>
  <c r="P171" i="22"/>
  <c r="Q209" i="22"/>
  <c r="P209" i="22"/>
  <c r="Q222" i="22"/>
  <c r="P222" i="22"/>
  <c r="R11" i="22"/>
  <c r="S11" i="22"/>
  <c r="U11" i="22" s="1"/>
  <c r="W11" i="22" s="1"/>
  <c r="Y11" i="22" s="1"/>
  <c r="AA11" i="22" s="1"/>
  <c r="AC11" i="22" s="1"/>
  <c r="AE11" i="22" s="1"/>
  <c r="AG11" i="22" s="1"/>
  <c r="AI11" i="22" s="1"/>
  <c r="O69" i="22"/>
  <c r="N69" i="22"/>
  <c r="O95" i="22"/>
  <c r="N95" i="22"/>
  <c r="O111" i="22"/>
  <c r="N111" i="22"/>
  <c r="O60" i="22"/>
  <c r="N60" i="22"/>
  <c r="O106" i="22"/>
  <c r="N106" i="22"/>
  <c r="O68" i="22"/>
  <c r="N68" i="22"/>
  <c r="O83" i="22"/>
  <c r="N83" i="22"/>
  <c r="O104" i="22"/>
  <c r="N104" i="22"/>
  <c r="O61" i="22"/>
  <c r="N61" i="22"/>
  <c r="O115" i="22"/>
  <c r="N115" i="22"/>
  <c r="O85" i="22"/>
  <c r="N85" i="22"/>
  <c r="O118" i="22"/>
  <c r="N118" i="22"/>
  <c r="O79" i="22"/>
  <c r="N79" i="22"/>
  <c r="O91" i="22"/>
  <c r="N91" i="22"/>
  <c r="O57" i="22"/>
  <c r="N57" i="22"/>
  <c r="Q24" i="22"/>
  <c r="P24" i="22"/>
  <c r="O71" i="22"/>
  <c r="N71" i="22"/>
  <c r="O48" i="22"/>
  <c r="N48" i="22"/>
  <c r="O121" i="22"/>
  <c r="N121" i="22"/>
  <c r="O116" i="22"/>
  <c r="N116" i="22"/>
  <c r="O80" i="22"/>
  <c r="N80" i="22"/>
  <c r="O16" i="22"/>
  <c r="N16" i="22"/>
  <c r="O30" i="22"/>
  <c r="N30" i="22"/>
  <c r="Q13" i="22"/>
  <c r="P13" i="22"/>
  <c r="O65" i="22"/>
  <c r="N65" i="22"/>
  <c r="O86" i="22"/>
  <c r="N86" i="22"/>
  <c r="O40" i="22"/>
  <c r="N40" i="22"/>
  <c r="O99" i="22"/>
  <c r="N99" i="22"/>
  <c r="Q10" i="22"/>
  <c r="P10" i="22"/>
  <c r="O97" i="22"/>
  <c r="N97" i="22"/>
  <c r="O82" i="22"/>
  <c r="N82" i="22"/>
  <c r="O73" i="22"/>
  <c r="N73" i="22"/>
  <c r="O36" i="22"/>
  <c r="N36" i="22"/>
  <c r="Q27" i="22"/>
  <c r="P27" i="22"/>
  <c r="O114" i="22"/>
  <c r="N114" i="22"/>
  <c r="O39" i="22"/>
  <c r="N39" i="22"/>
  <c r="O93" i="22"/>
  <c r="N93" i="22"/>
  <c r="O117" i="22"/>
  <c r="N117" i="22"/>
  <c r="O96" i="22"/>
  <c r="N96" i="22"/>
  <c r="O88" i="22"/>
  <c r="N88" i="22"/>
  <c r="O63" i="22"/>
  <c r="N63" i="22"/>
  <c r="O78" i="22"/>
  <c r="N78" i="22"/>
  <c r="O32" i="22"/>
  <c r="N32" i="22"/>
  <c r="O67" i="22"/>
  <c r="N67" i="22"/>
  <c r="O108" i="22"/>
  <c r="N108" i="22"/>
  <c r="T119" i="22"/>
  <c r="T112" i="22"/>
  <c r="T102" i="22"/>
  <c r="T100" i="22"/>
  <c r="T94" i="22"/>
  <c r="T53" i="22"/>
  <c r="T49" i="22"/>
  <c r="T45" i="22"/>
  <c r="T41" i="22"/>
  <c r="T37" i="22"/>
  <c r="T33" i="22"/>
  <c r="T21" i="22"/>
  <c r="T17" i="22"/>
  <c r="V9" i="22"/>
  <c r="T42" i="22"/>
  <c r="T38" i="22"/>
  <c r="T89" i="22"/>
  <c r="T81" i="22"/>
  <c r="T54" i="22"/>
  <c r="T50" i="22"/>
  <c r="T23" i="22"/>
  <c r="T18" i="22"/>
  <c r="T25" i="22"/>
  <c r="T26" i="22"/>
  <c r="T22" i="22"/>
  <c r="T28" i="22"/>
  <c r="T19" i="22"/>
  <c r="T14" i="22"/>
  <c r="T12" i="22"/>
  <c r="O43" i="22"/>
  <c r="N43" i="22"/>
  <c r="O77" i="22"/>
  <c r="N77" i="22"/>
  <c r="O66" i="22"/>
  <c r="N66" i="22"/>
  <c r="O105" i="22"/>
  <c r="N105" i="22"/>
  <c r="O56" i="22"/>
  <c r="N56" i="22"/>
  <c r="O120" i="22"/>
  <c r="N120" i="22"/>
  <c r="O64" i="22"/>
  <c r="N64" i="22"/>
  <c r="O101" i="22"/>
  <c r="N101" i="22"/>
  <c r="O113" i="22"/>
  <c r="N113" i="22"/>
  <c r="O52" i="22"/>
  <c r="N52" i="22"/>
  <c r="O76" i="22"/>
  <c r="N76" i="22"/>
  <c r="O31" i="22"/>
  <c r="N31" i="22"/>
  <c r="O55" i="22"/>
  <c r="N55" i="22"/>
  <c r="O107" i="22"/>
  <c r="N107" i="22"/>
  <c r="O109" i="22"/>
  <c r="N109" i="22"/>
  <c r="O87" i="22"/>
  <c r="N87" i="22"/>
  <c r="O59" i="22"/>
  <c r="N59" i="22"/>
  <c r="O75" i="22"/>
  <c r="N75" i="22"/>
  <c r="O98" i="22"/>
  <c r="N98" i="22"/>
  <c r="O92" i="22"/>
  <c r="N92" i="22"/>
  <c r="O47" i="22"/>
  <c r="N47" i="22"/>
  <c r="O62" i="22"/>
  <c r="N62" i="22"/>
  <c r="O72" i="22"/>
  <c r="N72" i="22"/>
  <c r="N20" i="22"/>
  <c r="O20" i="22"/>
  <c r="O103" i="22"/>
  <c r="N103" i="22"/>
  <c r="O84" i="22"/>
  <c r="N84" i="22"/>
  <c r="O35" i="22"/>
  <c r="N35" i="22"/>
  <c r="O51" i="22"/>
  <c r="N51" i="22"/>
  <c r="O58" i="22"/>
  <c r="N58" i="22"/>
  <c r="O74" i="22"/>
  <c r="N74" i="22"/>
  <c r="O90" i="22"/>
  <c r="N90" i="22"/>
  <c r="O44" i="22"/>
  <c r="N44" i="22"/>
  <c r="O70" i="22"/>
  <c r="N70" i="22"/>
  <c r="O110" i="22"/>
  <c r="N110" i="22"/>
  <c r="N32" i="21"/>
  <c r="P32" i="21" s="1"/>
  <c r="R32" i="21" s="1"/>
  <c r="T32" i="21" s="1"/>
  <c r="V32" i="21" s="1"/>
  <c r="X32" i="21" s="1"/>
  <c r="Z32" i="21" s="1"/>
  <c r="AB32" i="21" s="1"/>
  <c r="AD32" i="21" s="1"/>
  <c r="AF32" i="21" s="1"/>
  <c r="AH32" i="21" s="1"/>
  <c r="AJ32" i="21" s="1"/>
  <c r="O89" i="21"/>
  <c r="M80" i="21"/>
  <c r="N16" i="21"/>
  <c r="P16" i="21" s="1"/>
  <c r="K16" i="21"/>
  <c r="N81" i="21"/>
  <c r="M81" i="21"/>
  <c r="M75" i="21"/>
  <c r="M89" i="21"/>
  <c r="D27" i="21"/>
  <c r="F27" i="21" s="1"/>
  <c r="J27" i="21" s="1"/>
  <c r="F7" i="21"/>
  <c r="J7" i="21" s="1"/>
  <c r="D19" i="21"/>
  <c r="N79" i="21"/>
  <c r="M79" i="21"/>
  <c r="O80" i="21"/>
  <c r="M72" i="21"/>
  <c r="K15" i="21"/>
  <c r="N15" i="21"/>
  <c r="P15" i="21" s="1"/>
  <c r="O75" i="21"/>
  <c r="Q89" i="21"/>
  <c r="Q86" i="21"/>
  <c r="Q80" i="21"/>
  <c r="Q76" i="21"/>
  <c r="Q85" i="21"/>
  <c r="Q77" i="21"/>
  <c r="Q73" i="21"/>
  <c r="Q72" i="21"/>
  <c r="Q78" i="21"/>
  <c r="Q87" i="21"/>
  <c r="Q71" i="21"/>
  <c r="S31" i="21"/>
  <c r="Q74" i="21"/>
  <c r="Q82" i="21"/>
  <c r="Q75" i="21"/>
  <c r="M82" i="21"/>
  <c r="D28" i="21"/>
  <c r="F28" i="21" s="1"/>
  <c r="J28" i="21" s="1"/>
  <c r="D22" i="21"/>
  <c r="F22" i="21" s="1"/>
  <c r="J22" i="21" s="1"/>
  <c r="D21" i="21"/>
  <c r="F21" i="21" s="1"/>
  <c r="J21" i="21" s="1"/>
  <c r="D18" i="21"/>
  <c r="F18" i="21" s="1"/>
  <c r="J18" i="21" s="1"/>
  <c r="D5" i="21"/>
  <c r="F4" i="21"/>
  <c r="D13" i="21"/>
  <c r="D64" i="17"/>
  <c r="D66" i="17" s="1"/>
  <c r="D65" i="17"/>
  <c r="N57" i="17"/>
  <c r="P58" i="17"/>
  <c r="J64" i="17"/>
  <c r="J66" i="17" s="1"/>
  <c r="J65" i="17"/>
  <c r="P62" i="17"/>
  <c r="N64" i="17"/>
  <c r="P64" i="17" s="1"/>
  <c r="C68" i="20"/>
  <c r="B68" i="20"/>
  <c r="D67" i="20"/>
  <c r="C67" i="20"/>
  <c r="B67" i="20"/>
  <c r="C66" i="20"/>
  <c r="B66" i="20"/>
  <c r="C65" i="20"/>
  <c r="B65" i="20"/>
  <c r="D64" i="20"/>
  <c r="C64" i="20"/>
  <c r="B64" i="20"/>
  <c r="C63" i="20"/>
  <c r="B63" i="20"/>
  <c r="D62" i="20"/>
  <c r="C62" i="20"/>
  <c r="B62" i="20"/>
  <c r="D61" i="20"/>
  <c r="C61" i="20"/>
  <c r="B61" i="20"/>
  <c r="C60" i="20"/>
  <c r="B60" i="20"/>
  <c r="C59" i="20"/>
  <c r="B59" i="20"/>
  <c r="C58" i="20"/>
  <c r="B58" i="20"/>
  <c r="C57" i="20"/>
  <c r="B57" i="20"/>
  <c r="D56" i="20"/>
  <c r="C56" i="20"/>
  <c r="B56" i="20"/>
  <c r="D55" i="20"/>
  <c r="C55" i="20"/>
  <c r="B55" i="20"/>
  <c r="D54" i="20"/>
  <c r="C54" i="20"/>
  <c r="B54" i="20"/>
  <c r="D53" i="20"/>
  <c r="C53" i="20"/>
  <c r="B53" i="20"/>
  <c r="B52" i="20"/>
  <c r="D51" i="20"/>
  <c r="C51" i="20"/>
  <c r="B51" i="20"/>
  <c r="D50" i="20"/>
  <c r="C50" i="20"/>
  <c r="B50" i="20"/>
  <c r="C49" i="20"/>
  <c r="B49" i="20"/>
  <c r="D48" i="20"/>
  <c r="C48" i="20"/>
  <c r="B48" i="20"/>
  <c r="C47" i="20"/>
  <c r="B47" i="20"/>
  <c r="D46" i="20"/>
  <c r="C46" i="20"/>
  <c r="B46" i="20"/>
  <c r="C45" i="20"/>
  <c r="B45" i="20"/>
  <c r="C44" i="20"/>
  <c r="B44" i="20"/>
  <c r="D43" i="20"/>
  <c r="C43" i="20"/>
  <c r="B43" i="20"/>
  <c r="D42" i="20"/>
  <c r="C42" i="20"/>
  <c r="B42" i="20"/>
  <c r="C41" i="20"/>
  <c r="B41" i="20"/>
  <c r="D40" i="20"/>
  <c r="C40" i="20"/>
  <c r="B40" i="20"/>
  <c r="D39" i="20"/>
  <c r="C39" i="20"/>
  <c r="B39" i="20"/>
  <c r="C38" i="20"/>
  <c r="B38" i="20"/>
  <c r="D37" i="20"/>
  <c r="C37" i="20"/>
  <c r="B37" i="20"/>
  <c r="D36" i="20"/>
  <c r="D57" i="20" s="1"/>
  <c r="C36" i="20"/>
  <c r="B36" i="20"/>
  <c r="D35" i="20"/>
  <c r="C35" i="20"/>
  <c r="B35" i="20"/>
  <c r="D34" i="20"/>
  <c r="C34" i="20"/>
  <c r="B34" i="20"/>
  <c r="D33" i="20"/>
  <c r="C33" i="20"/>
  <c r="B33" i="20"/>
  <c r="D32" i="20"/>
  <c r="F32" i="20" s="1"/>
  <c r="H32" i="20" s="1"/>
  <c r="I32" i="20" s="1"/>
  <c r="C32" i="20"/>
  <c r="B32" i="20"/>
  <c r="J31" i="20"/>
  <c r="C31" i="20"/>
  <c r="C30" i="20"/>
  <c r="B30" i="20"/>
  <c r="C29" i="20"/>
  <c r="B29" i="20"/>
  <c r="E28" i="20"/>
  <c r="C28" i="20"/>
  <c r="B28" i="20"/>
  <c r="E27" i="20"/>
  <c r="C27" i="20"/>
  <c r="B27" i="20"/>
  <c r="E26" i="20"/>
  <c r="C26" i="20"/>
  <c r="B26" i="20"/>
  <c r="E25" i="20"/>
  <c r="C25" i="20"/>
  <c r="E24" i="20"/>
  <c r="C24" i="20"/>
  <c r="B24" i="20"/>
  <c r="E23" i="20"/>
  <c r="C23" i="20"/>
  <c r="B23" i="20"/>
  <c r="E22" i="20"/>
  <c r="C22" i="20"/>
  <c r="B22" i="20"/>
  <c r="J21" i="20"/>
  <c r="C21" i="20"/>
  <c r="B21" i="20"/>
  <c r="J20" i="20"/>
  <c r="C20" i="20"/>
  <c r="B20" i="20"/>
  <c r="J19" i="20"/>
  <c r="C19" i="20"/>
  <c r="B19" i="20"/>
  <c r="J18" i="20"/>
  <c r="C18" i="20"/>
  <c r="B18" i="20"/>
  <c r="J17" i="20"/>
  <c r="C17" i="20"/>
  <c r="B17" i="20"/>
  <c r="J16" i="20"/>
  <c r="B16" i="20"/>
  <c r="C15" i="20"/>
  <c r="B15" i="20"/>
  <c r="C14" i="20"/>
  <c r="B14" i="20"/>
  <c r="C13" i="20"/>
  <c r="B13" i="20"/>
  <c r="C12" i="20"/>
  <c r="B12" i="20"/>
  <c r="J11" i="20"/>
  <c r="C11" i="20"/>
  <c r="B11" i="20"/>
  <c r="C10" i="20"/>
  <c r="B10" i="20"/>
  <c r="C9" i="20"/>
  <c r="B9" i="20"/>
  <c r="C8" i="20"/>
  <c r="B8" i="20"/>
  <c r="J7" i="20"/>
  <c r="C7" i="20"/>
  <c r="B7" i="20"/>
  <c r="C6" i="20"/>
  <c r="B6" i="20"/>
  <c r="C5" i="20"/>
  <c r="B5" i="20"/>
  <c r="D4" i="20"/>
  <c r="C4" i="20"/>
  <c r="B4" i="20"/>
  <c r="D3" i="20"/>
  <c r="G3" i="20" s="1"/>
  <c r="C3" i="20"/>
  <c r="B3" i="20"/>
  <c r="C2" i="20"/>
  <c r="B2" i="20"/>
  <c r="C1" i="20"/>
  <c r="N12" i="21" l="1"/>
  <c r="P12" i="21" s="1"/>
  <c r="H32" i="21"/>
  <c r="R244" i="16"/>
  <c r="T244" i="16" s="1"/>
  <c r="V244" i="16" s="1"/>
  <c r="X244" i="16" s="1"/>
  <c r="Z244" i="16" s="1"/>
  <c r="AB244" i="16" s="1"/>
  <c r="AD244" i="16" s="1"/>
  <c r="AF244" i="16" s="1"/>
  <c r="AH244" i="16" s="1"/>
  <c r="AJ244" i="16" s="1"/>
  <c r="F247" i="16"/>
  <c r="K247" i="16"/>
  <c r="H248" i="16"/>
  <c r="P245" i="16"/>
  <c r="N246" i="16"/>
  <c r="M246" i="16"/>
  <c r="T129" i="22"/>
  <c r="Y49" i="24"/>
  <c r="G49" i="24" s="1"/>
  <c r="Z49" i="24"/>
  <c r="AB49" i="24" s="1"/>
  <c r="AD49" i="24" s="1"/>
  <c r="AF49" i="24" s="1"/>
  <c r="AH49" i="24" s="1"/>
  <c r="AJ49" i="24" s="1"/>
  <c r="K64" i="21"/>
  <c r="N64" i="21" s="1"/>
  <c r="P64" i="21" s="1"/>
  <c r="R64" i="21" s="1"/>
  <c r="T64" i="21" s="1"/>
  <c r="V64" i="21" s="1"/>
  <c r="X64" i="21" s="1"/>
  <c r="Z64" i="21" s="1"/>
  <c r="AB64" i="21" s="1"/>
  <c r="AD64" i="21" s="1"/>
  <c r="AF64" i="21" s="1"/>
  <c r="AH64" i="21" s="1"/>
  <c r="AJ64" i="21" s="1"/>
  <c r="K67" i="21"/>
  <c r="N67" i="21" s="1"/>
  <c r="P67" i="21" s="1"/>
  <c r="M46" i="21"/>
  <c r="O46" i="21"/>
  <c r="H46" i="21"/>
  <c r="J4" i="21"/>
  <c r="K4" i="21" s="1"/>
  <c r="O32" i="21"/>
  <c r="K60" i="21"/>
  <c r="Q64" i="21"/>
  <c r="K40" i="21"/>
  <c r="K34" i="21"/>
  <c r="R129" i="22"/>
  <c r="Q198" i="22"/>
  <c r="R198" i="22" s="1"/>
  <c r="P237" i="22"/>
  <c r="S235" i="22"/>
  <c r="U235" i="22" s="1"/>
  <c r="W235" i="22" s="1"/>
  <c r="Y235" i="22" s="1"/>
  <c r="AA235" i="22" s="1"/>
  <c r="AC235" i="22" s="1"/>
  <c r="AE235" i="22" s="1"/>
  <c r="AG235" i="22" s="1"/>
  <c r="AI235" i="22" s="1"/>
  <c r="R235" i="22"/>
  <c r="S228" i="22"/>
  <c r="R228" i="22"/>
  <c r="S231" i="22"/>
  <c r="R231" i="22"/>
  <c r="S232" i="22"/>
  <c r="U232" i="22" s="1"/>
  <c r="W232" i="22" s="1"/>
  <c r="Y232" i="22" s="1"/>
  <c r="AA232" i="22" s="1"/>
  <c r="AC232" i="22" s="1"/>
  <c r="AE232" i="22" s="1"/>
  <c r="AG232" i="22" s="1"/>
  <c r="AI232" i="22" s="1"/>
  <c r="R232" i="22"/>
  <c r="S237" i="22"/>
  <c r="U237" i="22" s="1"/>
  <c r="W237" i="22" s="1"/>
  <c r="Y237" i="22" s="1"/>
  <c r="AA237" i="22" s="1"/>
  <c r="AC237" i="22" s="1"/>
  <c r="AE237" i="22" s="1"/>
  <c r="AG237" i="22" s="1"/>
  <c r="AI237" i="22" s="1"/>
  <c r="R237" i="22"/>
  <c r="S236" i="22"/>
  <c r="U236" i="22" s="1"/>
  <c r="W236" i="22" s="1"/>
  <c r="Y236" i="22" s="1"/>
  <c r="AA236" i="22" s="1"/>
  <c r="AC236" i="22" s="1"/>
  <c r="AE236" i="22" s="1"/>
  <c r="AG236" i="22" s="1"/>
  <c r="AI236" i="22" s="1"/>
  <c r="R236" i="22"/>
  <c r="S227" i="22"/>
  <c r="U227" i="22" s="1"/>
  <c r="W227" i="22" s="1"/>
  <c r="Y227" i="22" s="1"/>
  <c r="AA227" i="22" s="1"/>
  <c r="AC227" i="22" s="1"/>
  <c r="AE227" i="22" s="1"/>
  <c r="AG227" i="22" s="1"/>
  <c r="AI227" i="22" s="1"/>
  <c r="R227" i="22"/>
  <c r="S198" i="22"/>
  <c r="U198" i="22" s="1"/>
  <c r="W198" i="22" s="1"/>
  <c r="Y198" i="22" s="1"/>
  <c r="AA198" i="22" s="1"/>
  <c r="AC198" i="22" s="1"/>
  <c r="AE198" i="22" s="1"/>
  <c r="AG198" i="22" s="1"/>
  <c r="AI198" i="22" s="1"/>
  <c r="S191" i="22"/>
  <c r="R191" i="22"/>
  <c r="S133" i="22"/>
  <c r="U133" i="22" s="1"/>
  <c r="W133" i="22" s="1"/>
  <c r="Y133" i="22" s="1"/>
  <c r="AA133" i="22" s="1"/>
  <c r="AC133" i="22" s="1"/>
  <c r="AE133" i="22" s="1"/>
  <c r="AG133" i="22" s="1"/>
  <c r="AI133" i="22" s="1"/>
  <c r="R133" i="22"/>
  <c r="S199" i="22"/>
  <c r="R199" i="22"/>
  <c r="S151" i="22"/>
  <c r="R151" i="22"/>
  <c r="S226" i="22"/>
  <c r="U226" i="22" s="1"/>
  <c r="W226" i="22" s="1"/>
  <c r="Y226" i="22" s="1"/>
  <c r="AA226" i="22" s="1"/>
  <c r="AC226" i="22" s="1"/>
  <c r="AE226" i="22" s="1"/>
  <c r="AG226" i="22" s="1"/>
  <c r="AI226" i="22" s="1"/>
  <c r="R226" i="22"/>
  <c r="S154" i="22"/>
  <c r="R154" i="22"/>
  <c r="S190" i="22"/>
  <c r="R190" i="22"/>
  <c r="S210" i="22"/>
  <c r="U210" i="22" s="1"/>
  <c r="W210" i="22" s="1"/>
  <c r="Y210" i="22" s="1"/>
  <c r="AA210" i="22" s="1"/>
  <c r="AC210" i="22" s="1"/>
  <c r="AE210" i="22" s="1"/>
  <c r="AG210" i="22" s="1"/>
  <c r="AI210" i="22" s="1"/>
  <c r="R210" i="22"/>
  <c r="S152" i="22"/>
  <c r="R152" i="22"/>
  <c r="S209" i="22"/>
  <c r="R209" i="22"/>
  <c r="S171" i="22"/>
  <c r="R171" i="22"/>
  <c r="S147" i="22"/>
  <c r="R147" i="22"/>
  <c r="S206" i="22"/>
  <c r="U206" i="22" s="1"/>
  <c r="W206" i="22" s="1"/>
  <c r="Y206" i="22" s="1"/>
  <c r="AA206" i="22" s="1"/>
  <c r="AC206" i="22" s="1"/>
  <c r="AE206" i="22" s="1"/>
  <c r="AG206" i="22" s="1"/>
  <c r="AI206" i="22" s="1"/>
  <c r="R206" i="22"/>
  <c r="S207" i="22"/>
  <c r="R207" i="22"/>
  <c r="S168" i="22"/>
  <c r="R168" i="22"/>
  <c r="S215" i="22"/>
  <c r="R215" i="22"/>
  <c r="S132" i="22"/>
  <c r="R132" i="22"/>
  <c r="S175" i="22"/>
  <c r="R175" i="22"/>
  <c r="S204" i="22"/>
  <c r="U204" i="22" s="1"/>
  <c r="W204" i="22" s="1"/>
  <c r="Y204" i="22" s="1"/>
  <c r="AA204" i="22" s="1"/>
  <c r="AC204" i="22" s="1"/>
  <c r="AE204" i="22" s="1"/>
  <c r="AG204" i="22" s="1"/>
  <c r="AI204" i="22" s="1"/>
  <c r="R204" i="22"/>
  <c r="S136" i="22"/>
  <c r="R136" i="22"/>
  <c r="S219" i="22"/>
  <c r="R219" i="22"/>
  <c r="S161" i="22"/>
  <c r="R161" i="22"/>
  <c r="S222" i="22"/>
  <c r="U222" i="22" s="1"/>
  <c r="W222" i="22" s="1"/>
  <c r="Y222" i="22" s="1"/>
  <c r="AA222" i="22" s="1"/>
  <c r="AC222" i="22" s="1"/>
  <c r="AE222" i="22" s="1"/>
  <c r="AG222" i="22" s="1"/>
  <c r="AI222" i="22" s="1"/>
  <c r="R222" i="22"/>
  <c r="S160" i="22"/>
  <c r="R160" i="22"/>
  <c r="S187" i="22"/>
  <c r="U187" i="22" s="1"/>
  <c r="W187" i="22" s="1"/>
  <c r="Y187" i="22" s="1"/>
  <c r="AA187" i="22" s="1"/>
  <c r="AC187" i="22" s="1"/>
  <c r="AE187" i="22" s="1"/>
  <c r="AG187" i="22" s="1"/>
  <c r="AI187" i="22" s="1"/>
  <c r="R187" i="22"/>
  <c r="S202" i="22"/>
  <c r="U202" i="22" s="1"/>
  <c r="W202" i="22" s="1"/>
  <c r="Y202" i="22" s="1"/>
  <c r="AA202" i="22" s="1"/>
  <c r="AC202" i="22" s="1"/>
  <c r="AE202" i="22" s="1"/>
  <c r="AG202" i="22" s="1"/>
  <c r="AI202" i="22" s="1"/>
  <c r="R202" i="22"/>
  <c r="S148" i="22"/>
  <c r="R148" i="22"/>
  <c r="S167" i="22"/>
  <c r="R167" i="22"/>
  <c r="S139" i="22"/>
  <c r="R139" i="22"/>
  <c r="S224" i="22"/>
  <c r="U224" i="22" s="1"/>
  <c r="W224" i="22" s="1"/>
  <c r="Y224" i="22" s="1"/>
  <c r="AA224" i="22" s="1"/>
  <c r="AC224" i="22" s="1"/>
  <c r="AE224" i="22" s="1"/>
  <c r="AG224" i="22" s="1"/>
  <c r="AI224" i="22" s="1"/>
  <c r="R224" i="22"/>
  <c r="S174" i="22"/>
  <c r="R174" i="22"/>
  <c r="S193" i="22"/>
  <c r="R193" i="22"/>
  <c r="S135" i="22"/>
  <c r="R135" i="22"/>
  <c r="S200" i="22"/>
  <c r="U200" i="22" s="1"/>
  <c r="W200" i="22" s="1"/>
  <c r="Y200" i="22" s="1"/>
  <c r="AA200" i="22" s="1"/>
  <c r="AC200" i="22" s="1"/>
  <c r="AE200" i="22" s="1"/>
  <c r="AG200" i="22" s="1"/>
  <c r="AI200" i="22" s="1"/>
  <c r="R200" i="22"/>
  <c r="S170" i="22"/>
  <c r="R170" i="22"/>
  <c r="S184" i="22"/>
  <c r="R184" i="22"/>
  <c r="S203" i="22"/>
  <c r="R203" i="22"/>
  <c r="S150" i="22"/>
  <c r="R150" i="22"/>
  <c r="S225" i="22"/>
  <c r="R225" i="22"/>
  <c r="S214" i="22"/>
  <c r="U214" i="22" s="1"/>
  <c r="W214" i="22" s="1"/>
  <c r="Y214" i="22" s="1"/>
  <c r="AA214" i="22" s="1"/>
  <c r="AC214" i="22" s="1"/>
  <c r="AE214" i="22" s="1"/>
  <c r="AG214" i="22" s="1"/>
  <c r="AI214" i="22" s="1"/>
  <c r="R214" i="22"/>
  <c r="S156" i="22"/>
  <c r="R156" i="22"/>
  <c r="S188" i="22"/>
  <c r="R188" i="22"/>
  <c r="S201" i="22"/>
  <c r="R201" i="22"/>
  <c r="S178" i="22"/>
  <c r="R178" i="22"/>
  <c r="S123" i="22"/>
  <c r="R123" i="22"/>
  <c r="S194" i="22"/>
  <c r="R194" i="22"/>
  <c r="S177" i="22"/>
  <c r="R177" i="22"/>
  <c r="S159" i="22"/>
  <c r="R159" i="22"/>
  <c r="S217" i="22"/>
  <c r="R217" i="22"/>
  <c r="S186" i="22"/>
  <c r="R186" i="22"/>
  <c r="S137" i="22"/>
  <c r="R137" i="22"/>
  <c r="S122" i="22"/>
  <c r="R122" i="22"/>
  <c r="S162" i="22"/>
  <c r="R162" i="22"/>
  <c r="S205" i="22"/>
  <c r="R205" i="22"/>
  <c r="S163" i="22"/>
  <c r="R163" i="22"/>
  <c r="S158" i="22"/>
  <c r="R158" i="22"/>
  <c r="Q34" i="22"/>
  <c r="P34" i="22"/>
  <c r="Q183" i="22"/>
  <c r="P183" i="22"/>
  <c r="Q46" i="22"/>
  <c r="P46" i="22"/>
  <c r="P233" i="22"/>
  <c r="Q233" i="22"/>
  <c r="P128" i="22"/>
  <c r="Q128" i="22"/>
  <c r="P149" i="22"/>
  <c r="Q149" i="22"/>
  <c r="Q29" i="22"/>
  <c r="P29" i="22"/>
  <c r="Q220" i="22"/>
  <c r="P220" i="22"/>
  <c r="P227" i="22"/>
  <c r="P221" i="22"/>
  <c r="Q221" i="22"/>
  <c r="P179" i="22"/>
  <c r="Q179" i="22"/>
  <c r="Q144" i="22"/>
  <c r="P144" i="22"/>
  <c r="P195" i="22"/>
  <c r="Q195" i="22"/>
  <c r="Q192" i="22"/>
  <c r="P192" i="22"/>
  <c r="P212" i="22"/>
  <c r="Q212" i="22"/>
  <c r="Q197" i="22"/>
  <c r="P197" i="22"/>
  <c r="Q130" i="22"/>
  <c r="P130" i="22"/>
  <c r="Q185" i="22"/>
  <c r="P185" i="22"/>
  <c r="Q138" i="22"/>
  <c r="P138" i="22"/>
  <c r="Q173" i="22"/>
  <c r="P173" i="22"/>
  <c r="Q208" i="22"/>
  <c r="P208" i="22"/>
  <c r="P155" i="22"/>
  <c r="Q155" i="22"/>
  <c r="P153" i="22"/>
  <c r="Q153" i="22"/>
  <c r="P223" i="22"/>
  <c r="Q223" i="22"/>
  <c r="P234" i="22"/>
  <c r="Q234" i="22"/>
  <c r="Q213" i="22"/>
  <c r="P213" i="22"/>
  <c r="P124" i="22"/>
  <c r="Q124" i="22"/>
  <c r="Q216" i="22"/>
  <c r="P216" i="22"/>
  <c r="Q127" i="22"/>
  <c r="P127" i="22"/>
  <c r="P189" i="22"/>
  <c r="Q189" i="22"/>
  <c r="P230" i="22"/>
  <c r="Q230" i="22"/>
  <c r="Q211" i="22"/>
  <c r="P211" i="22"/>
  <c r="Q143" i="22"/>
  <c r="P143" i="22"/>
  <c r="V235" i="22"/>
  <c r="V234" i="22"/>
  <c r="V229" i="22"/>
  <c r="V218" i="22"/>
  <c r="V237" i="22"/>
  <c r="V232" i="22"/>
  <c r="V226" i="22"/>
  <c r="V216" i="22"/>
  <c r="V214" i="22"/>
  <c r="V212" i="22"/>
  <c r="V208" i="22"/>
  <c r="V236" i="22"/>
  <c r="V220" i="22"/>
  <c r="V206" i="22"/>
  <c r="V224" i="22"/>
  <c r="V210" i="22"/>
  <c r="V189" i="22"/>
  <c r="V233" i="22"/>
  <c r="V202" i="22"/>
  <c r="V196" i="22"/>
  <c r="V222" i="22"/>
  <c r="V198" i="22"/>
  <c r="V200" i="22"/>
  <c r="V172" i="22"/>
  <c r="V183" i="22"/>
  <c r="V181" i="22"/>
  <c r="V176" i="22"/>
  <c r="V165" i="22"/>
  <c r="V169" i="22"/>
  <c r="V131" i="22"/>
  <c r="V227" i="22"/>
  <c r="V187" i="22"/>
  <c r="V142" i="22"/>
  <c r="V134" i="22"/>
  <c r="V129" i="22"/>
  <c r="V126" i="22"/>
  <c r="V204" i="22"/>
  <c r="V179" i="22"/>
  <c r="V185" i="22"/>
  <c r="V180" i="22"/>
  <c r="V157" i="22"/>
  <c r="V143" i="22"/>
  <c r="V125" i="22"/>
  <c r="V140" i="22"/>
  <c r="V175" i="22"/>
  <c r="V141" i="22"/>
  <c r="V133" i="22"/>
  <c r="V145" i="22"/>
  <c r="V11" i="22"/>
  <c r="P229" i="22"/>
  <c r="Q229" i="22"/>
  <c r="Q15" i="22"/>
  <c r="P15" i="22"/>
  <c r="Q182" i="22"/>
  <c r="P182" i="22"/>
  <c r="Q166" i="22"/>
  <c r="P166" i="22"/>
  <c r="P164" i="22"/>
  <c r="Q164" i="22"/>
  <c r="P146" i="22"/>
  <c r="Q146" i="22"/>
  <c r="T11" i="22"/>
  <c r="Q110" i="22"/>
  <c r="P110" i="22"/>
  <c r="Q74" i="22"/>
  <c r="P74" i="22"/>
  <c r="Q51" i="22"/>
  <c r="P51" i="22"/>
  <c r="Q75" i="22"/>
  <c r="P75" i="22"/>
  <c r="Q63" i="22"/>
  <c r="P63" i="22"/>
  <c r="Q80" i="22"/>
  <c r="P80" i="22"/>
  <c r="Q57" i="22"/>
  <c r="P57" i="22"/>
  <c r="Q85" i="22"/>
  <c r="P85" i="22"/>
  <c r="Q115" i="22"/>
  <c r="P115" i="22"/>
  <c r="Q60" i="22"/>
  <c r="P60" i="22"/>
  <c r="Q90" i="22"/>
  <c r="P90" i="22"/>
  <c r="Q103" i="22"/>
  <c r="P103" i="22"/>
  <c r="Q107" i="22"/>
  <c r="P107" i="22"/>
  <c r="Q55" i="22"/>
  <c r="P55" i="22"/>
  <c r="Q76" i="22"/>
  <c r="P76" i="22"/>
  <c r="Q113" i="22"/>
  <c r="P113" i="22"/>
  <c r="Q66" i="22"/>
  <c r="P66" i="22"/>
  <c r="Q43" i="22"/>
  <c r="P43" i="22"/>
  <c r="Q32" i="22"/>
  <c r="P32" i="22"/>
  <c r="Q39" i="22"/>
  <c r="P39" i="22"/>
  <c r="Q86" i="22"/>
  <c r="P86" i="22"/>
  <c r="Q16" i="22"/>
  <c r="P16" i="22"/>
  <c r="Q121" i="22"/>
  <c r="P121" i="22"/>
  <c r="Q48" i="22"/>
  <c r="P48" i="22"/>
  <c r="Q71" i="22"/>
  <c r="P71" i="22"/>
  <c r="Q79" i="22"/>
  <c r="P79" i="22"/>
  <c r="Q118" i="22"/>
  <c r="P118" i="22"/>
  <c r="Q104" i="22"/>
  <c r="P104" i="22"/>
  <c r="Q106" i="22"/>
  <c r="P106" i="22"/>
  <c r="Q95" i="22"/>
  <c r="P95" i="22"/>
  <c r="Q70" i="22"/>
  <c r="P70" i="22"/>
  <c r="Q44" i="22"/>
  <c r="P44" i="22"/>
  <c r="Q58" i="22"/>
  <c r="P58" i="22"/>
  <c r="Q35" i="22"/>
  <c r="P35" i="22"/>
  <c r="Q72" i="22"/>
  <c r="P72" i="22"/>
  <c r="Q62" i="22"/>
  <c r="P62" i="22"/>
  <c r="Q92" i="22"/>
  <c r="P92" i="22"/>
  <c r="Q59" i="22"/>
  <c r="P59" i="22"/>
  <c r="Q109" i="22"/>
  <c r="P109" i="22"/>
  <c r="Q52" i="22"/>
  <c r="P52" i="22"/>
  <c r="Q56" i="22"/>
  <c r="P56" i="22"/>
  <c r="Q67" i="22"/>
  <c r="P67" i="22"/>
  <c r="Q96" i="22"/>
  <c r="P96" i="22"/>
  <c r="Q82" i="22"/>
  <c r="P82" i="22"/>
  <c r="S10" i="22"/>
  <c r="R10" i="22"/>
  <c r="Q40" i="22"/>
  <c r="P40" i="22"/>
  <c r="Q116" i="22"/>
  <c r="P116" i="22"/>
  <c r="Q91" i="22"/>
  <c r="P91" i="22"/>
  <c r="Q111" i="22"/>
  <c r="P111" i="22"/>
  <c r="Q47" i="22"/>
  <c r="P47" i="22"/>
  <c r="Q98" i="22"/>
  <c r="P98" i="22"/>
  <c r="Q87" i="22"/>
  <c r="P87" i="22"/>
  <c r="Q101" i="22"/>
  <c r="P101" i="22"/>
  <c r="Q78" i="22"/>
  <c r="P78" i="22"/>
  <c r="Q88" i="22"/>
  <c r="P88" i="22"/>
  <c r="Q117" i="22"/>
  <c r="P117" i="22"/>
  <c r="Q114" i="22"/>
  <c r="P114" i="22"/>
  <c r="Q36" i="22"/>
  <c r="P36" i="22"/>
  <c r="Q73" i="22"/>
  <c r="P73" i="22"/>
  <c r="Q97" i="22"/>
  <c r="P97" i="22"/>
  <c r="Q99" i="22"/>
  <c r="P99" i="22"/>
  <c r="Q65" i="22"/>
  <c r="P65" i="22"/>
  <c r="S24" i="22"/>
  <c r="R24" i="22"/>
  <c r="Q83" i="22"/>
  <c r="P83" i="22"/>
  <c r="Q84" i="22"/>
  <c r="P84" i="22"/>
  <c r="V119" i="22"/>
  <c r="V115" i="22"/>
  <c r="V95" i="22"/>
  <c r="V112" i="22"/>
  <c r="V100" i="22"/>
  <c r="V102" i="22"/>
  <c r="V97" i="22"/>
  <c r="V87" i="22"/>
  <c r="V79" i="22"/>
  <c r="V75" i="22"/>
  <c r="V71" i="22"/>
  <c r="V94" i="22"/>
  <c r="V89" i="22"/>
  <c r="V81" i="22"/>
  <c r="V54" i="22"/>
  <c r="V50" i="22"/>
  <c r="V42" i="22"/>
  <c r="V38" i="22"/>
  <c r="V26" i="22"/>
  <c r="V23" i="22"/>
  <c r="V19" i="22"/>
  <c r="V15" i="22"/>
  <c r="V12" i="22"/>
  <c r="V28" i="22"/>
  <c r="V25" i="22"/>
  <c r="V22" i="22"/>
  <c r="V18" i="22"/>
  <c r="V14" i="22"/>
  <c r="V53" i="22"/>
  <c r="V49" i="22"/>
  <c r="V45" i="22"/>
  <c r="V41" i="22"/>
  <c r="V37" i="22"/>
  <c r="V21" i="22"/>
  <c r="X9" i="22"/>
  <c r="V17" i="22"/>
  <c r="V33" i="22"/>
  <c r="Q20" i="22"/>
  <c r="P20" i="22"/>
  <c r="Q31" i="22"/>
  <c r="P31" i="22"/>
  <c r="Q64" i="22"/>
  <c r="P64" i="22"/>
  <c r="Q120" i="22"/>
  <c r="P120" i="22"/>
  <c r="Q105" i="22"/>
  <c r="P105" i="22"/>
  <c r="Q77" i="22"/>
  <c r="P77" i="22"/>
  <c r="Q108" i="22"/>
  <c r="P108" i="22"/>
  <c r="Q93" i="22"/>
  <c r="P93" i="22"/>
  <c r="S27" i="22"/>
  <c r="R27" i="22"/>
  <c r="S13" i="22"/>
  <c r="R13" i="22"/>
  <c r="Q30" i="22"/>
  <c r="P30" i="22"/>
  <c r="Q61" i="22"/>
  <c r="P61" i="22"/>
  <c r="Q68" i="22"/>
  <c r="P68" i="22"/>
  <c r="Q69" i="22"/>
  <c r="P69" i="22"/>
  <c r="Q46" i="21"/>
  <c r="Q32" i="21"/>
  <c r="N27" i="21"/>
  <c r="P27" i="21" s="1"/>
  <c r="K27" i="21"/>
  <c r="F5" i="21"/>
  <c r="D11" i="21"/>
  <c r="F11" i="21" s="1"/>
  <c r="J11" i="21" s="1"/>
  <c r="D6" i="21"/>
  <c r="F6" i="21" s="1"/>
  <c r="D9" i="21"/>
  <c r="D10" i="21"/>
  <c r="F10" i="21" s="1"/>
  <c r="D8" i="21"/>
  <c r="F8" i="21" s="1"/>
  <c r="J8" i="21" s="1"/>
  <c r="N28" i="21"/>
  <c r="P28" i="21" s="1"/>
  <c r="K28" i="21"/>
  <c r="N18" i="21"/>
  <c r="P18" i="21" s="1"/>
  <c r="K18" i="21"/>
  <c r="D20" i="21"/>
  <c r="F20" i="21" s="1"/>
  <c r="J20" i="21" s="1"/>
  <c r="F19" i="21"/>
  <c r="J19" i="21" s="1"/>
  <c r="P81" i="21"/>
  <c r="O81" i="21"/>
  <c r="N4" i="21"/>
  <c r="P4" i="21" s="1"/>
  <c r="F35" i="21"/>
  <c r="F62" i="21"/>
  <c r="D93" i="21"/>
  <c r="F92" i="21"/>
  <c r="K92" i="21" s="1"/>
  <c r="N22" i="21"/>
  <c r="P22" i="21" s="1"/>
  <c r="K22" i="21"/>
  <c r="P79" i="21"/>
  <c r="O79" i="21"/>
  <c r="D17" i="21"/>
  <c r="F17" i="21" s="1"/>
  <c r="J17" i="21" s="1"/>
  <c r="F13" i="21"/>
  <c r="J13" i="21" s="1"/>
  <c r="D14" i="21"/>
  <c r="F14" i="21" s="1"/>
  <c r="J14" i="21" s="1"/>
  <c r="N21" i="21"/>
  <c r="P21" i="21" s="1"/>
  <c r="K21" i="21"/>
  <c r="S82" i="21"/>
  <c r="S78" i="21"/>
  <c r="S86" i="21"/>
  <c r="S75" i="21"/>
  <c r="S87" i="21"/>
  <c r="S80" i="21"/>
  <c r="S76" i="21"/>
  <c r="S74" i="21"/>
  <c r="S73" i="21"/>
  <c r="S71" i="21"/>
  <c r="S46" i="21"/>
  <c r="S89" i="21"/>
  <c r="S72" i="21"/>
  <c r="S32" i="21"/>
  <c r="S77" i="21"/>
  <c r="S64" i="21"/>
  <c r="S85" i="21"/>
  <c r="U31" i="21"/>
  <c r="K7" i="21"/>
  <c r="N7" i="21"/>
  <c r="F33" i="21"/>
  <c r="K33" i="21" s="1"/>
  <c r="F51" i="21"/>
  <c r="N56" i="17"/>
  <c r="P57" i="17"/>
  <c r="F3" i="20"/>
  <c r="F64" i="20" s="1"/>
  <c r="G4" i="20"/>
  <c r="F4" i="20"/>
  <c r="D28" i="20"/>
  <c r="F28" i="20" s="1"/>
  <c r="D59" i="20"/>
  <c r="D60" i="20" s="1"/>
  <c r="D8" i="20"/>
  <c r="D22" i="20"/>
  <c r="F22" i="20" s="1"/>
  <c r="F94" i="1"/>
  <c r="F94" i="7"/>
  <c r="F94" i="8"/>
  <c r="F95" i="9"/>
  <c r="L94" i="9"/>
  <c r="L93" i="8"/>
  <c r="L93" i="7"/>
  <c r="L93" i="1"/>
  <c r="M64" i="21" l="1"/>
  <c r="R245" i="16"/>
  <c r="T245" i="16" s="1"/>
  <c r="V245" i="16" s="1"/>
  <c r="X245" i="16" s="1"/>
  <c r="Z245" i="16" s="1"/>
  <c r="AB245" i="16" s="1"/>
  <c r="AD245" i="16" s="1"/>
  <c r="AF245" i="16" s="1"/>
  <c r="AH245" i="16" s="1"/>
  <c r="AJ245" i="16" s="1"/>
  <c r="M247" i="16"/>
  <c r="N247" i="16"/>
  <c r="K248" i="16"/>
  <c r="F248" i="16"/>
  <c r="H249" i="16"/>
  <c r="P246" i="16"/>
  <c r="O64" i="21"/>
  <c r="O67" i="21"/>
  <c r="M67" i="21"/>
  <c r="R67" i="21"/>
  <c r="Q67" i="21"/>
  <c r="D29" i="21"/>
  <c r="F29" i="21" s="1"/>
  <c r="J29" i="21" s="1"/>
  <c r="M34" i="21"/>
  <c r="N34" i="21"/>
  <c r="H34" i="21"/>
  <c r="H60" i="21"/>
  <c r="N60" i="21"/>
  <c r="M60" i="21"/>
  <c r="J51" i="21"/>
  <c r="L51" i="21" s="1"/>
  <c r="J6" i="21"/>
  <c r="K6" i="21" s="1"/>
  <c r="AM107" i="21"/>
  <c r="AM121" i="21"/>
  <c r="AM109" i="21"/>
  <c r="AM108" i="21"/>
  <c r="AM100" i="21"/>
  <c r="D99" i="21" s="1"/>
  <c r="AM120" i="21"/>
  <c r="AM122" i="21"/>
  <c r="AM114" i="21"/>
  <c r="AM112" i="21"/>
  <c r="D30" i="21"/>
  <c r="F30" i="21" s="1"/>
  <c r="J30" i="21" s="1"/>
  <c r="N40" i="21"/>
  <c r="M40" i="21"/>
  <c r="H40" i="21"/>
  <c r="J62" i="21"/>
  <c r="L62" i="21" s="1"/>
  <c r="J35" i="21"/>
  <c r="L35" i="21" s="1"/>
  <c r="F43" i="21"/>
  <c r="J10" i="21"/>
  <c r="K10" i="21" s="1"/>
  <c r="J5" i="21"/>
  <c r="K5" i="21" s="1"/>
  <c r="S233" i="22"/>
  <c r="U233" i="22" s="1"/>
  <c r="W233" i="22" s="1"/>
  <c r="Y233" i="22" s="1"/>
  <c r="AA233" i="22" s="1"/>
  <c r="AC233" i="22" s="1"/>
  <c r="AE233" i="22" s="1"/>
  <c r="AG233" i="22" s="1"/>
  <c r="AI233" i="22" s="1"/>
  <c r="R233" i="22"/>
  <c r="S229" i="22"/>
  <c r="U229" i="22" s="1"/>
  <c r="W229" i="22" s="1"/>
  <c r="Y229" i="22" s="1"/>
  <c r="AA229" i="22" s="1"/>
  <c r="AC229" i="22" s="1"/>
  <c r="AE229" i="22" s="1"/>
  <c r="AG229" i="22" s="1"/>
  <c r="AI229" i="22" s="1"/>
  <c r="R229" i="22"/>
  <c r="U228" i="22"/>
  <c r="T228" i="22"/>
  <c r="S230" i="22"/>
  <c r="R230" i="22"/>
  <c r="S234" i="22"/>
  <c r="U234" i="22" s="1"/>
  <c r="W234" i="22" s="1"/>
  <c r="Y234" i="22" s="1"/>
  <c r="AA234" i="22" s="1"/>
  <c r="AC234" i="22" s="1"/>
  <c r="AE234" i="22" s="1"/>
  <c r="AG234" i="22" s="1"/>
  <c r="AI234" i="22" s="1"/>
  <c r="R234" i="22"/>
  <c r="U231" i="22"/>
  <c r="T231" i="22"/>
  <c r="S212" i="22"/>
  <c r="U212" i="22" s="1"/>
  <c r="W212" i="22" s="1"/>
  <c r="Y212" i="22" s="1"/>
  <c r="AA212" i="22" s="1"/>
  <c r="AC212" i="22" s="1"/>
  <c r="AE212" i="22" s="1"/>
  <c r="AG212" i="22" s="1"/>
  <c r="AI212" i="22" s="1"/>
  <c r="R212" i="22"/>
  <c r="S166" i="22"/>
  <c r="R166" i="22"/>
  <c r="S124" i="22"/>
  <c r="R124" i="22"/>
  <c r="S153" i="22"/>
  <c r="R153" i="22"/>
  <c r="S195" i="22"/>
  <c r="R195" i="22"/>
  <c r="S179" i="22"/>
  <c r="U179" i="22" s="1"/>
  <c r="W179" i="22" s="1"/>
  <c r="Y179" i="22" s="1"/>
  <c r="AA179" i="22" s="1"/>
  <c r="AC179" i="22" s="1"/>
  <c r="AE179" i="22" s="1"/>
  <c r="AG179" i="22" s="1"/>
  <c r="AI179" i="22" s="1"/>
  <c r="R179" i="22"/>
  <c r="U163" i="22"/>
  <c r="T163" i="22"/>
  <c r="U162" i="22"/>
  <c r="T162" i="22"/>
  <c r="U217" i="22"/>
  <c r="T217" i="22"/>
  <c r="U177" i="22"/>
  <c r="T177" i="22"/>
  <c r="U201" i="22"/>
  <c r="T201" i="22"/>
  <c r="U225" i="22"/>
  <c r="T225" i="22"/>
  <c r="U203" i="22"/>
  <c r="T203" i="22"/>
  <c r="U135" i="22"/>
  <c r="T135" i="22"/>
  <c r="U219" i="22"/>
  <c r="T219" i="22"/>
  <c r="U171" i="22"/>
  <c r="T171" i="22"/>
  <c r="U152" i="22"/>
  <c r="T152" i="22"/>
  <c r="U190" i="22"/>
  <c r="T190" i="22"/>
  <c r="U191" i="22"/>
  <c r="T191" i="22"/>
  <c r="S121" i="22"/>
  <c r="R121" i="22"/>
  <c r="S143" i="22"/>
  <c r="R143" i="22"/>
  <c r="S127" i="22"/>
  <c r="R127" i="22"/>
  <c r="S208" i="22"/>
  <c r="U208" i="22" s="1"/>
  <c r="W208" i="22" s="1"/>
  <c r="Y208" i="22" s="1"/>
  <c r="AA208" i="22" s="1"/>
  <c r="AC208" i="22" s="1"/>
  <c r="AE208" i="22" s="1"/>
  <c r="AG208" i="22" s="1"/>
  <c r="AI208" i="22" s="1"/>
  <c r="R208" i="22"/>
  <c r="S138" i="22"/>
  <c r="R138" i="22"/>
  <c r="S130" i="22"/>
  <c r="R130" i="22"/>
  <c r="S149" i="22"/>
  <c r="R149" i="22"/>
  <c r="S146" i="22"/>
  <c r="R146" i="22"/>
  <c r="S211" i="22"/>
  <c r="R211" i="22"/>
  <c r="S216" i="22"/>
  <c r="U216" i="22" s="1"/>
  <c r="W216" i="22" s="1"/>
  <c r="Y216" i="22" s="1"/>
  <c r="AA216" i="22" s="1"/>
  <c r="AC216" i="22" s="1"/>
  <c r="AE216" i="22" s="1"/>
  <c r="AG216" i="22" s="1"/>
  <c r="AI216" i="22" s="1"/>
  <c r="R216" i="22"/>
  <c r="S213" i="22"/>
  <c r="R213" i="22"/>
  <c r="S173" i="22"/>
  <c r="R173" i="22"/>
  <c r="S185" i="22"/>
  <c r="U185" i="22" s="1"/>
  <c r="W185" i="22" s="1"/>
  <c r="Y185" i="22" s="1"/>
  <c r="AA185" i="22" s="1"/>
  <c r="AC185" i="22" s="1"/>
  <c r="AE185" i="22" s="1"/>
  <c r="AG185" i="22" s="1"/>
  <c r="AI185" i="22" s="1"/>
  <c r="R185" i="22"/>
  <c r="S197" i="22"/>
  <c r="R197" i="22"/>
  <c r="S192" i="22"/>
  <c r="R192" i="22"/>
  <c r="S144" i="22"/>
  <c r="R144" i="22"/>
  <c r="S128" i="22"/>
  <c r="R128" i="22"/>
  <c r="U137" i="22"/>
  <c r="T137" i="22"/>
  <c r="U123" i="22"/>
  <c r="T123" i="22"/>
  <c r="U156" i="22"/>
  <c r="T156" i="22"/>
  <c r="U170" i="22"/>
  <c r="T170" i="22"/>
  <c r="U174" i="22"/>
  <c r="T174" i="22"/>
  <c r="U139" i="22"/>
  <c r="T139" i="22"/>
  <c r="U148" i="22"/>
  <c r="T148" i="22"/>
  <c r="U132" i="22"/>
  <c r="T132" i="22"/>
  <c r="U168" i="22"/>
  <c r="T168" i="22"/>
  <c r="U199" i="22"/>
  <c r="T199" i="22"/>
  <c r="S164" i="22"/>
  <c r="R164" i="22"/>
  <c r="S182" i="22"/>
  <c r="R182" i="22"/>
  <c r="S189" i="22"/>
  <c r="U189" i="22" s="1"/>
  <c r="W189" i="22" s="1"/>
  <c r="Y189" i="22" s="1"/>
  <c r="AA189" i="22" s="1"/>
  <c r="AC189" i="22" s="1"/>
  <c r="AE189" i="22" s="1"/>
  <c r="AG189" i="22" s="1"/>
  <c r="AI189" i="22" s="1"/>
  <c r="R189" i="22"/>
  <c r="S223" i="22"/>
  <c r="R223" i="22"/>
  <c r="S155" i="22"/>
  <c r="R155" i="22"/>
  <c r="S221" i="22"/>
  <c r="R221" i="22"/>
  <c r="S220" i="22"/>
  <c r="U220" i="22" s="1"/>
  <c r="W220" i="22" s="1"/>
  <c r="Y220" i="22" s="1"/>
  <c r="AA220" i="22" s="1"/>
  <c r="AC220" i="22" s="1"/>
  <c r="AE220" i="22" s="1"/>
  <c r="AG220" i="22" s="1"/>
  <c r="AI220" i="22" s="1"/>
  <c r="R220" i="22"/>
  <c r="S183" i="22"/>
  <c r="U183" i="22" s="1"/>
  <c r="W183" i="22" s="1"/>
  <c r="Y183" i="22" s="1"/>
  <c r="AA183" i="22" s="1"/>
  <c r="AC183" i="22" s="1"/>
  <c r="AE183" i="22" s="1"/>
  <c r="AG183" i="22" s="1"/>
  <c r="AI183" i="22" s="1"/>
  <c r="R183" i="22"/>
  <c r="U158" i="22"/>
  <c r="T158" i="22"/>
  <c r="U205" i="22"/>
  <c r="T205" i="22"/>
  <c r="U122" i="22"/>
  <c r="T122" i="22"/>
  <c r="U186" i="22"/>
  <c r="T186" i="22"/>
  <c r="U159" i="22"/>
  <c r="T159" i="22"/>
  <c r="U194" i="22"/>
  <c r="T194" i="22"/>
  <c r="U178" i="22"/>
  <c r="T178" i="22"/>
  <c r="U188" i="22"/>
  <c r="T188" i="22"/>
  <c r="U150" i="22"/>
  <c r="T150" i="22"/>
  <c r="U184" i="22"/>
  <c r="T184" i="22"/>
  <c r="U193" i="22"/>
  <c r="T193" i="22"/>
  <c r="U167" i="22"/>
  <c r="T167" i="22"/>
  <c r="U160" i="22"/>
  <c r="T160" i="22"/>
  <c r="U161" i="22"/>
  <c r="T161" i="22"/>
  <c r="U136" i="22"/>
  <c r="T136" i="22"/>
  <c r="U175" i="22"/>
  <c r="W175" i="22" s="1"/>
  <c r="Y175" i="22" s="1"/>
  <c r="AA175" i="22" s="1"/>
  <c r="AC175" i="22" s="1"/>
  <c r="AE175" i="22" s="1"/>
  <c r="AG175" i="22" s="1"/>
  <c r="AI175" i="22" s="1"/>
  <c r="T175" i="22"/>
  <c r="U215" i="22"/>
  <c r="T215" i="22"/>
  <c r="U207" i="22"/>
  <c r="T207" i="22"/>
  <c r="U147" i="22"/>
  <c r="T147" i="22"/>
  <c r="U209" i="22"/>
  <c r="T209" i="22"/>
  <c r="U154" i="22"/>
  <c r="T154" i="22"/>
  <c r="U151" i="22"/>
  <c r="T151" i="22"/>
  <c r="X233" i="22"/>
  <c r="X224" i="22"/>
  <c r="X216" i="22"/>
  <c r="X236" i="22"/>
  <c r="X229" i="22"/>
  <c r="X220" i="22"/>
  <c r="X218" i="22"/>
  <c r="X206" i="22"/>
  <c r="X227" i="22"/>
  <c r="X234" i="22"/>
  <c r="X214" i="22"/>
  <c r="X208" i="22"/>
  <c r="X202" i="22"/>
  <c r="X196" i="22"/>
  <c r="X237" i="22"/>
  <c r="X226" i="22"/>
  <c r="X204" i="22"/>
  <c r="X200" i="22"/>
  <c r="X232" i="22"/>
  <c r="X212" i="22"/>
  <c r="X210" i="22"/>
  <c r="X222" i="22"/>
  <c r="X198" i="22"/>
  <c r="X189" i="22"/>
  <c r="X183" i="22"/>
  <c r="X181" i="22"/>
  <c r="X176" i="22"/>
  <c r="X165" i="22"/>
  <c r="X187" i="22"/>
  <c r="X180" i="22"/>
  <c r="X179" i="22"/>
  <c r="X175" i="22"/>
  <c r="X171" i="22"/>
  <c r="X159" i="22"/>
  <c r="X157" i="22"/>
  <c r="X155" i="22"/>
  <c r="X142" i="22"/>
  <c r="X135" i="22"/>
  <c r="X134" i="22"/>
  <c r="X129" i="22"/>
  <c r="X126" i="22"/>
  <c r="X145" i="22"/>
  <c r="X141" i="22"/>
  <c r="X139" i="22"/>
  <c r="X133" i="22"/>
  <c r="X125" i="22"/>
  <c r="X11" i="22"/>
  <c r="X235" i="22"/>
  <c r="X185" i="22"/>
  <c r="X143" i="22"/>
  <c r="X163" i="22"/>
  <c r="X169" i="22"/>
  <c r="X140" i="22"/>
  <c r="X131" i="22"/>
  <c r="X172" i="22"/>
  <c r="S34" i="22"/>
  <c r="R34" i="22"/>
  <c r="U13" i="22"/>
  <c r="T13" i="22"/>
  <c r="S29" i="22"/>
  <c r="R29" i="22"/>
  <c r="S46" i="22"/>
  <c r="R46" i="22"/>
  <c r="U10" i="22"/>
  <c r="T10" i="22"/>
  <c r="S15" i="22"/>
  <c r="R15" i="22"/>
  <c r="X113" i="22"/>
  <c r="X97" i="22"/>
  <c r="X115" i="22"/>
  <c r="X111" i="22"/>
  <c r="X103" i="22"/>
  <c r="X119" i="22"/>
  <c r="X112" i="22"/>
  <c r="X95" i="22"/>
  <c r="X94" i="22"/>
  <c r="X73" i="22"/>
  <c r="X69" i="22"/>
  <c r="X89" i="22"/>
  <c r="X81" i="22"/>
  <c r="X71" i="22"/>
  <c r="X63" i="22"/>
  <c r="X21" i="22"/>
  <c r="X17" i="22"/>
  <c r="X102" i="22"/>
  <c r="X91" i="22"/>
  <c r="X83" i="22"/>
  <c r="X75" i="22"/>
  <c r="X55" i="22"/>
  <c r="X53" i="22"/>
  <c r="X51" i="22"/>
  <c r="X49" i="22"/>
  <c r="X47" i="22"/>
  <c r="X45" i="22"/>
  <c r="X43" i="22"/>
  <c r="X41" i="22"/>
  <c r="X37" i="22"/>
  <c r="X35" i="22"/>
  <c r="X33" i="22"/>
  <c r="X100" i="22"/>
  <c r="X99" i="22"/>
  <c r="X79" i="22"/>
  <c r="X50" i="22"/>
  <c r="X25" i="22"/>
  <c r="X15" i="22"/>
  <c r="Z9" i="22"/>
  <c r="X23" i="22"/>
  <c r="X87" i="22"/>
  <c r="X19" i="22"/>
  <c r="X26" i="22"/>
  <c r="X22" i="22"/>
  <c r="X12" i="22"/>
  <c r="X42" i="22"/>
  <c r="X18" i="22"/>
  <c r="X54" i="22"/>
  <c r="X38" i="22"/>
  <c r="X28" i="22"/>
  <c r="X14" i="22"/>
  <c r="S84" i="22"/>
  <c r="R84" i="22"/>
  <c r="U24" i="22"/>
  <c r="T24" i="22"/>
  <c r="S99" i="22"/>
  <c r="R99" i="22"/>
  <c r="S73" i="22"/>
  <c r="R73" i="22"/>
  <c r="S114" i="22"/>
  <c r="R114" i="22"/>
  <c r="S88" i="22"/>
  <c r="R88" i="22"/>
  <c r="S87" i="22"/>
  <c r="R87" i="22"/>
  <c r="S47" i="22"/>
  <c r="R47" i="22"/>
  <c r="S40" i="22"/>
  <c r="R40" i="22"/>
  <c r="S82" i="22"/>
  <c r="R82" i="22"/>
  <c r="S67" i="22"/>
  <c r="R67" i="22"/>
  <c r="S56" i="22"/>
  <c r="R56" i="22"/>
  <c r="S59" i="22"/>
  <c r="R59" i="22"/>
  <c r="S62" i="22"/>
  <c r="R62" i="22"/>
  <c r="S35" i="22"/>
  <c r="R35" i="22"/>
  <c r="S44" i="22"/>
  <c r="R44" i="22"/>
  <c r="S95" i="22"/>
  <c r="R95" i="22"/>
  <c r="S104" i="22"/>
  <c r="R104" i="22"/>
  <c r="S79" i="22"/>
  <c r="R79" i="22"/>
  <c r="S48" i="22"/>
  <c r="R48" i="22"/>
  <c r="S16" i="22"/>
  <c r="R16" i="22"/>
  <c r="S39" i="22"/>
  <c r="R39" i="22"/>
  <c r="S32" i="22"/>
  <c r="R32" i="22"/>
  <c r="S66" i="22"/>
  <c r="R66" i="22"/>
  <c r="S113" i="22"/>
  <c r="R113" i="22"/>
  <c r="S55" i="22"/>
  <c r="R55" i="22"/>
  <c r="S103" i="22"/>
  <c r="R103" i="22"/>
  <c r="S60" i="22"/>
  <c r="R60" i="22"/>
  <c r="S85" i="22"/>
  <c r="R85" i="22"/>
  <c r="S80" i="22"/>
  <c r="R80" i="22"/>
  <c r="S69" i="22"/>
  <c r="R69" i="22"/>
  <c r="S61" i="22"/>
  <c r="R61" i="22"/>
  <c r="S93" i="22"/>
  <c r="R93" i="22"/>
  <c r="S105" i="22"/>
  <c r="R105" i="22"/>
  <c r="S64" i="22"/>
  <c r="R64" i="22"/>
  <c r="S75" i="22"/>
  <c r="R75" i="22"/>
  <c r="S74" i="22"/>
  <c r="R74" i="22"/>
  <c r="S20" i="22"/>
  <c r="R20" i="22"/>
  <c r="S83" i="22"/>
  <c r="R83" i="22"/>
  <c r="S65" i="22"/>
  <c r="R65" i="22"/>
  <c r="S97" i="22"/>
  <c r="R97" i="22"/>
  <c r="S36" i="22"/>
  <c r="R36" i="22"/>
  <c r="S117" i="22"/>
  <c r="R117" i="22"/>
  <c r="S78" i="22"/>
  <c r="R78" i="22"/>
  <c r="S101" i="22"/>
  <c r="R101" i="22"/>
  <c r="S98" i="22"/>
  <c r="R98" i="22"/>
  <c r="S111" i="22"/>
  <c r="R111" i="22"/>
  <c r="S91" i="22"/>
  <c r="R91" i="22"/>
  <c r="S116" i="22"/>
  <c r="R116" i="22"/>
  <c r="S96" i="22"/>
  <c r="R96" i="22"/>
  <c r="S52" i="22"/>
  <c r="R52" i="22"/>
  <c r="S109" i="22"/>
  <c r="R109" i="22"/>
  <c r="S92" i="22"/>
  <c r="R92" i="22"/>
  <c r="S72" i="22"/>
  <c r="R72" i="22"/>
  <c r="S58" i="22"/>
  <c r="R58" i="22"/>
  <c r="S70" i="22"/>
  <c r="R70" i="22"/>
  <c r="S106" i="22"/>
  <c r="R106" i="22"/>
  <c r="S118" i="22"/>
  <c r="R118" i="22"/>
  <c r="S71" i="22"/>
  <c r="R71" i="22"/>
  <c r="S86" i="22"/>
  <c r="R86" i="22"/>
  <c r="S43" i="22"/>
  <c r="R43" i="22"/>
  <c r="S76" i="22"/>
  <c r="R76" i="22"/>
  <c r="S107" i="22"/>
  <c r="R107" i="22"/>
  <c r="S90" i="22"/>
  <c r="R90" i="22"/>
  <c r="S115" i="22"/>
  <c r="R115" i="22"/>
  <c r="S57" i="22"/>
  <c r="R57" i="22"/>
  <c r="S63" i="22"/>
  <c r="R63" i="22"/>
  <c r="S110" i="22"/>
  <c r="R110" i="22"/>
  <c r="S68" i="22"/>
  <c r="R68" i="22"/>
  <c r="S30" i="22"/>
  <c r="R30" i="22"/>
  <c r="U27" i="22"/>
  <c r="T27" i="22"/>
  <c r="S108" i="22"/>
  <c r="R108" i="22"/>
  <c r="S77" i="22"/>
  <c r="R77" i="22"/>
  <c r="S120" i="22"/>
  <c r="R120" i="22"/>
  <c r="S31" i="22"/>
  <c r="R31" i="22"/>
  <c r="S51" i="22"/>
  <c r="R51" i="22"/>
  <c r="R79" i="21"/>
  <c r="Q79" i="21"/>
  <c r="K14" i="21"/>
  <c r="N14" i="21"/>
  <c r="P14" i="21" s="1"/>
  <c r="N92" i="21"/>
  <c r="M92" i="21"/>
  <c r="N20" i="21"/>
  <c r="P20" i="21" s="1"/>
  <c r="K20" i="21"/>
  <c r="F50" i="21"/>
  <c r="N6" i="21"/>
  <c r="P6" i="21" s="1"/>
  <c r="N33" i="21"/>
  <c r="H33" i="21"/>
  <c r="M33" i="21"/>
  <c r="U86" i="21"/>
  <c r="U80" i="21"/>
  <c r="U76" i="21"/>
  <c r="U87" i="21"/>
  <c r="U73" i="21"/>
  <c r="U89" i="21"/>
  <c r="U85" i="21"/>
  <c r="U77" i="21"/>
  <c r="U72" i="21"/>
  <c r="U74" i="21"/>
  <c r="U82" i="21"/>
  <c r="U75" i="21"/>
  <c r="U64" i="21"/>
  <c r="U32" i="21"/>
  <c r="W31" i="21"/>
  <c r="U71" i="21"/>
  <c r="U46" i="21"/>
  <c r="U78" i="21"/>
  <c r="N17" i="21"/>
  <c r="P17" i="21" s="1"/>
  <c r="K17" i="21"/>
  <c r="F56" i="21"/>
  <c r="N10" i="21"/>
  <c r="P10" i="21" s="1"/>
  <c r="F36" i="21"/>
  <c r="N5" i="21"/>
  <c r="P5" i="21" s="1"/>
  <c r="F57" i="21"/>
  <c r="F37" i="21"/>
  <c r="F55" i="21"/>
  <c r="N19" i="21"/>
  <c r="P19" i="21" s="1"/>
  <c r="K19" i="21"/>
  <c r="F9" i="21"/>
  <c r="J9" i="21" s="1"/>
  <c r="K13" i="21"/>
  <c r="N13" i="21"/>
  <c r="P13" i="21" s="1"/>
  <c r="R81" i="21"/>
  <c r="Q81" i="21"/>
  <c r="K8" i="21"/>
  <c r="F53" i="21"/>
  <c r="F42" i="21"/>
  <c r="K42" i="21" s="1"/>
  <c r="N8" i="21"/>
  <c r="F54" i="21"/>
  <c r="F39" i="21"/>
  <c r="F61" i="21"/>
  <c r="K11" i="21"/>
  <c r="N11" i="21"/>
  <c r="P11" i="21" s="1"/>
  <c r="F59" i="21"/>
  <c r="N55" i="17"/>
  <c r="P56" i="17"/>
  <c r="F67" i="20"/>
  <c r="H67" i="20" s="1"/>
  <c r="I67" i="20" s="1"/>
  <c r="F62" i="20"/>
  <c r="F60" i="20"/>
  <c r="H60" i="20" s="1"/>
  <c r="I60" i="20" s="1"/>
  <c r="H64" i="20"/>
  <c r="I64" i="20" s="1"/>
  <c r="I28" i="20"/>
  <c r="I22" i="20"/>
  <c r="F8" i="20"/>
  <c r="G8" i="20"/>
  <c r="G5" i="20" s="1"/>
  <c r="D7" i="20"/>
  <c r="D5" i="20"/>
  <c r="L4" i="20"/>
  <c r="I4" i="20"/>
  <c r="I3" i="20"/>
  <c r="F40" i="20"/>
  <c r="F34" i="20"/>
  <c r="L3" i="20"/>
  <c r="F46" i="20"/>
  <c r="F35" i="20"/>
  <c r="G28" i="20"/>
  <c r="L28" i="20" s="1"/>
  <c r="G22" i="20"/>
  <c r="L22" i="20" s="1"/>
  <c r="D3" i="19"/>
  <c r="F3" i="19" s="1"/>
  <c r="D4" i="19"/>
  <c r="G4" i="19" s="1"/>
  <c r="C68" i="19"/>
  <c r="B68" i="19"/>
  <c r="D67" i="19"/>
  <c r="C67" i="19"/>
  <c r="B67" i="19"/>
  <c r="C66" i="19"/>
  <c r="B66" i="19"/>
  <c r="C65" i="19"/>
  <c r="B65" i="19"/>
  <c r="D64" i="19"/>
  <c r="C64" i="19"/>
  <c r="B64" i="19"/>
  <c r="C63" i="19"/>
  <c r="B63" i="19"/>
  <c r="D62" i="19"/>
  <c r="C62" i="19"/>
  <c r="B62" i="19"/>
  <c r="D61" i="19"/>
  <c r="C61" i="19"/>
  <c r="B61" i="19"/>
  <c r="C60" i="19"/>
  <c r="B60" i="19"/>
  <c r="C59" i="19"/>
  <c r="B59" i="19"/>
  <c r="C58" i="19"/>
  <c r="B58" i="19"/>
  <c r="C57" i="19"/>
  <c r="B57" i="19"/>
  <c r="D56" i="19"/>
  <c r="C56" i="19"/>
  <c r="B56" i="19"/>
  <c r="D55" i="19"/>
  <c r="C55" i="19"/>
  <c r="B55" i="19"/>
  <c r="D54" i="19"/>
  <c r="C54" i="19"/>
  <c r="B54" i="19"/>
  <c r="D53" i="19"/>
  <c r="C53" i="19"/>
  <c r="B53" i="19"/>
  <c r="B52" i="19"/>
  <c r="D51" i="19"/>
  <c r="C51" i="19"/>
  <c r="B51" i="19"/>
  <c r="D50" i="19"/>
  <c r="C50" i="19"/>
  <c r="B50" i="19"/>
  <c r="C49" i="19"/>
  <c r="B49" i="19"/>
  <c r="D48" i="19"/>
  <c r="C48" i="19"/>
  <c r="B48" i="19"/>
  <c r="C47" i="19"/>
  <c r="B47" i="19"/>
  <c r="D46" i="19"/>
  <c r="C46" i="19"/>
  <c r="B46" i="19"/>
  <c r="C45" i="19"/>
  <c r="B45" i="19"/>
  <c r="C44" i="19"/>
  <c r="B44" i="19"/>
  <c r="D43" i="19"/>
  <c r="C43" i="19"/>
  <c r="B43" i="19"/>
  <c r="D42" i="19"/>
  <c r="C42" i="19"/>
  <c r="B42" i="19"/>
  <c r="C41" i="19"/>
  <c r="B41" i="19"/>
  <c r="D40" i="19"/>
  <c r="C40" i="19"/>
  <c r="B40" i="19"/>
  <c r="D39" i="19"/>
  <c r="C39" i="19"/>
  <c r="B39" i="19"/>
  <c r="C38" i="19"/>
  <c r="B38" i="19"/>
  <c r="D37" i="19"/>
  <c r="C37" i="19"/>
  <c r="B37" i="19"/>
  <c r="D36" i="19"/>
  <c r="D57" i="19" s="1"/>
  <c r="C36" i="19"/>
  <c r="B36" i="19"/>
  <c r="D35" i="19"/>
  <c r="C35" i="19"/>
  <c r="B35" i="19"/>
  <c r="D34" i="19"/>
  <c r="C34" i="19"/>
  <c r="B34" i="19"/>
  <c r="D33" i="19"/>
  <c r="C33" i="19"/>
  <c r="B33" i="19"/>
  <c r="D32" i="19"/>
  <c r="F32" i="19" s="1"/>
  <c r="H32" i="19" s="1"/>
  <c r="I32" i="19" s="1"/>
  <c r="C32" i="19"/>
  <c r="B32" i="19"/>
  <c r="J31" i="19"/>
  <c r="C31" i="19"/>
  <c r="C30" i="19"/>
  <c r="B30" i="19"/>
  <c r="C29" i="19"/>
  <c r="B29" i="19"/>
  <c r="E28" i="19"/>
  <c r="C28" i="19"/>
  <c r="B28" i="19"/>
  <c r="E27" i="19"/>
  <c r="C27" i="19"/>
  <c r="B27" i="19"/>
  <c r="E26" i="19"/>
  <c r="C26" i="19"/>
  <c r="B26" i="19"/>
  <c r="E25" i="19"/>
  <c r="C25" i="19"/>
  <c r="E24" i="19"/>
  <c r="C24" i="19"/>
  <c r="B24" i="19"/>
  <c r="E23" i="19"/>
  <c r="C23" i="19"/>
  <c r="B23" i="19"/>
  <c r="E22" i="19"/>
  <c r="C22" i="19"/>
  <c r="B22" i="19"/>
  <c r="J21" i="19"/>
  <c r="C21" i="19"/>
  <c r="B21" i="19"/>
  <c r="J20" i="19"/>
  <c r="C20" i="19"/>
  <c r="B20" i="19"/>
  <c r="J19" i="19"/>
  <c r="C19" i="19"/>
  <c r="B19" i="19"/>
  <c r="J18" i="19"/>
  <c r="C18" i="19"/>
  <c r="B18" i="19"/>
  <c r="J17" i="19"/>
  <c r="C17" i="19"/>
  <c r="B17" i="19"/>
  <c r="J16" i="19"/>
  <c r="B16" i="19"/>
  <c r="C15" i="19"/>
  <c r="B15" i="19"/>
  <c r="C14" i="19"/>
  <c r="B14" i="19"/>
  <c r="C13" i="19"/>
  <c r="B13" i="19"/>
  <c r="C12" i="19"/>
  <c r="B12" i="19"/>
  <c r="J11" i="19"/>
  <c r="C11" i="19"/>
  <c r="B11" i="19"/>
  <c r="C10" i="19"/>
  <c r="B10" i="19"/>
  <c r="C9" i="19"/>
  <c r="B9" i="19"/>
  <c r="C8" i="19"/>
  <c r="B8" i="19"/>
  <c r="J7" i="19"/>
  <c r="C7" i="19"/>
  <c r="B7" i="19"/>
  <c r="C6" i="19"/>
  <c r="B6" i="19"/>
  <c r="C5" i="19"/>
  <c r="B5" i="19"/>
  <c r="C4" i="19"/>
  <c r="B4" i="19"/>
  <c r="C3" i="19"/>
  <c r="B3" i="19"/>
  <c r="C2" i="19"/>
  <c r="B2" i="19"/>
  <c r="C1" i="19"/>
  <c r="N248" i="16" l="1"/>
  <c r="M248" i="16"/>
  <c r="F249" i="16"/>
  <c r="K249" i="16"/>
  <c r="H250" i="16"/>
  <c r="P247" i="16"/>
  <c r="R246" i="16"/>
  <c r="T246" i="16" s="1"/>
  <c r="V246" i="16" s="1"/>
  <c r="X246" i="16" s="1"/>
  <c r="Z246" i="16" s="1"/>
  <c r="AB246" i="16" s="1"/>
  <c r="AD246" i="16" s="1"/>
  <c r="AF246" i="16" s="1"/>
  <c r="AH246" i="16" s="1"/>
  <c r="AJ246" i="16" s="1"/>
  <c r="K30" i="21"/>
  <c r="K29" i="21"/>
  <c r="N30" i="21"/>
  <c r="P30" i="21" s="1"/>
  <c r="N29" i="21"/>
  <c r="P29" i="21" s="1"/>
  <c r="T67" i="21"/>
  <c r="S67" i="21"/>
  <c r="J43" i="21"/>
  <c r="K43" i="21" s="1"/>
  <c r="K62" i="21"/>
  <c r="K51" i="21"/>
  <c r="D126" i="21"/>
  <c r="F121" i="21"/>
  <c r="K121" i="21" s="1"/>
  <c r="F117" i="21"/>
  <c r="K117" i="21" s="1"/>
  <c r="F113" i="21"/>
  <c r="K113" i="21" s="1"/>
  <c r="F109" i="21"/>
  <c r="F105" i="21"/>
  <c r="K105" i="21" s="1"/>
  <c r="F101" i="21"/>
  <c r="K101" i="21" s="1"/>
  <c r="D125" i="21"/>
  <c r="F120" i="21"/>
  <c r="K120" i="21" s="1"/>
  <c r="F116" i="21"/>
  <c r="F112" i="21"/>
  <c r="K112" i="21" s="1"/>
  <c r="F108" i="21"/>
  <c r="K108" i="21" s="1"/>
  <c r="F104" i="21"/>
  <c r="K104" i="21" s="1"/>
  <c r="F100" i="21"/>
  <c r="K100" i="21" s="1"/>
  <c r="D124" i="21"/>
  <c r="F119" i="21"/>
  <c r="K119" i="21" s="1"/>
  <c r="F115" i="21"/>
  <c r="F111" i="21"/>
  <c r="F107" i="21"/>
  <c r="K107" i="21" s="1"/>
  <c r="F103" i="21"/>
  <c r="K103" i="21" s="1"/>
  <c r="F122" i="21"/>
  <c r="F118" i="21"/>
  <c r="K118" i="21" s="1"/>
  <c r="F114" i="21"/>
  <c r="K114" i="21" s="1"/>
  <c r="F110" i="21"/>
  <c r="K110" i="21" s="1"/>
  <c r="F106" i="21"/>
  <c r="K106" i="21" s="1"/>
  <c r="F102" i="21"/>
  <c r="K102" i="21" s="1"/>
  <c r="P34" i="21"/>
  <c r="O34" i="21"/>
  <c r="J61" i="21"/>
  <c r="L61" i="21" s="1"/>
  <c r="J57" i="21"/>
  <c r="L57" i="21" s="1"/>
  <c r="J59" i="21"/>
  <c r="L59" i="21" s="1"/>
  <c r="J39" i="21"/>
  <c r="L39" i="21" s="1"/>
  <c r="J53" i="21"/>
  <c r="L53" i="21" s="1"/>
  <c r="J56" i="21"/>
  <c r="L56" i="21" s="1"/>
  <c r="K35" i="21"/>
  <c r="P60" i="21"/>
  <c r="O60" i="21"/>
  <c r="J36" i="21"/>
  <c r="L36" i="21" s="1"/>
  <c r="J54" i="21"/>
  <c r="L54" i="21" s="1"/>
  <c r="O40" i="21"/>
  <c r="P40" i="21"/>
  <c r="W231" i="22"/>
  <c r="V231" i="22"/>
  <c r="U230" i="22"/>
  <c r="T230" i="22"/>
  <c r="W228" i="22"/>
  <c r="V228" i="22"/>
  <c r="W167" i="22"/>
  <c r="V167" i="22"/>
  <c r="W184" i="22"/>
  <c r="V184" i="22"/>
  <c r="W194" i="22"/>
  <c r="V194" i="22"/>
  <c r="W186" i="22"/>
  <c r="V186" i="22"/>
  <c r="U221" i="22"/>
  <c r="T221" i="22"/>
  <c r="U223" i="22"/>
  <c r="T223" i="22"/>
  <c r="U182" i="22"/>
  <c r="T182" i="22"/>
  <c r="W199" i="22"/>
  <c r="V199" i="22"/>
  <c r="W132" i="22"/>
  <c r="V132" i="22"/>
  <c r="W139" i="22"/>
  <c r="Y139" i="22" s="1"/>
  <c r="AA139" i="22" s="1"/>
  <c r="AC139" i="22" s="1"/>
  <c r="AE139" i="22" s="1"/>
  <c r="AG139" i="22" s="1"/>
  <c r="AI139" i="22" s="1"/>
  <c r="V139" i="22"/>
  <c r="W170" i="22"/>
  <c r="V170" i="22"/>
  <c r="W123" i="22"/>
  <c r="V123" i="22"/>
  <c r="U128" i="22"/>
  <c r="T128" i="22"/>
  <c r="U192" i="22"/>
  <c r="T192" i="22"/>
  <c r="U213" i="22"/>
  <c r="T213" i="22"/>
  <c r="U211" i="22"/>
  <c r="T211" i="22"/>
  <c r="U149" i="22"/>
  <c r="T149" i="22"/>
  <c r="U138" i="22"/>
  <c r="T138" i="22"/>
  <c r="U127" i="22"/>
  <c r="T127" i="22"/>
  <c r="U121" i="22"/>
  <c r="T121" i="22"/>
  <c r="W190" i="22"/>
  <c r="V190" i="22"/>
  <c r="W171" i="22"/>
  <c r="Y171" i="22" s="1"/>
  <c r="AA171" i="22" s="1"/>
  <c r="AC171" i="22" s="1"/>
  <c r="AE171" i="22" s="1"/>
  <c r="AG171" i="22" s="1"/>
  <c r="AI171" i="22" s="1"/>
  <c r="V171" i="22"/>
  <c r="W135" i="22"/>
  <c r="Y135" i="22" s="1"/>
  <c r="AA135" i="22" s="1"/>
  <c r="AC135" i="22" s="1"/>
  <c r="AE135" i="22" s="1"/>
  <c r="AG135" i="22" s="1"/>
  <c r="AI135" i="22" s="1"/>
  <c r="V135" i="22"/>
  <c r="W225" i="22"/>
  <c r="V225" i="22"/>
  <c r="W177" i="22"/>
  <c r="V177" i="22"/>
  <c r="W162" i="22"/>
  <c r="V162" i="22"/>
  <c r="U153" i="22"/>
  <c r="T153" i="22"/>
  <c r="U166" i="22"/>
  <c r="T166" i="22"/>
  <c r="W27" i="22"/>
  <c r="V27" i="22"/>
  <c r="U120" i="22"/>
  <c r="T120" i="22"/>
  <c r="W24" i="22"/>
  <c r="V24" i="22"/>
  <c r="W151" i="22"/>
  <c r="V151" i="22"/>
  <c r="W209" i="22"/>
  <c r="V209" i="22"/>
  <c r="W207" i="22"/>
  <c r="V207" i="22"/>
  <c r="W161" i="22"/>
  <c r="V161" i="22"/>
  <c r="W188" i="22"/>
  <c r="V188" i="22"/>
  <c r="W205" i="22"/>
  <c r="V205" i="22"/>
  <c r="W154" i="22"/>
  <c r="V154" i="22"/>
  <c r="W147" i="22"/>
  <c r="V147" i="22"/>
  <c r="W215" i="22"/>
  <c r="V215" i="22"/>
  <c r="W136" i="22"/>
  <c r="V136" i="22"/>
  <c r="W160" i="22"/>
  <c r="V160" i="22"/>
  <c r="W193" i="22"/>
  <c r="V193" i="22"/>
  <c r="W150" i="22"/>
  <c r="V150" i="22"/>
  <c r="W178" i="22"/>
  <c r="V178" i="22"/>
  <c r="W159" i="22"/>
  <c r="Y159" i="22" s="1"/>
  <c r="AA159" i="22" s="1"/>
  <c r="AC159" i="22" s="1"/>
  <c r="AE159" i="22" s="1"/>
  <c r="AG159" i="22" s="1"/>
  <c r="AI159" i="22" s="1"/>
  <c r="V159" i="22"/>
  <c r="W122" i="22"/>
  <c r="V122" i="22"/>
  <c r="W158" i="22"/>
  <c r="V158" i="22"/>
  <c r="U155" i="22"/>
  <c r="T155" i="22"/>
  <c r="U164" i="22"/>
  <c r="T164" i="22"/>
  <c r="W168" i="22"/>
  <c r="V168" i="22"/>
  <c r="W148" i="22"/>
  <c r="V148" i="22"/>
  <c r="W174" i="22"/>
  <c r="V174" i="22"/>
  <c r="W156" i="22"/>
  <c r="V156" i="22"/>
  <c r="W137" i="22"/>
  <c r="V137" i="22"/>
  <c r="U144" i="22"/>
  <c r="T144" i="22"/>
  <c r="U197" i="22"/>
  <c r="T197" i="22"/>
  <c r="U173" i="22"/>
  <c r="T173" i="22"/>
  <c r="U146" i="22"/>
  <c r="T146" i="22"/>
  <c r="U130" i="22"/>
  <c r="T130" i="22"/>
  <c r="U143" i="22"/>
  <c r="W143" i="22" s="1"/>
  <c r="Y143" i="22" s="1"/>
  <c r="AA143" i="22" s="1"/>
  <c r="AC143" i="22" s="1"/>
  <c r="AE143" i="22" s="1"/>
  <c r="AG143" i="22" s="1"/>
  <c r="AI143" i="22" s="1"/>
  <c r="T143" i="22"/>
  <c r="W191" i="22"/>
  <c r="V191" i="22"/>
  <c r="W152" i="22"/>
  <c r="V152" i="22"/>
  <c r="W219" i="22"/>
  <c r="V219" i="22"/>
  <c r="W203" i="22"/>
  <c r="V203" i="22"/>
  <c r="W201" i="22"/>
  <c r="V201" i="22"/>
  <c r="W217" i="22"/>
  <c r="V217" i="22"/>
  <c r="W163" i="22"/>
  <c r="Y163" i="22" s="1"/>
  <c r="AA163" i="22" s="1"/>
  <c r="AC163" i="22" s="1"/>
  <c r="AE163" i="22" s="1"/>
  <c r="AG163" i="22" s="1"/>
  <c r="AI163" i="22" s="1"/>
  <c r="V163" i="22"/>
  <c r="U195" i="22"/>
  <c r="T195" i="22"/>
  <c r="U124" i="22"/>
  <c r="T124" i="22"/>
  <c r="U20" i="22"/>
  <c r="T20" i="22"/>
  <c r="W10" i="22"/>
  <c r="V10" i="22"/>
  <c r="Z232" i="22"/>
  <c r="Z222" i="22"/>
  <c r="Z220" i="22"/>
  <c r="Z212" i="22"/>
  <c r="Z227" i="22"/>
  <c r="Z235" i="22"/>
  <c r="Z233" i="22"/>
  <c r="Z210" i="22"/>
  <c r="Z204" i="22"/>
  <c r="Z237" i="22"/>
  <c r="Z226" i="22"/>
  <c r="Z200" i="22"/>
  <c r="Z236" i="22"/>
  <c r="Z216" i="22"/>
  <c r="Z198" i="22"/>
  <c r="Z234" i="22"/>
  <c r="Z224" i="22"/>
  <c r="Z214" i="22"/>
  <c r="Z208" i="22"/>
  <c r="Z202" i="22"/>
  <c r="Z196" i="22"/>
  <c r="Z206" i="22"/>
  <c r="Z187" i="22"/>
  <c r="Z180" i="22"/>
  <c r="Z179" i="22"/>
  <c r="Z175" i="22"/>
  <c r="Z171" i="22"/>
  <c r="Z159" i="22"/>
  <c r="Z157" i="22"/>
  <c r="Z155" i="22"/>
  <c r="Z151" i="22"/>
  <c r="Z218" i="22"/>
  <c r="Z185" i="22"/>
  <c r="Z169" i="22"/>
  <c r="Z145" i="22"/>
  <c r="Z141" i="22"/>
  <c r="Z139" i="22"/>
  <c r="Z133" i="22"/>
  <c r="Z127" i="22"/>
  <c r="Z125" i="22"/>
  <c r="Z11" i="22"/>
  <c r="Z189" i="22"/>
  <c r="Z172" i="22"/>
  <c r="Z163" i="22"/>
  <c r="Z143" i="22"/>
  <c r="Z140" i="22"/>
  <c r="Z229" i="22"/>
  <c r="Z183" i="22"/>
  <c r="Z135" i="22"/>
  <c r="Z131" i="22"/>
  <c r="Z147" i="22"/>
  <c r="Z142" i="22"/>
  <c r="Z137" i="22"/>
  <c r="Z134" i="22"/>
  <c r="Z123" i="22"/>
  <c r="Z181" i="22"/>
  <c r="Z126" i="22"/>
  <c r="Z176" i="22"/>
  <c r="Z167" i="22"/>
  <c r="Z165" i="22"/>
  <c r="Z161" i="22"/>
  <c r="Z129" i="22"/>
  <c r="U15" i="22"/>
  <c r="W15" i="22" s="1"/>
  <c r="Y15" i="22" s="1"/>
  <c r="AA15" i="22" s="1"/>
  <c r="AC15" i="22" s="1"/>
  <c r="AE15" i="22" s="1"/>
  <c r="AG15" i="22" s="1"/>
  <c r="AI15" i="22" s="1"/>
  <c r="T15" i="22"/>
  <c r="W13" i="22"/>
  <c r="V13" i="22"/>
  <c r="U34" i="22"/>
  <c r="T34" i="22"/>
  <c r="U29" i="22"/>
  <c r="T29" i="22"/>
  <c r="U16" i="22"/>
  <c r="T16" i="22"/>
  <c r="U46" i="22"/>
  <c r="T46" i="22"/>
  <c r="U63" i="22"/>
  <c r="T63" i="22"/>
  <c r="U115" i="22"/>
  <c r="W115" i="22" s="1"/>
  <c r="Y115" i="22" s="1"/>
  <c r="AA115" i="22" s="1"/>
  <c r="AC115" i="22" s="1"/>
  <c r="AE115" i="22" s="1"/>
  <c r="AG115" i="22" s="1"/>
  <c r="AI115" i="22" s="1"/>
  <c r="T115" i="22"/>
  <c r="U107" i="22"/>
  <c r="T107" i="22"/>
  <c r="U71" i="22"/>
  <c r="W71" i="22" s="1"/>
  <c r="Y71" i="22" s="1"/>
  <c r="AA71" i="22" s="1"/>
  <c r="AC71" i="22" s="1"/>
  <c r="AE71" i="22" s="1"/>
  <c r="AG71" i="22" s="1"/>
  <c r="AI71" i="22" s="1"/>
  <c r="T71" i="22"/>
  <c r="U106" i="22"/>
  <c r="T106" i="22"/>
  <c r="U58" i="22"/>
  <c r="T58" i="22"/>
  <c r="U92" i="22"/>
  <c r="T92" i="22"/>
  <c r="U52" i="22"/>
  <c r="T52" i="22"/>
  <c r="U116" i="22"/>
  <c r="T116" i="22"/>
  <c r="U111" i="22"/>
  <c r="T111" i="22"/>
  <c r="U101" i="22"/>
  <c r="T101" i="22"/>
  <c r="U117" i="22"/>
  <c r="T117" i="22"/>
  <c r="U97" i="22"/>
  <c r="W97" i="22" s="1"/>
  <c r="Y97" i="22" s="1"/>
  <c r="AA97" i="22" s="1"/>
  <c r="AC97" i="22" s="1"/>
  <c r="AE97" i="22" s="1"/>
  <c r="AG97" i="22" s="1"/>
  <c r="AI97" i="22" s="1"/>
  <c r="T97" i="22"/>
  <c r="U83" i="22"/>
  <c r="T83" i="22"/>
  <c r="U74" i="22"/>
  <c r="T74" i="22"/>
  <c r="U80" i="22"/>
  <c r="T80" i="22"/>
  <c r="U60" i="22"/>
  <c r="T60" i="22"/>
  <c r="U55" i="22"/>
  <c r="T55" i="22"/>
  <c r="U66" i="22"/>
  <c r="T66" i="22"/>
  <c r="U39" i="22"/>
  <c r="T39" i="22"/>
  <c r="U48" i="22"/>
  <c r="T48" i="22"/>
  <c r="U104" i="22"/>
  <c r="T104" i="22"/>
  <c r="U44" i="22"/>
  <c r="T44" i="22"/>
  <c r="U62" i="22"/>
  <c r="T62" i="22"/>
  <c r="U67" i="22"/>
  <c r="T67" i="22"/>
  <c r="U40" i="22"/>
  <c r="T40" i="22"/>
  <c r="U47" i="22"/>
  <c r="T47" i="22"/>
  <c r="U88" i="22"/>
  <c r="T88" i="22"/>
  <c r="U73" i="22"/>
  <c r="T73" i="22"/>
  <c r="U108" i="22"/>
  <c r="T108" i="22"/>
  <c r="U30" i="22"/>
  <c r="T30" i="22"/>
  <c r="U110" i="22"/>
  <c r="T110" i="22"/>
  <c r="U105" i="22"/>
  <c r="T105" i="22"/>
  <c r="U61" i="22"/>
  <c r="T61" i="22"/>
  <c r="Z119" i="22"/>
  <c r="Z115" i="22"/>
  <c r="Z111" i="22"/>
  <c r="Z107" i="22"/>
  <c r="Z103" i="22"/>
  <c r="Z99" i="22"/>
  <c r="Z95" i="22"/>
  <c r="Z102" i="22"/>
  <c r="Z112" i="22"/>
  <c r="Z100" i="22"/>
  <c r="Z78" i="22"/>
  <c r="Z71" i="22"/>
  <c r="Z67" i="22"/>
  <c r="Z63" i="22"/>
  <c r="Z59" i="22"/>
  <c r="Z113" i="22"/>
  <c r="Z91" i="22"/>
  <c r="Z87" i="22"/>
  <c r="Z83" i="22"/>
  <c r="Z79" i="22"/>
  <c r="Z75" i="22"/>
  <c r="Z66" i="22"/>
  <c r="Z54" i="22"/>
  <c r="Z50" i="22"/>
  <c r="Z42" i="22"/>
  <c r="Z38" i="22"/>
  <c r="Z97" i="22"/>
  <c r="Z55" i="22"/>
  <c r="Z51" i="22"/>
  <c r="Z47" i="22"/>
  <c r="Z43" i="22"/>
  <c r="Z39" i="22"/>
  <c r="Z35" i="22"/>
  <c r="Z31" i="22"/>
  <c r="Z26" i="22"/>
  <c r="Z23" i="22"/>
  <c r="Z19" i="22"/>
  <c r="Z15" i="22"/>
  <c r="Z12" i="22"/>
  <c r="Z94" i="22"/>
  <c r="Z85" i="22"/>
  <c r="Z77" i="22"/>
  <c r="Z73" i="22"/>
  <c r="Z69" i="22"/>
  <c r="Z57" i="22"/>
  <c r="Z28" i="22"/>
  <c r="Z25" i="22"/>
  <c r="Z22" i="22"/>
  <c r="Z18" i="22"/>
  <c r="Z14" i="22"/>
  <c r="AB9" i="22"/>
  <c r="Z109" i="22"/>
  <c r="Z81" i="22"/>
  <c r="Z41" i="22"/>
  <c r="Z17" i="22"/>
  <c r="Z24" i="22"/>
  <c r="Z89" i="22"/>
  <c r="Z53" i="22"/>
  <c r="Z37" i="22"/>
  <c r="Z27" i="22"/>
  <c r="Z49" i="22"/>
  <c r="Z33" i="22"/>
  <c r="Z10" i="22"/>
  <c r="Z45" i="22"/>
  <c r="Z21" i="22"/>
  <c r="U57" i="22"/>
  <c r="T57" i="22"/>
  <c r="U90" i="22"/>
  <c r="T90" i="22"/>
  <c r="U76" i="22"/>
  <c r="T76" i="22"/>
  <c r="U43" i="22"/>
  <c r="T43" i="22"/>
  <c r="U86" i="22"/>
  <c r="T86" i="22"/>
  <c r="U118" i="22"/>
  <c r="T118" i="22"/>
  <c r="U70" i="22"/>
  <c r="T70" i="22"/>
  <c r="U72" i="22"/>
  <c r="T72" i="22"/>
  <c r="U109" i="22"/>
  <c r="T109" i="22"/>
  <c r="U96" i="22"/>
  <c r="T96" i="22"/>
  <c r="U91" i="22"/>
  <c r="T91" i="22"/>
  <c r="U98" i="22"/>
  <c r="T98" i="22"/>
  <c r="U78" i="22"/>
  <c r="T78" i="22"/>
  <c r="U36" i="22"/>
  <c r="T36" i="22"/>
  <c r="U65" i="22"/>
  <c r="T65" i="22"/>
  <c r="U75" i="22"/>
  <c r="W75" i="22" s="1"/>
  <c r="Y75" i="22" s="1"/>
  <c r="AA75" i="22" s="1"/>
  <c r="AC75" i="22" s="1"/>
  <c r="AE75" i="22" s="1"/>
  <c r="AG75" i="22" s="1"/>
  <c r="AI75" i="22" s="1"/>
  <c r="T75" i="22"/>
  <c r="U85" i="22"/>
  <c r="T85" i="22"/>
  <c r="U103" i="22"/>
  <c r="T103" i="22"/>
  <c r="U113" i="22"/>
  <c r="T113" i="22"/>
  <c r="U32" i="22"/>
  <c r="T32" i="22"/>
  <c r="U79" i="22"/>
  <c r="W79" i="22" s="1"/>
  <c r="Y79" i="22" s="1"/>
  <c r="AA79" i="22" s="1"/>
  <c r="AC79" i="22" s="1"/>
  <c r="AE79" i="22" s="1"/>
  <c r="AG79" i="22" s="1"/>
  <c r="AI79" i="22" s="1"/>
  <c r="T79" i="22"/>
  <c r="U95" i="22"/>
  <c r="W95" i="22" s="1"/>
  <c r="Y95" i="22" s="1"/>
  <c r="AA95" i="22" s="1"/>
  <c r="AC95" i="22" s="1"/>
  <c r="AE95" i="22" s="1"/>
  <c r="AG95" i="22" s="1"/>
  <c r="AI95" i="22" s="1"/>
  <c r="T95" i="22"/>
  <c r="U35" i="22"/>
  <c r="T35" i="22"/>
  <c r="U59" i="22"/>
  <c r="T59" i="22"/>
  <c r="U56" i="22"/>
  <c r="T56" i="22"/>
  <c r="U82" i="22"/>
  <c r="T82" i="22"/>
  <c r="U87" i="22"/>
  <c r="W87" i="22" s="1"/>
  <c r="Y87" i="22" s="1"/>
  <c r="AA87" i="22" s="1"/>
  <c r="AC87" i="22" s="1"/>
  <c r="AE87" i="22" s="1"/>
  <c r="AG87" i="22" s="1"/>
  <c r="AI87" i="22" s="1"/>
  <c r="T87" i="22"/>
  <c r="U114" i="22"/>
  <c r="T114" i="22"/>
  <c r="U99" i="22"/>
  <c r="T99" i="22"/>
  <c r="U84" i="22"/>
  <c r="T84" i="22"/>
  <c r="U51" i="22"/>
  <c r="T51" i="22"/>
  <c r="U31" i="22"/>
  <c r="T31" i="22"/>
  <c r="U77" i="22"/>
  <c r="T77" i="22"/>
  <c r="U68" i="22"/>
  <c r="T68" i="22"/>
  <c r="U64" i="22"/>
  <c r="T64" i="22"/>
  <c r="U93" i="22"/>
  <c r="T93" i="22"/>
  <c r="U69" i="22"/>
  <c r="T69" i="22"/>
  <c r="J55" i="21"/>
  <c r="L55" i="21" s="1"/>
  <c r="J50" i="21"/>
  <c r="L50" i="21" s="1"/>
  <c r="J37" i="21"/>
  <c r="L37" i="21" s="1"/>
  <c r="H42" i="21"/>
  <c r="M42" i="21"/>
  <c r="N42" i="21"/>
  <c r="T81" i="21"/>
  <c r="S81" i="21"/>
  <c r="K9" i="21"/>
  <c r="N9" i="21"/>
  <c r="P9" i="21" s="1"/>
  <c r="F48" i="21"/>
  <c r="D123" i="21"/>
  <c r="K116" i="21"/>
  <c r="K122" i="21"/>
  <c r="K109" i="21"/>
  <c r="K115" i="21"/>
  <c r="K111" i="21"/>
  <c r="T79" i="21"/>
  <c r="S79" i="21"/>
  <c r="W89" i="21"/>
  <c r="W82" i="21"/>
  <c r="W78" i="21"/>
  <c r="W85" i="21"/>
  <c r="W75" i="21"/>
  <c r="W86" i="21"/>
  <c r="W74" i="21"/>
  <c r="W72" i="21"/>
  <c r="W56" i="21"/>
  <c r="W46" i="21"/>
  <c r="W76" i="21"/>
  <c r="W73" i="21"/>
  <c r="W64" i="21"/>
  <c r="W32" i="21"/>
  <c r="W80" i="21"/>
  <c r="W77" i="21"/>
  <c r="W55" i="21"/>
  <c r="Y31" i="21"/>
  <c r="W71" i="21"/>
  <c r="W87" i="21"/>
  <c r="P92" i="21"/>
  <c r="O92" i="21"/>
  <c r="P33" i="21"/>
  <c r="O33" i="21"/>
  <c r="P55" i="17"/>
  <c r="N54" i="17"/>
  <c r="H62" i="20"/>
  <c r="I62" i="20" s="1"/>
  <c r="H35" i="20"/>
  <c r="I35" i="20" s="1"/>
  <c r="D27" i="20"/>
  <c r="F27" i="20" s="1"/>
  <c r="F7" i="20"/>
  <c r="G7" i="20"/>
  <c r="G27" i="20" s="1"/>
  <c r="H46" i="20"/>
  <c r="I46" i="20" s="1"/>
  <c r="H34" i="20"/>
  <c r="I34" i="20" s="1"/>
  <c r="G29" i="20"/>
  <c r="G30" i="20" s="1"/>
  <c r="G10" i="20"/>
  <c r="G11" i="20" s="1"/>
  <c r="G9" i="20"/>
  <c r="G23" i="20" s="1"/>
  <c r="G6" i="20"/>
  <c r="H40" i="20"/>
  <c r="I40" i="20" s="1"/>
  <c r="F42" i="20"/>
  <c r="L8" i="20"/>
  <c r="I8" i="20"/>
  <c r="F53" i="20"/>
  <c r="F39" i="20"/>
  <c r="F54" i="20"/>
  <c r="D29" i="20"/>
  <c r="F29" i="20" s="1"/>
  <c r="D9" i="20"/>
  <c r="D6" i="20"/>
  <c r="F6" i="20" s="1"/>
  <c r="F5" i="20"/>
  <c r="D11" i="20"/>
  <c r="F11" i="20" s="1"/>
  <c r="D10" i="20"/>
  <c r="F10" i="20" s="1"/>
  <c r="D30" i="20"/>
  <c r="F30" i="20" s="1"/>
  <c r="D59" i="19"/>
  <c r="D60" i="19" s="1"/>
  <c r="F4" i="19"/>
  <c r="L4" i="19" s="1"/>
  <c r="G22" i="19"/>
  <c r="G28" i="19"/>
  <c r="D8" i="19"/>
  <c r="G3" i="19"/>
  <c r="L3" i="19" s="1"/>
  <c r="B60" i="7"/>
  <c r="B60" i="8"/>
  <c r="B60" i="9"/>
  <c r="B61" i="9"/>
  <c r="B61" i="8"/>
  <c r="B61" i="7"/>
  <c r="C64" i="9"/>
  <c r="C63" i="9"/>
  <c r="C62" i="9"/>
  <c r="C61" i="9"/>
  <c r="C60" i="9"/>
  <c r="C59" i="9"/>
  <c r="C58" i="9"/>
  <c r="C57" i="9"/>
  <c r="C56" i="9"/>
  <c r="C63" i="8"/>
  <c r="C62" i="8"/>
  <c r="C61" i="8"/>
  <c r="C60" i="8"/>
  <c r="C59" i="8"/>
  <c r="C58" i="8"/>
  <c r="C57" i="8"/>
  <c r="C56" i="8"/>
  <c r="C55" i="8"/>
  <c r="C63" i="7"/>
  <c r="C62" i="7"/>
  <c r="C61" i="7"/>
  <c r="C60" i="7"/>
  <c r="C59" i="7"/>
  <c r="C58" i="7"/>
  <c r="C57" i="7"/>
  <c r="L61" i="9"/>
  <c r="L60" i="9"/>
  <c r="B62" i="9"/>
  <c r="D62" i="9"/>
  <c r="L62" i="9"/>
  <c r="B63" i="9"/>
  <c r="D63" i="9"/>
  <c r="L63" i="9"/>
  <c r="L61" i="8"/>
  <c r="L60" i="8"/>
  <c r="L61" i="7"/>
  <c r="L60" i="7"/>
  <c r="L61" i="1"/>
  <c r="D60" i="1"/>
  <c r="L60" i="1"/>
  <c r="R247" i="16" l="1"/>
  <c r="T247" i="16" s="1"/>
  <c r="V247" i="16" s="1"/>
  <c r="X247" i="16" s="1"/>
  <c r="Z247" i="16" s="1"/>
  <c r="AB247" i="16" s="1"/>
  <c r="AD247" i="16" s="1"/>
  <c r="AF247" i="16" s="1"/>
  <c r="AH247" i="16" s="1"/>
  <c r="AJ247" i="16" s="1"/>
  <c r="H251" i="16"/>
  <c r="K250" i="16"/>
  <c r="F250" i="16"/>
  <c r="N249" i="16"/>
  <c r="M249" i="16"/>
  <c r="P248" i="16"/>
  <c r="K36" i="21"/>
  <c r="M36" i="21" s="1"/>
  <c r="K54" i="21"/>
  <c r="V67" i="21"/>
  <c r="U67" i="21"/>
  <c r="K55" i="21"/>
  <c r="M43" i="21"/>
  <c r="N43" i="21"/>
  <c r="H43" i="21"/>
  <c r="N51" i="21"/>
  <c r="M51" i="21"/>
  <c r="H51" i="21"/>
  <c r="K37" i="21"/>
  <c r="K56" i="21"/>
  <c r="K39" i="21"/>
  <c r="K57" i="21"/>
  <c r="Q34" i="21"/>
  <c r="R34" i="21"/>
  <c r="N62" i="21"/>
  <c r="H62" i="21"/>
  <c r="M62" i="21"/>
  <c r="Q60" i="21"/>
  <c r="R60" i="21"/>
  <c r="R40" i="21"/>
  <c r="Q40" i="21"/>
  <c r="N35" i="21"/>
  <c r="M35" i="21"/>
  <c r="H35" i="21"/>
  <c r="K53" i="21"/>
  <c r="K59" i="21"/>
  <c r="K61" i="21"/>
  <c r="W230" i="22"/>
  <c r="V230" i="22"/>
  <c r="Y228" i="22"/>
  <c r="X228" i="22"/>
  <c r="Y231" i="22"/>
  <c r="X231" i="22"/>
  <c r="W110" i="22"/>
  <c r="V110" i="22"/>
  <c r="W88" i="22"/>
  <c r="V88" i="22"/>
  <c r="W62" i="22"/>
  <c r="V62" i="22"/>
  <c r="W39" i="22"/>
  <c r="V39" i="22"/>
  <c r="W80" i="22"/>
  <c r="V80" i="22"/>
  <c r="W117" i="22"/>
  <c r="V117" i="22"/>
  <c r="W52" i="22"/>
  <c r="V52" i="22"/>
  <c r="W58" i="22"/>
  <c r="V58" i="22"/>
  <c r="W29" i="22"/>
  <c r="V29" i="22"/>
  <c r="W64" i="22"/>
  <c r="V64" i="22"/>
  <c r="W56" i="22"/>
  <c r="V56" i="22"/>
  <c r="W35" i="22"/>
  <c r="Y35" i="22" s="1"/>
  <c r="AA35" i="22" s="1"/>
  <c r="AC35" i="22" s="1"/>
  <c r="AE35" i="22" s="1"/>
  <c r="AG35" i="22" s="1"/>
  <c r="AI35" i="22" s="1"/>
  <c r="V35" i="22"/>
  <c r="W113" i="22"/>
  <c r="Y113" i="22" s="1"/>
  <c r="AA113" i="22" s="1"/>
  <c r="AC113" i="22" s="1"/>
  <c r="AE113" i="22" s="1"/>
  <c r="AG113" i="22" s="1"/>
  <c r="AI113" i="22" s="1"/>
  <c r="V113" i="22"/>
  <c r="W65" i="22"/>
  <c r="V65" i="22"/>
  <c r="W109" i="22"/>
  <c r="V109" i="22"/>
  <c r="W124" i="22"/>
  <c r="V124" i="22"/>
  <c r="Y201" i="22"/>
  <c r="X201" i="22"/>
  <c r="W130" i="22"/>
  <c r="V130" i="22"/>
  <c r="Y160" i="22"/>
  <c r="X160" i="22"/>
  <c r="Y154" i="22"/>
  <c r="X154" i="22"/>
  <c r="Y188" i="22"/>
  <c r="X188" i="22"/>
  <c r="Y151" i="22"/>
  <c r="AA151" i="22" s="1"/>
  <c r="AC151" i="22" s="1"/>
  <c r="AE151" i="22" s="1"/>
  <c r="AG151" i="22" s="1"/>
  <c r="AI151" i="22" s="1"/>
  <c r="X151" i="22"/>
  <c r="W120" i="22"/>
  <c r="V120" i="22"/>
  <c r="W166" i="22"/>
  <c r="V166" i="22"/>
  <c r="Y162" i="22"/>
  <c r="X162" i="22"/>
  <c r="Y225" i="22"/>
  <c r="X225" i="22"/>
  <c r="Y199" i="22"/>
  <c r="X199" i="22"/>
  <c r="Y186" i="22"/>
  <c r="X186" i="22"/>
  <c r="W105" i="22"/>
  <c r="V105" i="22"/>
  <c r="W30" i="22"/>
  <c r="V30" i="22"/>
  <c r="W73" i="22"/>
  <c r="Y73" i="22" s="1"/>
  <c r="AA73" i="22" s="1"/>
  <c r="AC73" i="22" s="1"/>
  <c r="AE73" i="22" s="1"/>
  <c r="AG73" i="22" s="1"/>
  <c r="AI73" i="22" s="1"/>
  <c r="V73" i="22"/>
  <c r="W47" i="22"/>
  <c r="Y47" i="22" s="1"/>
  <c r="AA47" i="22" s="1"/>
  <c r="AC47" i="22" s="1"/>
  <c r="AE47" i="22" s="1"/>
  <c r="AG47" i="22" s="1"/>
  <c r="AI47" i="22" s="1"/>
  <c r="V47" i="22"/>
  <c r="W67" i="22"/>
  <c r="V67" i="22"/>
  <c r="W44" i="22"/>
  <c r="V44" i="22"/>
  <c r="W48" i="22"/>
  <c r="V48" i="22"/>
  <c r="W66" i="22"/>
  <c r="V66" i="22"/>
  <c r="W60" i="22"/>
  <c r="V60" i="22"/>
  <c r="W74" i="22"/>
  <c r="V74" i="22"/>
  <c r="W101" i="22"/>
  <c r="V101" i="22"/>
  <c r="W116" i="22"/>
  <c r="V116" i="22"/>
  <c r="W92" i="22"/>
  <c r="V92" i="22"/>
  <c r="W106" i="22"/>
  <c r="V106" i="22"/>
  <c r="W107" i="22"/>
  <c r="V107" i="22"/>
  <c r="W63" i="22"/>
  <c r="Y63" i="22" s="1"/>
  <c r="AA63" i="22" s="1"/>
  <c r="AC63" i="22" s="1"/>
  <c r="AE63" i="22" s="1"/>
  <c r="AG63" i="22" s="1"/>
  <c r="AI63" i="22" s="1"/>
  <c r="V63" i="22"/>
  <c r="W34" i="22"/>
  <c r="V34" i="22"/>
  <c r="W61" i="22"/>
  <c r="V61" i="22"/>
  <c r="W108" i="22"/>
  <c r="V108" i="22"/>
  <c r="W40" i="22"/>
  <c r="V40" i="22"/>
  <c r="W104" i="22"/>
  <c r="V104" i="22"/>
  <c r="W55" i="22"/>
  <c r="Y55" i="22" s="1"/>
  <c r="AA55" i="22" s="1"/>
  <c r="AC55" i="22" s="1"/>
  <c r="AE55" i="22" s="1"/>
  <c r="AG55" i="22" s="1"/>
  <c r="AI55" i="22" s="1"/>
  <c r="V55" i="22"/>
  <c r="W83" i="22"/>
  <c r="Y83" i="22" s="1"/>
  <c r="AA83" i="22" s="1"/>
  <c r="AC83" i="22" s="1"/>
  <c r="AE83" i="22" s="1"/>
  <c r="AG83" i="22" s="1"/>
  <c r="AI83" i="22" s="1"/>
  <c r="V83" i="22"/>
  <c r="W111" i="22"/>
  <c r="Y111" i="22" s="1"/>
  <c r="AA111" i="22" s="1"/>
  <c r="AC111" i="22" s="1"/>
  <c r="AE111" i="22" s="1"/>
  <c r="AG111" i="22" s="1"/>
  <c r="AI111" i="22" s="1"/>
  <c r="V111" i="22"/>
  <c r="W46" i="22"/>
  <c r="V46" i="22"/>
  <c r="W69" i="22"/>
  <c r="Y69" i="22" s="1"/>
  <c r="AA69" i="22" s="1"/>
  <c r="AC69" i="22" s="1"/>
  <c r="AE69" i="22" s="1"/>
  <c r="AG69" i="22" s="1"/>
  <c r="AI69" i="22" s="1"/>
  <c r="V69" i="22"/>
  <c r="W77" i="22"/>
  <c r="V77" i="22"/>
  <c r="W51" i="22"/>
  <c r="Y51" i="22" s="1"/>
  <c r="AA51" i="22" s="1"/>
  <c r="AC51" i="22" s="1"/>
  <c r="AE51" i="22" s="1"/>
  <c r="AG51" i="22" s="1"/>
  <c r="AI51" i="22" s="1"/>
  <c r="V51" i="22"/>
  <c r="W99" i="22"/>
  <c r="Y99" i="22" s="1"/>
  <c r="AA99" i="22" s="1"/>
  <c r="AC99" i="22" s="1"/>
  <c r="AE99" i="22" s="1"/>
  <c r="AG99" i="22" s="1"/>
  <c r="AI99" i="22" s="1"/>
  <c r="V99" i="22"/>
  <c r="W85" i="22"/>
  <c r="V85" i="22"/>
  <c r="W78" i="22"/>
  <c r="V78" i="22"/>
  <c r="W91" i="22"/>
  <c r="Y91" i="22" s="1"/>
  <c r="AA91" i="22" s="1"/>
  <c r="AC91" i="22" s="1"/>
  <c r="AE91" i="22" s="1"/>
  <c r="AG91" i="22" s="1"/>
  <c r="AI91" i="22" s="1"/>
  <c r="V91" i="22"/>
  <c r="W70" i="22"/>
  <c r="V70" i="22"/>
  <c r="W86" i="22"/>
  <c r="V86" i="22"/>
  <c r="W76" i="22"/>
  <c r="V76" i="22"/>
  <c r="W57" i="22"/>
  <c r="V57" i="22"/>
  <c r="Y219" i="22"/>
  <c r="X219" i="22"/>
  <c r="Y191" i="22"/>
  <c r="X191" i="22"/>
  <c r="W173" i="22"/>
  <c r="V173" i="22"/>
  <c r="W144" i="22"/>
  <c r="V144" i="22"/>
  <c r="Y156" i="22"/>
  <c r="X156" i="22"/>
  <c r="Y148" i="22"/>
  <c r="X148" i="22"/>
  <c r="W164" i="22"/>
  <c r="V164" i="22"/>
  <c r="Y158" i="22"/>
  <c r="X158" i="22"/>
  <c r="Y150" i="22"/>
  <c r="X150" i="22"/>
  <c r="Y215" i="22"/>
  <c r="X215" i="22"/>
  <c r="Y207" i="22"/>
  <c r="X207" i="22"/>
  <c r="W121" i="22"/>
  <c r="V121" i="22"/>
  <c r="W138" i="22"/>
  <c r="V138" i="22"/>
  <c r="W211" i="22"/>
  <c r="V211" i="22"/>
  <c r="W192" i="22"/>
  <c r="V192" i="22"/>
  <c r="Y123" i="22"/>
  <c r="AA123" i="22" s="1"/>
  <c r="AC123" i="22" s="1"/>
  <c r="AE123" i="22" s="1"/>
  <c r="AG123" i="22" s="1"/>
  <c r="AI123" i="22" s="1"/>
  <c r="X123" i="22"/>
  <c r="W223" i="22"/>
  <c r="V223" i="22"/>
  <c r="Y184" i="22"/>
  <c r="X184" i="22"/>
  <c r="W93" i="22"/>
  <c r="V93" i="22"/>
  <c r="W68" i="22"/>
  <c r="V68" i="22"/>
  <c r="W31" i="22"/>
  <c r="V31" i="22"/>
  <c r="W84" i="22"/>
  <c r="V84" i="22"/>
  <c r="W114" i="22"/>
  <c r="V114" i="22"/>
  <c r="W82" i="22"/>
  <c r="V82" i="22"/>
  <c r="W59" i="22"/>
  <c r="V59" i="22"/>
  <c r="W32" i="22"/>
  <c r="V32" i="22"/>
  <c r="W103" i="22"/>
  <c r="Y103" i="22" s="1"/>
  <c r="AA103" i="22" s="1"/>
  <c r="AC103" i="22" s="1"/>
  <c r="AE103" i="22" s="1"/>
  <c r="AG103" i="22" s="1"/>
  <c r="AI103" i="22" s="1"/>
  <c r="V103" i="22"/>
  <c r="W36" i="22"/>
  <c r="V36" i="22"/>
  <c r="W98" i="22"/>
  <c r="V98" i="22"/>
  <c r="W96" i="22"/>
  <c r="V96" i="22"/>
  <c r="W72" i="22"/>
  <c r="V72" i="22"/>
  <c r="W118" i="22"/>
  <c r="V118" i="22"/>
  <c r="W43" i="22"/>
  <c r="Y43" i="22" s="1"/>
  <c r="AA43" i="22" s="1"/>
  <c r="AC43" i="22" s="1"/>
  <c r="AE43" i="22" s="1"/>
  <c r="AG43" i="22" s="1"/>
  <c r="AI43" i="22" s="1"/>
  <c r="V43" i="22"/>
  <c r="W90" i="22"/>
  <c r="V90" i="22"/>
  <c r="W195" i="22"/>
  <c r="V195" i="22"/>
  <c r="Y217" i="22"/>
  <c r="X217" i="22"/>
  <c r="Y203" i="22"/>
  <c r="X203" i="22"/>
  <c r="Y152" i="22"/>
  <c r="X152" i="22"/>
  <c r="W146" i="22"/>
  <c r="V146" i="22"/>
  <c r="W197" i="22"/>
  <c r="V197" i="22"/>
  <c r="Y137" i="22"/>
  <c r="AA137" i="22" s="1"/>
  <c r="AC137" i="22" s="1"/>
  <c r="AE137" i="22" s="1"/>
  <c r="AG137" i="22" s="1"/>
  <c r="AI137" i="22" s="1"/>
  <c r="X137" i="22"/>
  <c r="Y174" i="22"/>
  <c r="X174" i="22"/>
  <c r="Y168" i="22"/>
  <c r="X168" i="22"/>
  <c r="W155" i="22"/>
  <c r="Y155" i="22" s="1"/>
  <c r="AA155" i="22" s="1"/>
  <c r="AC155" i="22" s="1"/>
  <c r="AE155" i="22" s="1"/>
  <c r="AG155" i="22" s="1"/>
  <c r="AI155" i="22" s="1"/>
  <c r="V155" i="22"/>
  <c r="Y122" i="22"/>
  <c r="X122" i="22"/>
  <c r="Y178" i="22"/>
  <c r="X178" i="22"/>
  <c r="Y193" i="22"/>
  <c r="X193" i="22"/>
  <c r="Y136" i="22"/>
  <c r="X136" i="22"/>
  <c r="Y147" i="22"/>
  <c r="AA147" i="22" s="1"/>
  <c r="AC147" i="22" s="1"/>
  <c r="AE147" i="22" s="1"/>
  <c r="AG147" i="22" s="1"/>
  <c r="AI147" i="22" s="1"/>
  <c r="X147" i="22"/>
  <c r="Y205" i="22"/>
  <c r="X205" i="22"/>
  <c r="Y161" i="22"/>
  <c r="AA161" i="22" s="1"/>
  <c r="AC161" i="22" s="1"/>
  <c r="AE161" i="22" s="1"/>
  <c r="AG161" i="22" s="1"/>
  <c r="AI161" i="22" s="1"/>
  <c r="X161" i="22"/>
  <c r="Y209" i="22"/>
  <c r="X209" i="22"/>
  <c r="Y24" i="22"/>
  <c r="AA24" i="22" s="1"/>
  <c r="AC24" i="22" s="1"/>
  <c r="AE24" i="22" s="1"/>
  <c r="AG24" i="22" s="1"/>
  <c r="AI24" i="22" s="1"/>
  <c r="X24" i="22"/>
  <c r="Y27" i="22"/>
  <c r="AA27" i="22" s="1"/>
  <c r="AC27" i="22" s="1"/>
  <c r="AE27" i="22" s="1"/>
  <c r="AG27" i="22" s="1"/>
  <c r="AI27" i="22" s="1"/>
  <c r="X27" i="22"/>
  <c r="W153" i="22"/>
  <c r="V153" i="22"/>
  <c r="Y177" i="22"/>
  <c r="X177" i="22"/>
  <c r="Y190" i="22"/>
  <c r="X190" i="22"/>
  <c r="W127" i="22"/>
  <c r="V127" i="22"/>
  <c r="W149" i="22"/>
  <c r="V149" i="22"/>
  <c r="W213" i="22"/>
  <c r="V213" i="22"/>
  <c r="W128" i="22"/>
  <c r="V128" i="22"/>
  <c r="Y170" i="22"/>
  <c r="X170" i="22"/>
  <c r="Y132" i="22"/>
  <c r="X132" i="22"/>
  <c r="W182" i="22"/>
  <c r="V182" i="22"/>
  <c r="W221" i="22"/>
  <c r="V221" i="22"/>
  <c r="Y194" i="22"/>
  <c r="X194" i="22"/>
  <c r="Y167" i="22"/>
  <c r="AA167" i="22" s="1"/>
  <c r="AC167" i="22" s="1"/>
  <c r="AE167" i="22" s="1"/>
  <c r="AG167" i="22" s="1"/>
  <c r="AI167" i="22" s="1"/>
  <c r="X167" i="22"/>
  <c r="Y10" i="22"/>
  <c r="AA10" i="22" s="1"/>
  <c r="AC10" i="22" s="1"/>
  <c r="AE10" i="22" s="1"/>
  <c r="AG10" i="22" s="1"/>
  <c r="AI10" i="22" s="1"/>
  <c r="X10" i="22"/>
  <c r="W20" i="22"/>
  <c r="V20" i="22"/>
  <c r="Y13" i="22"/>
  <c r="X13" i="22"/>
  <c r="AB237" i="22"/>
  <c r="AB236" i="22"/>
  <c r="AB227" i="22"/>
  <c r="AB226" i="22"/>
  <c r="AB214" i="22"/>
  <c r="AB235" i="22"/>
  <c r="AB233" i="22"/>
  <c r="AB210" i="22"/>
  <c r="AB204" i="22"/>
  <c r="AB234" i="22"/>
  <c r="AB224" i="22"/>
  <c r="AB222" i="22"/>
  <c r="AB208" i="22"/>
  <c r="AB216" i="22"/>
  <c r="AB198" i="22"/>
  <c r="AB229" i="22"/>
  <c r="AB218" i="22"/>
  <c r="AB206" i="22"/>
  <c r="AB220" i="22"/>
  <c r="AB200" i="22"/>
  <c r="AB185" i="22"/>
  <c r="AB173" i="22"/>
  <c r="AB169" i="22"/>
  <c r="AB145" i="22"/>
  <c r="AB143" i="22"/>
  <c r="AB232" i="22"/>
  <c r="AB172" i="22"/>
  <c r="AB167" i="22"/>
  <c r="AB163" i="22"/>
  <c r="AB212" i="22"/>
  <c r="AB196" i="22"/>
  <c r="AB187" i="22"/>
  <c r="AB153" i="22"/>
  <c r="AB140" i="22"/>
  <c r="AB181" i="22"/>
  <c r="AB180" i="22"/>
  <c r="AB189" i="22"/>
  <c r="AB179" i="22"/>
  <c r="AB176" i="22"/>
  <c r="AB175" i="22"/>
  <c r="AB171" i="22"/>
  <c r="AB159" i="22"/>
  <c r="AB157" i="22"/>
  <c r="AB147" i="22"/>
  <c r="AB137" i="22"/>
  <c r="AB131" i="22"/>
  <c r="AB202" i="22"/>
  <c r="AB183" i="22"/>
  <c r="AB155" i="22"/>
  <c r="AB151" i="22"/>
  <c r="AB127" i="22"/>
  <c r="AB126" i="22"/>
  <c r="AB125" i="22"/>
  <c r="AB11" i="22"/>
  <c r="AB142" i="22"/>
  <c r="AB141" i="22"/>
  <c r="AB135" i="22"/>
  <c r="AB192" i="22"/>
  <c r="AB165" i="22"/>
  <c r="AB161" i="22"/>
  <c r="AB139" i="22"/>
  <c r="AB129" i="22"/>
  <c r="AB177" i="22"/>
  <c r="AB134" i="22"/>
  <c r="AB133" i="22"/>
  <c r="AB123" i="22"/>
  <c r="W16" i="22"/>
  <c r="V16" i="22"/>
  <c r="AB113" i="22"/>
  <c r="AB109" i="22"/>
  <c r="AB105" i="22"/>
  <c r="AB101" i="22"/>
  <c r="AB97" i="22"/>
  <c r="AB93" i="22"/>
  <c r="AB119" i="22"/>
  <c r="AB115" i="22"/>
  <c r="AB111" i="22"/>
  <c r="AB107" i="22"/>
  <c r="AB103" i="22"/>
  <c r="AB99" i="22"/>
  <c r="AB95" i="22"/>
  <c r="AB90" i="22"/>
  <c r="AB78" i="22"/>
  <c r="AB91" i="22"/>
  <c r="AB89" i="22"/>
  <c r="AB87" i="22"/>
  <c r="AB85" i="22"/>
  <c r="AB83" i="22"/>
  <c r="AB81" i="22"/>
  <c r="AB79" i="22"/>
  <c r="AB77" i="22"/>
  <c r="AB75" i="22"/>
  <c r="AB73" i="22"/>
  <c r="AB69" i="22"/>
  <c r="AB57" i="22"/>
  <c r="AB100" i="22"/>
  <c r="AB102" i="22"/>
  <c r="AB94" i="22"/>
  <c r="AB54" i="22"/>
  <c r="AB50" i="22"/>
  <c r="AB42" i="22"/>
  <c r="AB38" i="22"/>
  <c r="AB27" i="22"/>
  <c r="AB24" i="22"/>
  <c r="AB21" i="22"/>
  <c r="AB17" i="22"/>
  <c r="AB13" i="22"/>
  <c r="AB10" i="22"/>
  <c r="AD9" i="22"/>
  <c r="AB63" i="22"/>
  <c r="AB55" i="22"/>
  <c r="AB53" i="22"/>
  <c r="AB49" i="22"/>
  <c r="AB47" i="22"/>
  <c r="AB45" i="22"/>
  <c r="AB41" i="22"/>
  <c r="AB39" i="22"/>
  <c r="AB37" i="22"/>
  <c r="AB66" i="22"/>
  <c r="AB16" i="22"/>
  <c r="AB112" i="22"/>
  <c r="AB71" i="22"/>
  <c r="AB67" i="22"/>
  <c r="AB59" i="22"/>
  <c r="AB51" i="22"/>
  <c r="AB43" i="22"/>
  <c r="AB35" i="22"/>
  <c r="AB31" i="22"/>
  <c r="AB23" i="22"/>
  <c r="AB18" i="22"/>
  <c r="AB15" i="22"/>
  <c r="AB22" i="22"/>
  <c r="AB12" i="22"/>
  <c r="AB33" i="22"/>
  <c r="AB28" i="22"/>
  <c r="AB19" i="22"/>
  <c r="AB14" i="22"/>
  <c r="AB25" i="22"/>
  <c r="AB26" i="22"/>
  <c r="J48" i="21"/>
  <c r="L48" i="21" s="1"/>
  <c r="N55" i="21"/>
  <c r="P55" i="21" s="1"/>
  <c r="K50" i="21"/>
  <c r="N113" i="21"/>
  <c r="M113" i="21"/>
  <c r="N118" i="21"/>
  <c r="M118" i="21"/>
  <c r="N105" i="21"/>
  <c r="M105" i="21"/>
  <c r="N117" i="21"/>
  <c r="M117" i="21"/>
  <c r="R33" i="21"/>
  <c r="Q33" i="21"/>
  <c r="Y86" i="21"/>
  <c r="Y80" i="21"/>
  <c r="Y76" i="21"/>
  <c r="Y82" i="21"/>
  <c r="Y78" i="21"/>
  <c r="Y73" i="21"/>
  <c r="Y87" i="21"/>
  <c r="Y72" i="21"/>
  <c r="Y89" i="21"/>
  <c r="Y71" i="21"/>
  <c r="Y55" i="21"/>
  <c r="Y77" i="21"/>
  <c r="Y64" i="21"/>
  <c r="Y44" i="21"/>
  <c r="Y75" i="21"/>
  <c r="Y47" i="21"/>
  <c r="Y45" i="21"/>
  <c r="AA31" i="21"/>
  <c r="Y32" i="21"/>
  <c r="Y74" i="21"/>
  <c r="Y85" i="21"/>
  <c r="Y56" i="21"/>
  <c r="Y46" i="21"/>
  <c r="N103" i="21"/>
  <c r="M103" i="21"/>
  <c r="N100" i="21"/>
  <c r="M100" i="21"/>
  <c r="N112" i="21"/>
  <c r="M112" i="21"/>
  <c r="N109" i="21"/>
  <c r="M109" i="21"/>
  <c r="N116" i="21"/>
  <c r="M116" i="21"/>
  <c r="V81" i="21"/>
  <c r="U81" i="21"/>
  <c r="N108" i="21"/>
  <c r="M108" i="21"/>
  <c r="N115" i="21"/>
  <c r="M115" i="21"/>
  <c r="N119" i="21"/>
  <c r="M119" i="21"/>
  <c r="N121" i="21"/>
  <c r="M121" i="21"/>
  <c r="N122" i="21"/>
  <c r="M122" i="21"/>
  <c r="N120" i="21"/>
  <c r="M120" i="21"/>
  <c r="P42" i="21"/>
  <c r="O42" i="21"/>
  <c r="V79" i="21"/>
  <c r="U79" i="21"/>
  <c r="N106" i="21"/>
  <c r="M106" i="21"/>
  <c r="N110" i="21"/>
  <c r="M110" i="21"/>
  <c r="R92" i="21"/>
  <c r="Q92" i="21"/>
  <c r="N111" i="21"/>
  <c r="M111" i="21"/>
  <c r="N114" i="21"/>
  <c r="M114" i="21"/>
  <c r="N107" i="21"/>
  <c r="M107" i="21"/>
  <c r="N102" i="21"/>
  <c r="M102" i="21"/>
  <c r="N101" i="21"/>
  <c r="M101" i="21"/>
  <c r="N104" i="21"/>
  <c r="M104" i="21"/>
  <c r="N53" i="17"/>
  <c r="P53" i="17" s="1"/>
  <c r="P54" i="17"/>
  <c r="I30" i="20"/>
  <c r="L30" i="20"/>
  <c r="L6" i="20"/>
  <c r="F50" i="20"/>
  <c r="I6" i="20"/>
  <c r="H39" i="20"/>
  <c r="I39" i="20" s="1"/>
  <c r="I10" i="20"/>
  <c r="L10" i="20"/>
  <c r="F56" i="20"/>
  <c r="F43" i="20"/>
  <c r="D23" i="20"/>
  <c r="F9" i="20"/>
  <c r="H53" i="20"/>
  <c r="I53" i="20" s="1"/>
  <c r="H42" i="20"/>
  <c r="I42" i="20" s="1"/>
  <c r="I11" i="20"/>
  <c r="L11" i="20"/>
  <c r="F61" i="20"/>
  <c r="F59" i="20"/>
  <c r="I29" i="20"/>
  <c r="L29" i="20"/>
  <c r="L7" i="20"/>
  <c r="I7" i="20"/>
  <c r="F33" i="20"/>
  <c r="F51" i="20"/>
  <c r="I5" i="20"/>
  <c r="F36" i="20"/>
  <c r="L5" i="20"/>
  <c r="F55" i="20"/>
  <c r="F37" i="20"/>
  <c r="F57" i="20"/>
  <c r="H54" i="20"/>
  <c r="I54" i="20" s="1"/>
  <c r="G26" i="20"/>
  <c r="G24" i="20"/>
  <c r="G25" i="20" s="1"/>
  <c r="I27" i="20"/>
  <c r="L27" i="20"/>
  <c r="I4" i="19"/>
  <c r="D7" i="19"/>
  <c r="D5" i="19"/>
  <c r="G8" i="19"/>
  <c r="G5" i="19" s="1"/>
  <c r="F8" i="19"/>
  <c r="D22" i="19"/>
  <c r="F22" i="19" s="1"/>
  <c r="L22" i="19" s="1"/>
  <c r="D28" i="19"/>
  <c r="F28" i="19" s="1"/>
  <c r="L28" i="19" s="1"/>
  <c r="D61" i="1"/>
  <c r="J46" i="17"/>
  <c r="J47" i="17" s="1"/>
  <c r="J48" i="17" s="1"/>
  <c r="J49" i="17" s="1"/>
  <c r="J44" i="17"/>
  <c r="J43" i="17" s="1"/>
  <c r="J42" i="17" s="1"/>
  <c r="J41" i="17" s="1"/>
  <c r="J40" i="17" s="1"/>
  <c r="J39" i="17" s="1"/>
  <c r="D44" i="17"/>
  <c r="D43" i="17" s="1"/>
  <c r="D42" i="17" s="1"/>
  <c r="D41" i="17" s="1"/>
  <c r="D40" i="17" s="1"/>
  <c r="D39" i="17" s="1"/>
  <c r="P52" i="17"/>
  <c r="P51" i="17"/>
  <c r="I46" i="17"/>
  <c r="I47" i="17" s="1"/>
  <c r="I48" i="17" s="1"/>
  <c r="I49" i="17" s="1"/>
  <c r="I50" i="17" s="1"/>
  <c r="I51" i="17" s="1"/>
  <c r="I52" i="17" s="1"/>
  <c r="P45" i="17"/>
  <c r="P44" i="17"/>
  <c r="N44" i="17"/>
  <c r="N43" i="17" s="1"/>
  <c r="P43" i="17" s="1"/>
  <c r="I44" i="17"/>
  <c r="I43" i="17" s="1"/>
  <c r="I42" i="17" s="1"/>
  <c r="I41" i="17" s="1"/>
  <c r="I40" i="17" s="1"/>
  <c r="I39" i="17" s="1"/>
  <c r="D46" i="17"/>
  <c r="D47" i="17" s="1"/>
  <c r="D48" i="17" s="1"/>
  <c r="D49" i="17" s="1"/>
  <c r="D50" i="17" s="1"/>
  <c r="D52" i="17" s="1"/>
  <c r="O55" i="21" l="1"/>
  <c r="P249" i="16"/>
  <c r="N250" i="16"/>
  <c r="M250" i="16"/>
  <c r="F251" i="16"/>
  <c r="H252" i="16"/>
  <c r="K251" i="16"/>
  <c r="R248" i="16"/>
  <c r="T248" i="16" s="1"/>
  <c r="V248" i="16" s="1"/>
  <c r="X248" i="16" s="1"/>
  <c r="Z248" i="16" s="1"/>
  <c r="AB248" i="16" s="1"/>
  <c r="AD248" i="16" s="1"/>
  <c r="AF248" i="16" s="1"/>
  <c r="AH248" i="16" s="1"/>
  <c r="AJ248" i="16" s="1"/>
  <c r="H36" i="21"/>
  <c r="N36" i="21"/>
  <c r="X67" i="21"/>
  <c r="W67" i="21"/>
  <c r="M54" i="21"/>
  <c r="H54" i="21"/>
  <c r="N54" i="21"/>
  <c r="H55" i="21"/>
  <c r="M55" i="21"/>
  <c r="M59" i="21"/>
  <c r="H59" i="21"/>
  <c r="N59" i="21"/>
  <c r="O35" i="21"/>
  <c r="P35" i="21"/>
  <c r="S34" i="21"/>
  <c r="T34" i="21"/>
  <c r="H56" i="21"/>
  <c r="N56" i="21"/>
  <c r="M56" i="21"/>
  <c r="P51" i="21"/>
  <c r="O51" i="21"/>
  <c r="N53" i="21"/>
  <c r="H53" i="21"/>
  <c r="M53" i="21"/>
  <c r="N37" i="21"/>
  <c r="H37" i="21"/>
  <c r="M37" i="21"/>
  <c r="T40" i="21"/>
  <c r="S40" i="21"/>
  <c r="N57" i="21"/>
  <c r="H57" i="21"/>
  <c r="R23" i="21"/>
  <c r="M57" i="21"/>
  <c r="P43" i="21"/>
  <c r="O43" i="21"/>
  <c r="H61" i="21"/>
  <c r="M61" i="21"/>
  <c r="N61" i="21"/>
  <c r="S60" i="21"/>
  <c r="T60" i="21"/>
  <c r="P62" i="21"/>
  <c r="O62" i="21"/>
  <c r="N39" i="21"/>
  <c r="H39" i="21"/>
  <c r="M39" i="21"/>
  <c r="K48" i="21"/>
  <c r="N48" i="21" s="1"/>
  <c r="P48" i="21" s="1"/>
  <c r="AA228" i="22"/>
  <c r="Z228" i="22"/>
  <c r="AA231" i="22"/>
  <c r="Z231" i="22"/>
  <c r="Y230" i="22"/>
  <c r="X230" i="22"/>
  <c r="AA194" i="22"/>
  <c r="Z194" i="22"/>
  <c r="AA170" i="22"/>
  <c r="Z170" i="22"/>
  <c r="AA209" i="22"/>
  <c r="Z209" i="22"/>
  <c r="AA205" i="22"/>
  <c r="Z205" i="22"/>
  <c r="AA136" i="22"/>
  <c r="Z136" i="22"/>
  <c r="AA178" i="22"/>
  <c r="Z178" i="22"/>
  <c r="AA174" i="22"/>
  <c r="Z174" i="22"/>
  <c r="AA152" i="22"/>
  <c r="Z152" i="22"/>
  <c r="Y90" i="22"/>
  <c r="X90" i="22"/>
  <c r="Y96" i="22"/>
  <c r="X96" i="22"/>
  <c r="Y121" i="22"/>
  <c r="X121" i="22"/>
  <c r="AA158" i="22"/>
  <c r="Z158" i="22"/>
  <c r="Y85" i="22"/>
  <c r="AA85" i="22" s="1"/>
  <c r="AC85" i="22" s="1"/>
  <c r="AE85" i="22" s="1"/>
  <c r="AG85" i="22" s="1"/>
  <c r="AI85" i="22" s="1"/>
  <c r="X85" i="22"/>
  <c r="Y40" i="22"/>
  <c r="X40" i="22"/>
  <c r="Y61" i="22"/>
  <c r="X61" i="22"/>
  <c r="AA154" i="22"/>
  <c r="Z154" i="22"/>
  <c r="Y130" i="22"/>
  <c r="X130" i="22"/>
  <c r="Y124" i="22"/>
  <c r="X124" i="22"/>
  <c r="Y65" i="22"/>
  <c r="X65" i="22"/>
  <c r="Y64" i="22"/>
  <c r="X64" i="22"/>
  <c r="Y117" i="22"/>
  <c r="X117" i="22"/>
  <c r="Y39" i="22"/>
  <c r="AA39" i="22" s="1"/>
  <c r="AC39" i="22" s="1"/>
  <c r="AE39" i="22" s="1"/>
  <c r="AG39" i="22" s="1"/>
  <c r="AI39" i="22" s="1"/>
  <c r="X39" i="22"/>
  <c r="Y182" i="22"/>
  <c r="X182" i="22"/>
  <c r="Y213" i="22"/>
  <c r="X213" i="22"/>
  <c r="Y127" i="22"/>
  <c r="AA127" i="22" s="1"/>
  <c r="AC127" i="22" s="1"/>
  <c r="AE127" i="22" s="1"/>
  <c r="AG127" i="22" s="1"/>
  <c r="AI127" i="22" s="1"/>
  <c r="X127" i="22"/>
  <c r="AA177" i="22"/>
  <c r="AC177" i="22" s="1"/>
  <c r="AE177" i="22" s="1"/>
  <c r="AG177" i="22" s="1"/>
  <c r="AI177" i="22" s="1"/>
  <c r="Z177" i="22"/>
  <c r="Y197" i="22"/>
  <c r="X197" i="22"/>
  <c r="AA217" i="22"/>
  <c r="Z217" i="22"/>
  <c r="Y118" i="22"/>
  <c r="X118" i="22"/>
  <c r="Y36" i="22"/>
  <c r="X36" i="22"/>
  <c r="Y32" i="22"/>
  <c r="X32" i="22"/>
  <c r="Y82" i="22"/>
  <c r="X82" i="22"/>
  <c r="Y84" i="22"/>
  <c r="X84" i="22"/>
  <c r="Y68" i="22"/>
  <c r="X68" i="22"/>
  <c r="AA184" i="22"/>
  <c r="Z184" i="22"/>
  <c r="Y211" i="22"/>
  <c r="X211" i="22"/>
  <c r="AA215" i="22"/>
  <c r="Z215" i="22"/>
  <c r="AA148" i="22"/>
  <c r="Z148" i="22"/>
  <c r="Y144" i="22"/>
  <c r="X144" i="22"/>
  <c r="AA191" i="22"/>
  <c r="Z191" i="22"/>
  <c r="Y57" i="22"/>
  <c r="AA57" i="22" s="1"/>
  <c r="AC57" i="22" s="1"/>
  <c r="AE57" i="22" s="1"/>
  <c r="AG57" i="22" s="1"/>
  <c r="AI57" i="22" s="1"/>
  <c r="X57" i="22"/>
  <c r="Y86" i="22"/>
  <c r="X86" i="22"/>
  <c r="Y106" i="22"/>
  <c r="X106" i="22"/>
  <c r="Y116" i="22"/>
  <c r="X116" i="22"/>
  <c r="Y74" i="22"/>
  <c r="X74" i="22"/>
  <c r="Y66" i="22"/>
  <c r="AA66" i="22" s="1"/>
  <c r="AC66" i="22" s="1"/>
  <c r="AE66" i="22" s="1"/>
  <c r="AG66" i="22" s="1"/>
  <c r="AI66" i="22" s="1"/>
  <c r="X66" i="22"/>
  <c r="Y44" i="22"/>
  <c r="X44" i="22"/>
  <c r="Y30" i="22"/>
  <c r="X30" i="22"/>
  <c r="AA186" i="22"/>
  <c r="Z186" i="22"/>
  <c r="AA225" i="22"/>
  <c r="Z225" i="22"/>
  <c r="Y166" i="22"/>
  <c r="X166" i="22"/>
  <c r="Y58" i="22"/>
  <c r="X58" i="22"/>
  <c r="Y88" i="22"/>
  <c r="X88" i="22"/>
  <c r="Y221" i="22"/>
  <c r="X221" i="22"/>
  <c r="AA132" i="22"/>
  <c r="Z132" i="22"/>
  <c r="Y128" i="22"/>
  <c r="X128" i="22"/>
  <c r="Y149" i="22"/>
  <c r="X149" i="22"/>
  <c r="AA190" i="22"/>
  <c r="Z190" i="22"/>
  <c r="Y153" i="22"/>
  <c r="X153" i="22"/>
  <c r="AA193" i="22"/>
  <c r="Z193" i="22"/>
  <c r="AA122" i="22"/>
  <c r="Z122" i="22"/>
  <c r="AA168" i="22"/>
  <c r="Z168" i="22"/>
  <c r="Y146" i="22"/>
  <c r="X146" i="22"/>
  <c r="AA203" i="22"/>
  <c r="Z203" i="22"/>
  <c r="Y195" i="22"/>
  <c r="X195" i="22"/>
  <c r="Y72" i="22"/>
  <c r="X72" i="22"/>
  <c r="Y98" i="22"/>
  <c r="X98" i="22"/>
  <c r="Y59" i="22"/>
  <c r="AA59" i="22" s="1"/>
  <c r="AC59" i="22" s="1"/>
  <c r="AE59" i="22" s="1"/>
  <c r="AG59" i="22" s="1"/>
  <c r="AI59" i="22" s="1"/>
  <c r="X59" i="22"/>
  <c r="Y114" i="22"/>
  <c r="X114" i="22"/>
  <c r="Y31" i="22"/>
  <c r="AA31" i="22" s="1"/>
  <c r="AC31" i="22" s="1"/>
  <c r="AE31" i="22" s="1"/>
  <c r="AG31" i="22" s="1"/>
  <c r="AI31" i="22" s="1"/>
  <c r="X31" i="22"/>
  <c r="Y93" i="22"/>
  <c r="X93" i="22"/>
  <c r="Y223" i="22"/>
  <c r="X223" i="22"/>
  <c r="Y192" i="22"/>
  <c r="X192" i="22"/>
  <c r="Y138" i="22"/>
  <c r="X138" i="22"/>
  <c r="AA207" i="22"/>
  <c r="Z207" i="22"/>
  <c r="AA150" i="22"/>
  <c r="Z150" i="22"/>
  <c r="Y164" i="22"/>
  <c r="X164" i="22"/>
  <c r="AA156" i="22"/>
  <c r="Z156" i="22"/>
  <c r="Y173" i="22"/>
  <c r="X173" i="22"/>
  <c r="AA219" i="22"/>
  <c r="Z219" i="22"/>
  <c r="Y76" i="22"/>
  <c r="X76" i="22"/>
  <c r="Y70" i="22"/>
  <c r="X70" i="22"/>
  <c r="Y78" i="22"/>
  <c r="AA78" i="22" s="1"/>
  <c r="AC78" i="22" s="1"/>
  <c r="AE78" i="22" s="1"/>
  <c r="AG78" i="22" s="1"/>
  <c r="AI78" i="22" s="1"/>
  <c r="X78" i="22"/>
  <c r="Y77" i="22"/>
  <c r="AA77" i="22" s="1"/>
  <c r="AC77" i="22" s="1"/>
  <c r="AE77" i="22" s="1"/>
  <c r="AG77" i="22" s="1"/>
  <c r="AI77" i="22" s="1"/>
  <c r="X77" i="22"/>
  <c r="Y46" i="22"/>
  <c r="X46" i="22"/>
  <c r="Y104" i="22"/>
  <c r="X104" i="22"/>
  <c r="Y108" i="22"/>
  <c r="X108" i="22"/>
  <c r="Y34" i="22"/>
  <c r="X34" i="22"/>
  <c r="Y107" i="22"/>
  <c r="AA107" i="22" s="1"/>
  <c r="AC107" i="22" s="1"/>
  <c r="AE107" i="22" s="1"/>
  <c r="AG107" i="22" s="1"/>
  <c r="AI107" i="22" s="1"/>
  <c r="X107" i="22"/>
  <c r="Y92" i="22"/>
  <c r="X92" i="22"/>
  <c r="Y101" i="22"/>
  <c r="X101" i="22"/>
  <c r="Y60" i="22"/>
  <c r="X60" i="22"/>
  <c r="Y48" i="22"/>
  <c r="X48" i="22"/>
  <c r="Y67" i="22"/>
  <c r="AA67" i="22" s="1"/>
  <c r="AC67" i="22" s="1"/>
  <c r="AE67" i="22" s="1"/>
  <c r="AG67" i="22" s="1"/>
  <c r="AI67" i="22" s="1"/>
  <c r="X67" i="22"/>
  <c r="Y105" i="22"/>
  <c r="X105" i="22"/>
  <c r="AA199" i="22"/>
  <c r="Z199" i="22"/>
  <c r="AA162" i="22"/>
  <c r="Z162" i="22"/>
  <c r="Y120" i="22"/>
  <c r="X120" i="22"/>
  <c r="AA188" i="22"/>
  <c r="Z188" i="22"/>
  <c r="AA160" i="22"/>
  <c r="Z160" i="22"/>
  <c r="AA201" i="22"/>
  <c r="Z201" i="22"/>
  <c r="Y109" i="22"/>
  <c r="AA109" i="22" s="1"/>
  <c r="AC109" i="22" s="1"/>
  <c r="AE109" i="22" s="1"/>
  <c r="AG109" i="22" s="1"/>
  <c r="AI109" i="22" s="1"/>
  <c r="X109" i="22"/>
  <c r="Y56" i="22"/>
  <c r="X56" i="22"/>
  <c r="Y29" i="22"/>
  <c r="X29" i="22"/>
  <c r="Y52" i="22"/>
  <c r="X52" i="22"/>
  <c r="Y80" i="22"/>
  <c r="X80" i="22"/>
  <c r="Y62" i="22"/>
  <c r="X62" i="22"/>
  <c r="Y110" i="22"/>
  <c r="X110" i="22"/>
  <c r="AD235" i="22"/>
  <c r="AD234" i="22"/>
  <c r="AD229" i="22"/>
  <c r="AD225" i="22"/>
  <c r="AD219" i="22"/>
  <c r="AD218" i="22"/>
  <c r="AD230" i="22"/>
  <c r="AD224" i="22"/>
  <c r="AD222" i="22"/>
  <c r="AD209" i="22"/>
  <c r="AD208" i="22"/>
  <c r="AD202" i="22"/>
  <c r="AD237" i="22"/>
  <c r="AD232" i="22"/>
  <c r="AD228" i="22"/>
  <c r="AD226" i="22"/>
  <c r="AD216" i="22"/>
  <c r="AD214" i="22"/>
  <c r="AD212" i="22"/>
  <c r="AD207" i="22"/>
  <c r="AD206" i="22"/>
  <c r="AD236" i="22"/>
  <c r="AD233" i="22"/>
  <c r="AD213" i="22"/>
  <c r="AD204" i="22"/>
  <c r="AD194" i="22"/>
  <c r="AD189" i="22"/>
  <c r="AD227" i="22"/>
  <c r="AD215" i="22"/>
  <c r="AD196" i="22"/>
  <c r="AD193" i="22"/>
  <c r="AD192" i="22"/>
  <c r="AD231" i="22"/>
  <c r="AD223" i="22"/>
  <c r="AD221" i="22"/>
  <c r="AD198" i="22"/>
  <c r="AD191" i="22"/>
  <c r="AD178" i="22"/>
  <c r="AD172" i="22"/>
  <c r="AD167" i="22"/>
  <c r="AD163" i="22"/>
  <c r="AD148" i="22"/>
  <c r="AD220" i="22"/>
  <c r="AD183" i="22"/>
  <c r="AD181" i="22"/>
  <c r="AD177" i="22"/>
  <c r="AD176" i="22"/>
  <c r="AD165" i="22"/>
  <c r="AD161" i="22"/>
  <c r="AD153" i="22"/>
  <c r="AD147" i="22"/>
  <c r="AD217" i="22"/>
  <c r="AD200" i="22"/>
  <c r="AD179" i="22"/>
  <c r="AD175" i="22"/>
  <c r="AD171" i="22"/>
  <c r="AD170" i="22"/>
  <c r="AD159" i="22"/>
  <c r="AD157" i="22"/>
  <c r="AD149" i="22"/>
  <c r="AD143" i="22"/>
  <c r="AD137" i="22"/>
  <c r="AD131" i="22"/>
  <c r="AD130" i="22"/>
  <c r="AD185" i="22"/>
  <c r="AD180" i="22"/>
  <c r="AD142" i="22"/>
  <c r="AD135" i="22"/>
  <c r="AD134" i="22"/>
  <c r="AD129" i="22"/>
  <c r="AD127" i="22"/>
  <c r="AD126" i="22"/>
  <c r="AD123" i="22"/>
  <c r="AD146" i="22"/>
  <c r="AD145" i="22"/>
  <c r="AD140" i="22"/>
  <c r="AD139" i="22"/>
  <c r="AD11" i="22"/>
  <c r="AD173" i="22"/>
  <c r="AD187" i="22"/>
  <c r="AD155" i="22"/>
  <c r="AD151" i="22"/>
  <c r="AD150" i="22"/>
  <c r="AD125" i="22"/>
  <c r="AD210" i="22"/>
  <c r="AD141" i="22"/>
  <c r="AD133" i="22"/>
  <c r="AD122" i="22"/>
  <c r="AD169" i="22"/>
  <c r="Y20" i="22"/>
  <c r="X20" i="22"/>
  <c r="Y16" i="22"/>
  <c r="X16" i="22"/>
  <c r="AA13" i="22"/>
  <c r="AC13" i="22" s="1"/>
  <c r="AE13" i="22" s="1"/>
  <c r="AG13" i="22" s="1"/>
  <c r="AI13" i="22" s="1"/>
  <c r="Z13" i="22"/>
  <c r="AD119" i="22"/>
  <c r="AD115" i="22"/>
  <c r="AD111" i="22"/>
  <c r="AD107" i="22"/>
  <c r="AD103" i="22"/>
  <c r="AD99" i="22"/>
  <c r="AD95" i="22"/>
  <c r="AD113" i="22"/>
  <c r="AD109" i="22"/>
  <c r="AD105" i="22"/>
  <c r="AD101" i="22"/>
  <c r="AD102" i="22"/>
  <c r="AD94" i="22"/>
  <c r="AD84" i="22"/>
  <c r="AD117" i="22"/>
  <c r="AD100" i="22"/>
  <c r="AD97" i="22"/>
  <c r="AD71" i="22"/>
  <c r="AD67" i="22"/>
  <c r="AD63" i="22"/>
  <c r="AD59" i="22"/>
  <c r="AD90" i="22"/>
  <c r="AD78" i="22"/>
  <c r="AD74" i="22"/>
  <c r="AD66" i="22"/>
  <c r="AD62" i="22"/>
  <c r="AD54" i="22"/>
  <c r="AD50" i="22"/>
  <c r="AD42" i="22"/>
  <c r="AD38" i="22"/>
  <c r="AD87" i="22"/>
  <c r="AD85" i="22"/>
  <c r="AD79" i="22"/>
  <c r="AD77" i="22"/>
  <c r="AD53" i="22"/>
  <c r="AD49" i="22"/>
  <c r="AD45" i="22"/>
  <c r="AD41" i="22"/>
  <c r="AD37" i="22"/>
  <c r="AD33" i="22"/>
  <c r="AD26" i="22"/>
  <c r="AD23" i="22"/>
  <c r="AD19" i="22"/>
  <c r="AD15" i="22"/>
  <c r="AD12" i="22"/>
  <c r="AD81" i="22"/>
  <c r="AD112" i="22"/>
  <c r="AD93" i="22"/>
  <c r="AD55" i="22"/>
  <c r="AD51" i="22"/>
  <c r="AD47" i="22"/>
  <c r="AD43" i="22"/>
  <c r="AD39" i="22"/>
  <c r="AD35" i="22"/>
  <c r="AD31" i="22"/>
  <c r="AD28" i="22"/>
  <c r="AD25" i="22"/>
  <c r="AD22" i="22"/>
  <c r="AD18" i="22"/>
  <c r="AD14" i="22"/>
  <c r="AD91" i="22"/>
  <c r="AD89" i="22"/>
  <c r="AD83" i="22"/>
  <c r="AD75" i="22"/>
  <c r="AD24" i="22"/>
  <c r="AD10" i="22"/>
  <c r="AD69" i="22"/>
  <c r="AD27" i="22"/>
  <c r="AF9" i="22"/>
  <c r="AD73" i="22"/>
  <c r="AD65" i="22"/>
  <c r="AD57" i="22"/>
  <c r="AD21" i="22"/>
  <c r="AD118" i="22"/>
  <c r="AD17" i="22"/>
  <c r="AD61" i="22"/>
  <c r="AD16" i="22"/>
  <c r="AD13" i="22"/>
  <c r="N50" i="21"/>
  <c r="M50" i="21"/>
  <c r="P121" i="21"/>
  <c r="O121" i="21"/>
  <c r="P109" i="21"/>
  <c r="O109" i="21"/>
  <c r="P117" i="21"/>
  <c r="O117" i="21"/>
  <c r="P107" i="21"/>
  <c r="O107" i="21"/>
  <c r="R55" i="21"/>
  <c r="Q55" i="21"/>
  <c r="P110" i="21"/>
  <c r="O110" i="21"/>
  <c r="X79" i="21"/>
  <c r="W79" i="21"/>
  <c r="P122" i="21"/>
  <c r="O122" i="21"/>
  <c r="P119" i="21"/>
  <c r="O119" i="21"/>
  <c r="P108" i="21"/>
  <c r="O108" i="21"/>
  <c r="P116" i="21"/>
  <c r="O116" i="21"/>
  <c r="P112" i="21"/>
  <c r="O112" i="21"/>
  <c r="P103" i="21"/>
  <c r="O103" i="21"/>
  <c r="P105" i="21"/>
  <c r="O105" i="21"/>
  <c r="P113" i="21"/>
  <c r="O113" i="21"/>
  <c r="P120" i="21"/>
  <c r="O120" i="21"/>
  <c r="P115" i="21"/>
  <c r="O115" i="21"/>
  <c r="P100" i="21"/>
  <c r="O100" i="21"/>
  <c r="P118" i="21"/>
  <c r="O118" i="21"/>
  <c r="P101" i="21"/>
  <c r="O101" i="21"/>
  <c r="P111" i="21"/>
  <c r="O111" i="21"/>
  <c r="AA82" i="21"/>
  <c r="AA78" i="21"/>
  <c r="AA77" i="21"/>
  <c r="AA75" i="21"/>
  <c r="AA85" i="21"/>
  <c r="AA74" i="21"/>
  <c r="AA73" i="21"/>
  <c r="AA61" i="21"/>
  <c r="AA53" i="21"/>
  <c r="AA86" i="21"/>
  <c r="AA76" i="21"/>
  <c r="AA72" i="21"/>
  <c r="AA60" i="21"/>
  <c r="AA56" i="21"/>
  <c r="AA52" i="21"/>
  <c r="AA51" i="21"/>
  <c r="AA46" i="21"/>
  <c r="AA50" i="21"/>
  <c r="AA44" i="21"/>
  <c r="AA32" i="21"/>
  <c r="AA71" i="21"/>
  <c r="AA48" i="21"/>
  <c r="AA87" i="21"/>
  <c r="AA80" i="21"/>
  <c r="AA64" i="21"/>
  <c r="AA54" i="21"/>
  <c r="AA45" i="21"/>
  <c r="AA89" i="21"/>
  <c r="AA47" i="21"/>
  <c r="AC31" i="21"/>
  <c r="AA55" i="21"/>
  <c r="T33" i="21"/>
  <c r="S33" i="21"/>
  <c r="P104" i="21"/>
  <c r="O104" i="21"/>
  <c r="P102" i="21"/>
  <c r="O102" i="21"/>
  <c r="P114" i="21"/>
  <c r="O114" i="21"/>
  <c r="T92" i="21"/>
  <c r="S92" i="21"/>
  <c r="P106" i="21"/>
  <c r="O106" i="21"/>
  <c r="R42" i="21"/>
  <c r="Q42" i="21"/>
  <c r="X81" i="21"/>
  <c r="W81" i="21"/>
  <c r="N42" i="17"/>
  <c r="P42" i="17" s="1"/>
  <c r="H37" i="20"/>
  <c r="I37" i="20" s="1"/>
  <c r="H36" i="20"/>
  <c r="I36" i="20" s="1"/>
  <c r="H51" i="20"/>
  <c r="I51" i="20" s="1"/>
  <c r="H43" i="20"/>
  <c r="I43" i="20" s="1"/>
  <c r="H55" i="20"/>
  <c r="I55" i="20" s="1"/>
  <c r="H59" i="20"/>
  <c r="I59" i="20" s="1"/>
  <c r="H56" i="20"/>
  <c r="I56" i="20" s="1"/>
  <c r="H33" i="20"/>
  <c r="I33" i="20" s="1"/>
  <c r="H61" i="20"/>
  <c r="I61" i="20" s="1"/>
  <c r="F48" i="20"/>
  <c r="I9" i="20"/>
  <c r="L9" i="20"/>
  <c r="H50" i="20"/>
  <c r="I50" i="20" s="1"/>
  <c r="H57" i="20"/>
  <c r="I57" i="20" s="1"/>
  <c r="D25" i="20"/>
  <c r="F25" i="20" s="1"/>
  <c r="F23" i="20"/>
  <c r="D26" i="20"/>
  <c r="F26" i="20" s="1"/>
  <c r="D24" i="20"/>
  <c r="F24" i="20" s="1"/>
  <c r="L8" i="19"/>
  <c r="G9" i="19"/>
  <c r="G23" i="19" s="1"/>
  <c r="G10" i="19"/>
  <c r="G11" i="19" s="1"/>
  <c r="G29" i="19"/>
  <c r="G30" i="19" s="1"/>
  <c r="G6" i="19"/>
  <c r="D6" i="19"/>
  <c r="F6" i="19" s="1"/>
  <c r="F5" i="19"/>
  <c r="L5" i="19" s="1"/>
  <c r="G7" i="19"/>
  <c r="G27" i="19" s="1"/>
  <c r="F7" i="19"/>
  <c r="D27" i="19"/>
  <c r="F27" i="19" s="1"/>
  <c r="I28" i="19"/>
  <c r="D9" i="19"/>
  <c r="D11" i="19"/>
  <c r="F11" i="19" s="1"/>
  <c r="D30" i="19"/>
  <c r="F30" i="19" s="1"/>
  <c r="D10" i="19"/>
  <c r="F10" i="19" s="1"/>
  <c r="I22" i="19"/>
  <c r="J51" i="17"/>
  <c r="J50" i="17"/>
  <c r="J52" i="17" s="1"/>
  <c r="N41" i="17"/>
  <c r="D51" i="17"/>
  <c r="N47" i="17"/>
  <c r="P46" i="17"/>
  <c r="L92" i="8"/>
  <c r="L92" i="7"/>
  <c r="L92" i="1"/>
  <c r="L93" i="9"/>
  <c r="N251" i="16" l="1"/>
  <c r="M251" i="16"/>
  <c r="F252" i="16"/>
  <c r="H253" i="16"/>
  <c r="K252" i="16"/>
  <c r="P250" i="16"/>
  <c r="R249" i="16"/>
  <c r="T249" i="16" s="1"/>
  <c r="V249" i="16" s="1"/>
  <c r="X249" i="16" s="1"/>
  <c r="Z249" i="16" s="1"/>
  <c r="AB249" i="16" s="1"/>
  <c r="AD249" i="16" s="1"/>
  <c r="AF249" i="16" s="1"/>
  <c r="AH249" i="16" s="1"/>
  <c r="AJ249" i="16" s="1"/>
  <c r="O36" i="21"/>
  <c r="P36" i="21"/>
  <c r="O54" i="21"/>
  <c r="P54" i="21"/>
  <c r="Z67" i="21"/>
  <c r="Y67" i="21"/>
  <c r="R62" i="21"/>
  <c r="Q62" i="21"/>
  <c r="P37" i="21"/>
  <c r="O37" i="21"/>
  <c r="U60" i="21"/>
  <c r="V60" i="21"/>
  <c r="D91" i="21"/>
  <c r="F91" i="21" s="1"/>
  <c r="K91" i="21" s="1"/>
  <c r="D23" i="21"/>
  <c r="V40" i="21"/>
  <c r="U40" i="21"/>
  <c r="R51" i="21"/>
  <c r="Q51" i="21"/>
  <c r="V34" i="21"/>
  <c r="U34" i="21"/>
  <c r="P59" i="21"/>
  <c r="O59" i="21"/>
  <c r="P39" i="21"/>
  <c r="O39" i="21"/>
  <c r="P61" i="21"/>
  <c r="O61" i="21"/>
  <c r="R43" i="21"/>
  <c r="Q43" i="21"/>
  <c r="O57" i="21"/>
  <c r="P57" i="21"/>
  <c r="P53" i="21"/>
  <c r="O53" i="21"/>
  <c r="P56" i="21"/>
  <c r="O56" i="21"/>
  <c r="R35" i="21"/>
  <c r="Q35" i="21"/>
  <c r="O48" i="21"/>
  <c r="H48" i="21"/>
  <c r="M48" i="21"/>
  <c r="AC231" i="22"/>
  <c r="AE231" i="22" s="1"/>
  <c r="AG231" i="22" s="1"/>
  <c r="AI231" i="22" s="1"/>
  <c r="AB231" i="22"/>
  <c r="AA230" i="22"/>
  <c r="Z230" i="22"/>
  <c r="AC228" i="22"/>
  <c r="AE228" i="22" s="1"/>
  <c r="AG228" i="22" s="1"/>
  <c r="AI228" i="22" s="1"/>
  <c r="AB228" i="22"/>
  <c r="AC160" i="22"/>
  <c r="AB160" i="22"/>
  <c r="AA120" i="22"/>
  <c r="Z120" i="22"/>
  <c r="AC199" i="22"/>
  <c r="AB199" i="22"/>
  <c r="AC219" i="22"/>
  <c r="AE219" i="22" s="1"/>
  <c r="AG219" i="22" s="1"/>
  <c r="AI219" i="22" s="1"/>
  <c r="AB219" i="22"/>
  <c r="AC150" i="22"/>
  <c r="AE150" i="22" s="1"/>
  <c r="AG150" i="22" s="1"/>
  <c r="AI150" i="22" s="1"/>
  <c r="AB150" i="22"/>
  <c r="AA223" i="22"/>
  <c r="Z223" i="22"/>
  <c r="AC203" i="22"/>
  <c r="AB203" i="22"/>
  <c r="AC193" i="22"/>
  <c r="AE193" i="22" s="1"/>
  <c r="AG193" i="22" s="1"/>
  <c r="AI193" i="22" s="1"/>
  <c r="AB193" i="22"/>
  <c r="AA128" i="22"/>
  <c r="Z128" i="22"/>
  <c r="AA221" i="22"/>
  <c r="Z221" i="22"/>
  <c r="AA58" i="22"/>
  <c r="Z58" i="22"/>
  <c r="AC225" i="22"/>
  <c r="AE225" i="22" s="1"/>
  <c r="AG225" i="22" s="1"/>
  <c r="AI225" i="22" s="1"/>
  <c r="AB225" i="22"/>
  <c r="AA30" i="22"/>
  <c r="Z30" i="22"/>
  <c r="AA116" i="22"/>
  <c r="Z116" i="22"/>
  <c r="AC191" i="22"/>
  <c r="AE191" i="22" s="1"/>
  <c r="AG191" i="22" s="1"/>
  <c r="AI191" i="22" s="1"/>
  <c r="AB191" i="22"/>
  <c r="AA211" i="22"/>
  <c r="Z211" i="22"/>
  <c r="AA82" i="22"/>
  <c r="Z82" i="22"/>
  <c r="AC217" i="22"/>
  <c r="AE217" i="22" s="1"/>
  <c r="AG217" i="22" s="1"/>
  <c r="AI217" i="22" s="1"/>
  <c r="AB217" i="22"/>
  <c r="AA124" i="22"/>
  <c r="Z124" i="22"/>
  <c r="AC154" i="22"/>
  <c r="AB154" i="22"/>
  <c r="AC158" i="22"/>
  <c r="AB158" i="22"/>
  <c r="AC178" i="22"/>
  <c r="AE178" i="22" s="1"/>
  <c r="AG178" i="22" s="1"/>
  <c r="AI178" i="22" s="1"/>
  <c r="AB178" i="22"/>
  <c r="AC205" i="22"/>
  <c r="AB205" i="22"/>
  <c r="AA110" i="22"/>
  <c r="Z110" i="22"/>
  <c r="AA80" i="22"/>
  <c r="Z80" i="22"/>
  <c r="AA29" i="22"/>
  <c r="Z29" i="22"/>
  <c r="AA60" i="22"/>
  <c r="Z60" i="22"/>
  <c r="AA92" i="22"/>
  <c r="Z92" i="22"/>
  <c r="AA34" i="22"/>
  <c r="Z34" i="22"/>
  <c r="AA104" i="22"/>
  <c r="Z104" i="22"/>
  <c r="AA70" i="22"/>
  <c r="Z70" i="22"/>
  <c r="AC156" i="22"/>
  <c r="AB156" i="22"/>
  <c r="AA138" i="22"/>
  <c r="Z138" i="22"/>
  <c r="AA72" i="22"/>
  <c r="Z72" i="22"/>
  <c r="AC168" i="22"/>
  <c r="AB168" i="22"/>
  <c r="AC190" i="22"/>
  <c r="AB190" i="22"/>
  <c r="AA86" i="22"/>
  <c r="Z86" i="22"/>
  <c r="AC148" i="22"/>
  <c r="AE148" i="22" s="1"/>
  <c r="AG148" i="22" s="1"/>
  <c r="AI148" i="22" s="1"/>
  <c r="AB148" i="22"/>
  <c r="AA68" i="22"/>
  <c r="Z68" i="22"/>
  <c r="AA36" i="22"/>
  <c r="Z36" i="22"/>
  <c r="AA213" i="22"/>
  <c r="Z213" i="22"/>
  <c r="AA64" i="22"/>
  <c r="Z64" i="22"/>
  <c r="AA40" i="22"/>
  <c r="Z40" i="22"/>
  <c r="AA96" i="22"/>
  <c r="Z96" i="22"/>
  <c r="AC152" i="22"/>
  <c r="AB152" i="22"/>
  <c r="AC170" i="22"/>
  <c r="AE170" i="22" s="1"/>
  <c r="AG170" i="22" s="1"/>
  <c r="AI170" i="22" s="1"/>
  <c r="AB170" i="22"/>
  <c r="AA62" i="22"/>
  <c r="Z62" i="22"/>
  <c r="AA52" i="22"/>
  <c r="Z52" i="22"/>
  <c r="AA56" i="22"/>
  <c r="Z56" i="22"/>
  <c r="AC201" i="22"/>
  <c r="AB201" i="22"/>
  <c r="AC188" i="22"/>
  <c r="AB188" i="22"/>
  <c r="AC162" i="22"/>
  <c r="AB162" i="22"/>
  <c r="AA105" i="22"/>
  <c r="AC105" i="22" s="1"/>
  <c r="AE105" i="22" s="1"/>
  <c r="AG105" i="22" s="1"/>
  <c r="AI105" i="22" s="1"/>
  <c r="Z105" i="22"/>
  <c r="AA48" i="22"/>
  <c r="Z48" i="22"/>
  <c r="AA101" i="22"/>
  <c r="AC101" i="22" s="1"/>
  <c r="AE101" i="22" s="1"/>
  <c r="AG101" i="22" s="1"/>
  <c r="AI101" i="22" s="1"/>
  <c r="Z101" i="22"/>
  <c r="AA108" i="22"/>
  <c r="Z108" i="22"/>
  <c r="AA46" i="22"/>
  <c r="Z46" i="22"/>
  <c r="AA76" i="22"/>
  <c r="Z76" i="22"/>
  <c r="AA173" i="22"/>
  <c r="AC173" i="22" s="1"/>
  <c r="AE173" i="22" s="1"/>
  <c r="AG173" i="22" s="1"/>
  <c r="AI173" i="22" s="1"/>
  <c r="Z173" i="22"/>
  <c r="AA164" i="22"/>
  <c r="Z164" i="22"/>
  <c r="AC207" i="22"/>
  <c r="AE207" i="22" s="1"/>
  <c r="AG207" i="22" s="1"/>
  <c r="AI207" i="22" s="1"/>
  <c r="AB207" i="22"/>
  <c r="AA192" i="22"/>
  <c r="AC192" i="22" s="1"/>
  <c r="AE192" i="22" s="1"/>
  <c r="AG192" i="22" s="1"/>
  <c r="AI192" i="22" s="1"/>
  <c r="Z192" i="22"/>
  <c r="AA93" i="22"/>
  <c r="AC93" i="22" s="1"/>
  <c r="AE93" i="22" s="1"/>
  <c r="AG93" i="22" s="1"/>
  <c r="AI93" i="22" s="1"/>
  <c r="Z93" i="22"/>
  <c r="AA114" i="22"/>
  <c r="Z114" i="22"/>
  <c r="AA98" i="22"/>
  <c r="Z98" i="22"/>
  <c r="AA195" i="22"/>
  <c r="Z195" i="22"/>
  <c r="AA146" i="22"/>
  <c r="Z146" i="22"/>
  <c r="AC122" i="22"/>
  <c r="AE122" i="22" s="1"/>
  <c r="AG122" i="22" s="1"/>
  <c r="AI122" i="22" s="1"/>
  <c r="AB122" i="22"/>
  <c r="AA153" i="22"/>
  <c r="AC153" i="22" s="1"/>
  <c r="AE153" i="22" s="1"/>
  <c r="AG153" i="22" s="1"/>
  <c r="AI153" i="22" s="1"/>
  <c r="Z153" i="22"/>
  <c r="AA149" i="22"/>
  <c r="Z149" i="22"/>
  <c r="AC132" i="22"/>
  <c r="AB132" i="22"/>
  <c r="AA88" i="22"/>
  <c r="Z88" i="22"/>
  <c r="AA166" i="22"/>
  <c r="Z166" i="22"/>
  <c r="AC186" i="22"/>
  <c r="AB186" i="22"/>
  <c r="AA44" i="22"/>
  <c r="Z44" i="22"/>
  <c r="AA74" i="22"/>
  <c r="Z74" i="22"/>
  <c r="AA106" i="22"/>
  <c r="Z106" i="22"/>
  <c r="AA144" i="22"/>
  <c r="Z144" i="22"/>
  <c r="AC215" i="22"/>
  <c r="AE215" i="22" s="1"/>
  <c r="AG215" i="22" s="1"/>
  <c r="AI215" i="22" s="1"/>
  <c r="AB215" i="22"/>
  <c r="AC184" i="22"/>
  <c r="AB184" i="22"/>
  <c r="AA84" i="22"/>
  <c r="Z84" i="22"/>
  <c r="AA32" i="22"/>
  <c r="Z32" i="22"/>
  <c r="AA118" i="22"/>
  <c r="Z118" i="22"/>
  <c r="AA197" i="22"/>
  <c r="Z197" i="22"/>
  <c r="AA182" i="22"/>
  <c r="Z182" i="22"/>
  <c r="AA117" i="22"/>
  <c r="Z117" i="22"/>
  <c r="AA65" i="22"/>
  <c r="Z65" i="22"/>
  <c r="AA130" i="22"/>
  <c r="Z130" i="22"/>
  <c r="AA61" i="22"/>
  <c r="Z61" i="22"/>
  <c r="AA121" i="22"/>
  <c r="Z121" i="22"/>
  <c r="AA90" i="22"/>
  <c r="AC90" i="22" s="1"/>
  <c r="AE90" i="22" s="1"/>
  <c r="AG90" i="22" s="1"/>
  <c r="AI90" i="22" s="1"/>
  <c r="Z90" i="22"/>
  <c r="AC174" i="22"/>
  <c r="AB174" i="22"/>
  <c r="AC136" i="22"/>
  <c r="AB136" i="22"/>
  <c r="AC209" i="22"/>
  <c r="AE209" i="22" s="1"/>
  <c r="AG209" i="22" s="1"/>
  <c r="AI209" i="22" s="1"/>
  <c r="AB209" i="22"/>
  <c r="AC194" i="22"/>
  <c r="AE194" i="22" s="1"/>
  <c r="AG194" i="22" s="1"/>
  <c r="AI194" i="22" s="1"/>
  <c r="AB194" i="22"/>
  <c r="AF233" i="22"/>
  <c r="AF224" i="22"/>
  <c r="AF223" i="22"/>
  <c r="AF217" i="22"/>
  <c r="AF216" i="22"/>
  <c r="AF213" i="22"/>
  <c r="AF237" i="22"/>
  <c r="AF234" i="22"/>
  <c r="AF232" i="22"/>
  <c r="AF228" i="22"/>
  <c r="AF226" i="22"/>
  <c r="AF219" i="22"/>
  <c r="AF214" i="22"/>
  <c r="AF212" i="22"/>
  <c r="AF207" i="22"/>
  <c r="AF206" i="22"/>
  <c r="AF236" i="22"/>
  <c r="AF229" i="22"/>
  <c r="AF221" i="22"/>
  <c r="AF220" i="22"/>
  <c r="AF218" i="22"/>
  <c r="AF205" i="22"/>
  <c r="AF230" i="22"/>
  <c r="AF227" i="22"/>
  <c r="AF225" i="22"/>
  <c r="AF215" i="22"/>
  <c r="AF209" i="22"/>
  <c r="AF196" i="22"/>
  <c r="AF193" i="22"/>
  <c r="AF192" i="22"/>
  <c r="AF235" i="22"/>
  <c r="AF222" i="22"/>
  <c r="AF210" i="22"/>
  <c r="AF203" i="22"/>
  <c r="AF202" i="22"/>
  <c r="AF200" i="22"/>
  <c r="AF204" i="22"/>
  <c r="AF194" i="22"/>
  <c r="AF211" i="22"/>
  <c r="AF183" i="22"/>
  <c r="AF181" i="22"/>
  <c r="AF177" i="22"/>
  <c r="AF176" i="22"/>
  <c r="AF165" i="22"/>
  <c r="AF161" i="22"/>
  <c r="AF153" i="22"/>
  <c r="AF147" i="22"/>
  <c r="AF144" i="22"/>
  <c r="AF189" i="22"/>
  <c r="AF187" i="22"/>
  <c r="AF180" i="22"/>
  <c r="AF179" i="22"/>
  <c r="AF175" i="22"/>
  <c r="AF171" i="22"/>
  <c r="AF166" i="22"/>
  <c r="AF164" i="22"/>
  <c r="AF159" i="22"/>
  <c r="AF157" i="22"/>
  <c r="AF155" i="22"/>
  <c r="AF151" i="22"/>
  <c r="AF146" i="22"/>
  <c r="AF231" i="22"/>
  <c r="AF185" i="22"/>
  <c r="AF172" i="22"/>
  <c r="AF163" i="22"/>
  <c r="AF142" i="22"/>
  <c r="AF135" i="22"/>
  <c r="AF134" i="22"/>
  <c r="AF129" i="22"/>
  <c r="AF127" i="22"/>
  <c r="AF126" i="22"/>
  <c r="AF123" i="22"/>
  <c r="AF191" i="22"/>
  <c r="AF190" i="22"/>
  <c r="AF182" i="22"/>
  <c r="AF173" i="22"/>
  <c r="AF169" i="22"/>
  <c r="AF150" i="22"/>
  <c r="AF141" i="22"/>
  <c r="AF139" i="22"/>
  <c r="AF133" i="22"/>
  <c r="AF125" i="22"/>
  <c r="AF124" i="22"/>
  <c r="AF122" i="22"/>
  <c r="AF11" i="22"/>
  <c r="AF208" i="22"/>
  <c r="AF198" i="22"/>
  <c r="AF136" i="22"/>
  <c r="AF132" i="22"/>
  <c r="AF128" i="22"/>
  <c r="AF178" i="22"/>
  <c r="AF174" i="22"/>
  <c r="AF170" i="22"/>
  <c r="AF149" i="22"/>
  <c r="AF148" i="22"/>
  <c r="AF145" i="22"/>
  <c r="AF143" i="22"/>
  <c r="AF140" i="22"/>
  <c r="AF138" i="22"/>
  <c r="AF131" i="22"/>
  <c r="AF167" i="22"/>
  <c r="AF130" i="22"/>
  <c r="AF168" i="22"/>
  <c r="AF158" i="22"/>
  <c r="AF137" i="22"/>
  <c r="AA20" i="22"/>
  <c r="Z20" i="22"/>
  <c r="AA16" i="22"/>
  <c r="AC16" i="22" s="1"/>
  <c r="AE16" i="22" s="1"/>
  <c r="AG16" i="22" s="1"/>
  <c r="AI16" i="22" s="1"/>
  <c r="Z16" i="22"/>
  <c r="AF119" i="22"/>
  <c r="AF118" i="22"/>
  <c r="AF117" i="22"/>
  <c r="AF113" i="22"/>
  <c r="AF109" i="22"/>
  <c r="AF105" i="22"/>
  <c r="AF101" i="22"/>
  <c r="AF97" i="22"/>
  <c r="AF93" i="22"/>
  <c r="AF114" i="22"/>
  <c r="AF112" i="22"/>
  <c r="AF110" i="22"/>
  <c r="AF106" i="22"/>
  <c r="AF104" i="22"/>
  <c r="AF102" i="22"/>
  <c r="AF100" i="22"/>
  <c r="AF90" i="22"/>
  <c r="AF86" i="22"/>
  <c r="AF82" i="22"/>
  <c r="AF78" i="22"/>
  <c r="AF94" i="22"/>
  <c r="AF73" i="22"/>
  <c r="AF69" i="22"/>
  <c r="AF65" i="22"/>
  <c r="AF61" i="22"/>
  <c r="AF57" i="22"/>
  <c r="AF111" i="22"/>
  <c r="AF103" i="22"/>
  <c r="AF99" i="22"/>
  <c r="AF91" i="22"/>
  <c r="AF89" i="22"/>
  <c r="AF87" i="22"/>
  <c r="AF85" i="22"/>
  <c r="AF83" i="22"/>
  <c r="AF81" i="22"/>
  <c r="AF79" i="22"/>
  <c r="AF77" i="22"/>
  <c r="AF75" i="22"/>
  <c r="AF72" i="22"/>
  <c r="AF68" i="22"/>
  <c r="AF64" i="22"/>
  <c r="AF60" i="22"/>
  <c r="AF56" i="22"/>
  <c r="AF52" i="22"/>
  <c r="AF48" i="22"/>
  <c r="AF40" i="22"/>
  <c r="AF36" i="22"/>
  <c r="AF32" i="22"/>
  <c r="AF115" i="22"/>
  <c r="AF71" i="22"/>
  <c r="AF67" i="22"/>
  <c r="AF63" i="22"/>
  <c r="AF59" i="22"/>
  <c r="AF27" i="22"/>
  <c r="AF24" i="22"/>
  <c r="AF21" i="22"/>
  <c r="AF17" i="22"/>
  <c r="AF13" i="22"/>
  <c r="AF10" i="22"/>
  <c r="AF88" i="22"/>
  <c r="AF80" i="22"/>
  <c r="AF54" i="22"/>
  <c r="AF50" i="22"/>
  <c r="AF42" i="22"/>
  <c r="AF38" i="22"/>
  <c r="AF34" i="22"/>
  <c r="AF20" i="22"/>
  <c r="AF16" i="22"/>
  <c r="AF107" i="22"/>
  <c r="AF98" i="22"/>
  <c r="AF96" i="22"/>
  <c r="AF92" i="22"/>
  <c r="AF74" i="22"/>
  <c r="AF66" i="22"/>
  <c r="AF58" i="22"/>
  <c r="AF55" i="22"/>
  <c r="AF53" i="22"/>
  <c r="AF39" i="22"/>
  <c r="AF37" i="22"/>
  <c r="AF33" i="22"/>
  <c r="AF29" i="22"/>
  <c r="AF25" i="22"/>
  <c r="AF15" i="22"/>
  <c r="AF23" i="22"/>
  <c r="AF95" i="22"/>
  <c r="AF31" i="22"/>
  <c r="AF19" i="22"/>
  <c r="AF84" i="22"/>
  <c r="AF51" i="22"/>
  <c r="AF49" i="22"/>
  <c r="AF35" i="22"/>
  <c r="AF26" i="22"/>
  <c r="AF22" i="22"/>
  <c r="AF12" i="22"/>
  <c r="AF76" i="22"/>
  <c r="AF70" i="22"/>
  <c r="AF62" i="22"/>
  <c r="AF47" i="22"/>
  <c r="AF45" i="22"/>
  <c r="AF18" i="22"/>
  <c r="AH9" i="22"/>
  <c r="AF43" i="22"/>
  <c r="AF41" i="22"/>
  <c r="AF28" i="22"/>
  <c r="AF14" i="22"/>
  <c r="P50" i="21"/>
  <c r="O50" i="21"/>
  <c r="R116" i="21"/>
  <c r="Q116" i="21"/>
  <c r="R110" i="21"/>
  <c r="Q110" i="21"/>
  <c r="R121" i="21"/>
  <c r="Q121" i="21"/>
  <c r="T42" i="21"/>
  <c r="S42" i="21"/>
  <c r="R100" i="21"/>
  <c r="Q100" i="21"/>
  <c r="R115" i="21"/>
  <c r="Q115" i="21"/>
  <c r="R119" i="21"/>
  <c r="Q119" i="21"/>
  <c r="R118" i="21"/>
  <c r="Q118" i="21"/>
  <c r="R112" i="21"/>
  <c r="Q112" i="21"/>
  <c r="Z79" i="21"/>
  <c r="Y79" i="21"/>
  <c r="R107" i="21"/>
  <c r="Q107" i="21"/>
  <c r="R117" i="21"/>
  <c r="Q117" i="21"/>
  <c r="R109" i="21"/>
  <c r="Q109" i="21"/>
  <c r="Z81" i="21"/>
  <c r="Y81" i="21"/>
  <c r="V33" i="21"/>
  <c r="U33" i="21"/>
  <c r="AC86" i="21"/>
  <c r="AC80" i="21"/>
  <c r="AC76" i="21"/>
  <c r="AC92" i="21"/>
  <c r="AC73" i="21"/>
  <c r="AC91" i="21"/>
  <c r="AC89" i="21"/>
  <c r="AC82" i="21"/>
  <c r="AC78" i="21"/>
  <c r="AC72" i="21"/>
  <c r="AC77" i="21"/>
  <c r="AC74" i="21"/>
  <c r="AC55" i="21"/>
  <c r="AC50" i="21"/>
  <c r="AC87" i="21"/>
  <c r="AC75" i="21"/>
  <c r="AC71" i="21"/>
  <c r="AC65" i="21"/>
  <c r="AC64" i="21"/>
  <c r="AC63" i="21"/>
  <c r="AC54" i="21"/>
  <c r="AC48" i="21"/>
  <c r="AC44" i="21"/>
  <c r="AC60" i="21"/>
  <c r="AC56" i="21"/>
  <c r="AC32" i="21"/>
  <c r="AE31" i="21"/>
  <c r="AC85" i="21"/>
  <c r="AC61" i="21"/>
  <c r="AC51" i="21"/>
  <c r="AC47" i="21"/>
  <c r="AC45" i="21"/>
  <c r="AC57" i="21"/>
  <c r="AC52" i="21"/>
  <c r="AC53" i="21"/>
  <c r="AC46" i="21"/>
  <c r="R103" i="21"/>
  <c r="Q103" i="21"/>
  <c r="T55" i="21"/>
  <c r="S55" i="21"/>
  <c r="R102" i="21"/>
  <c r="Q102" i="21"/>
  <c r="R111" i="21"/>
  <c r="Q111" i="21"/>
  <c r="R105" i="21"/>
  <c r="Q105" i="21"/>
  <c r="R106" i="21"/>
  <c r="Q106" i="21"/>
  <c r="V92" i="21"/>
  <c r="U92" i="21"/>
  <c r="R114" i="21"/>
  <c r="Q114" i="21"/>
  <c r="R104" i="21"/>
  <c r="Q104" i="21"/>
  <c r="R101" i="21"/>
  <c r="Q101" i="21"/>
  <c r="R120" i="21"/>
  <c r="Q120" i="21"/>
  <c r="R48" i="21"/>
  <c r="Q48" i="21"/>
  <c r="R113" i="21"/>
  <c r="Q113" i="21"/>
  <c r="R108" i="21"/>
  <c r="Q108" i="21"/>
  <c r="R122" i="21"/>
  <c r="Q122" i="21"/>
  <c r="L30" i="19"/>
  <c r="I25" i="20"/>
  <c r="L25" i="20"/>
  <c r="L24" i="20"/>
  <c r="I24" i="20"/>
  <c r="L26" i="20"/>
  <c r="I26" i="20"/>
  <c r="H48" i="20"/>
  <c r="I48" i="20" s="1"/>
  <c r="L23" i="20"/>
  <c r="I23" i="20"/>
  <c r="L6" i="19"/>
  <c r="D23" i="19"/>
  <c r="F23" i="19" s="1"/>
  <c r="L23" i="19" s="1"/>
  <c r="F9" i="19"/>
  <c r="L9" i="19" s="1"/>
  <c r="L10" i="19"/>
  <c r="L7" i="19"/>
  <c r="I7" i="19"/>
  <c r="F33" i="19"/>
  <c r="G26" i="19"/>
  <c r="G24" i="19"/>
  <c r="G25" i="19" s="1"/>
  <c r="L11" i="19"/>
  <c r="L27" i="19"/>
  <c r="I27" i="19"/>
  <c r="D29" i="19"/>
  <c r="I11" i="19"/>
  <c r="F59" i="19"/>
  <c r="H59" i="19" s="1"/>
  <c r="I59" i="19" s="1"/>
  <c r="F61" i="19"/>
  <c r="I10" i="19"/>
  <c r="F56" i="19"/>
  <c r="H56" i="19" s="1"/>
  <c r="I56" i="19" s="1"/>
  <c r="I30" i="19"/>
  <c r="F54" i="19"/>
  <c r="F42" i="19"/>
  <c r="F39" i="19"/>
  <c r="H39" i="19" s="1"/>
  <c r="I39" i="19" s="1"/>
  <c r="I8" i="19"/>
  <c r="F53" i="19"/>
  <c r="F46" i="19"/>
  <c r="F34" i="19"/>
  <c r="F40" i="19"/>
  <c r="H40" i="19" s="1"/>
  <c r="I40" i="19" s="1"/>
  <c r="I3" i="19"/>
  <c r="F51" i="19"/>
  <c r="H51" i="19" s="1"/>
  <c r="I51" i="19" s="1"/>
  <c r="F43" i="19"/>
  <c r="H43" i="19" s="1"/>
  <c r="I43" i="19" s="1"/>
  <c r="F35" i="19"/>
  <c r="H35" i="19" s="1"/>
  <c r="I35" i="19" s="1"/>
  <c r="F67" i="19"/>
  <c r="H67" i="19" s="1"/>
  <c r="I67" i="19" s="1"/>
  <c r="F64" i="19"/>
  <c r="H64" i="19" s="1"/>
  <c r="I64" i="19" s="1"/>
  <c r="F62" i="19"/>
  <c r="F60" i="19"/>
  <c r="H60" i="19" s="1"/>
  <c r="I60" i="19" s="1"/>
  <c r="F50" i="19"/>
  <c r="I6" i="19"/>
  <c r="F36" i="19"/>
  <c r="H36" i="19" s="1"/>
  <c r="I36" i="19" s="1"/>
  <c r="I5" i="19"/>
  <c r="F37" i="19"/>
  <c r="F55" i="19"/>
  <c r="H55" i="19" s="1"/>
  <c r="I55" i="19" s="1"/>
  <c r="F57" i="19"/>
  <c r="P41" i="17"/>
  <c r="N40" i="17"/>
  <c r="N48" i="17"/>
  <c r="P47" i="17"/>
  <c r="N252" i="16" l="1"/>
  <c r="M252" i="16"/>
  <c r="F253" i="16"/>
  <c r="K253" i="16"/>
  <c r="H254" i="16"/>
  <c r="R250" i="16"/>
  <c r="T250" i="16" s="1"/>
  <c r="V250" i="16" s="1"/>
  <c r="X250" i="16" s="1"/>
  <c r="Z250" i="16" s="1"/>
  <c r="AB250" i="16" s="1"/>
  <c r="AD250" i="16" s="1"/>
  <c r="AF250" i="16" s="1"/>
  <c r="AH250" i="16" s="1"/>
  <c r="AJ250" i="16" s="1"/>
  <c r="P251" i="16"/>
  <c r="R36" i="21"/>
  <c r="Q36" i="21"/>
  <c r="AB67" i="21"/>
  <c r="AA67" i="21"/>
  <c r="R54" i="21"/>
  <c r="Q54" i="21"/>
  <c r="Q57" i="21"/>
  <c r="R57" i="21"/>
  <c r="D24" i="21"/>
  <c r="F24" i="21" s="1"/>
  <c r="D26" i="21"/>
  <c r="F26" i="21" s="1"/>
  <c r="D25" i="21"/>
  <c r="F25" i="21" s="1"/>
  <c r="F23" i="21"/>
  <c r="Q56" i="21"/>
  <c r="R56" i="21"/>
  <c r="Q61" i="21"/>
  <c r="R61" i="21"/>
  <c r="Q59" i="21"/>
  <c r="R59" i="21"/>
  <c r="T51" i="21"/>
  <c r="S51" i="21"/>
  <c r="M91" i="21"/>
  <c r="N91" i="21"/>
  <c r="Q37" i="21"/>
  <c r="R37" i="21"/>
  <c r="W60" i="21"/>
  <c r="X60" i="21"/>
  <c r="S35" i="21"/>
  <c r="T35" i="21"/>
  <c r="Q53" i="21"/>
  <c r="R53" i="21"/>
  <c r="S43" i="21"/>
  <c r="T43" i="21"/>
  <c r="Q39" i="21"/>
  <c r="R39" i="21"/>
  <c r="W34" i="21"/>
  <c r="X34" i="21"/>
  <c r="X40" i="21"/>
  <c r="W40" i="21"/>
  <c r="T62" i="21"/>
  <c r="S62" i="21"/>
  <c r="AC230" i="22"/>
  <c r="AE230" i="22" s="1"/>
  <c r="AG230" i="22" s="1"/>
  <c r="AI230" i="22" s="1"/>
  <c r="AB230" i="22"/>
  <c r="AE174" i="22"/>
  <c r="AG174" i="22" s="1"/>
  <c r="AI174" i="22" s="1"/>
  <c r="AD174" i="22"/>
  <c r="AC121" i="22"/>
  <c r="AB121" i="22"/>
  <c r="AC117" i="22"/>
  <c r="AE117" i="22" s="1"/>
  <c r="AG117" i="22" s="1"/>
  <c r="AI117" i="22" s="1"/>
  <c r="AB117" i="22"/>
  <c r="AC32" i="22"/>
  <c r="AB32" i="22"/>
  <c r="AC144" i="22"/>
  <c r="AB144" i="22"/>
  <c r="AE186" i="22"/>
  <c r="AD186" i="22"/>
  <c r="AC195" i="22"/>
  <c r="AB195" i="22"/>
  <c r="AC114" i="22"/>
  <c r="AB114" i="22"/>
  <c r="AC164" i="22"/>
  <c r="AB164" i="22"/>
  <c r="AC108" i="22"/>
  <c r="AB108" i="22"/>
  <c r="AE162" i="22"/>
  <c r="AD162" i="22"/>
  <c r="AE201" i="22"/>
  <c r="AD201" i="22"/>
  <c r="AC52" i="22"/>
  <c r="AB52" i="22"/>
  <c r="AC72" i="22"/>
  <c r="AB72" i="22"/>
  <c r="AE154" i="22"/>
  <c r="AD154" i="22"/>
  <c r="AC223" i="22"/>
  <c r="AE223" i="22" s="1"/>
  <c r="AG223" i="22" s="1"/>
  <c r="AI223" i="22" s="1"/>
  <c r="AB223" i="22"/>
  <c r="AC120" i="22"/>
  <c r="AB120" i="22"/>
  <c r="AC130" i="22"/>
  <c r="AE130" i="22" s="1"/>
  <c r="AG130" i="22" s="1"/>
  <c r="AI130" i="22" s="1"/>
  <c r="AB130" i="22"/>
  <c r="AC197" i="22"/>
  <c r="AB197" i="22"/>
  <c r="AE184" i="22"/>
  <c r="AD184" i="22"/>
  <c r="AC74" i="22"/>
  <c r="AE74" i="22" s="1"/>
  <c r="AG74" i="22" s="1"/>
  <c r="AI74" i="22" s="1"/>
  <c r="AB74" i="22"/>
  <c r="AC88" i="22"/>
  <c r="AB88" i="22"/>
  <c r="AC149" i="22"/>
  <c r="AE149" i="22" s="1"/>
  <c r="AG149" i="22" s="1"/>
  <c r="AI149" i="22" s="1"/>
  <c r="AB149" i="22"/>
  <c r="AC76" i="22"/>
  <c r="AB76" i="22"/>
  <c r="AC48" i="22"/>
  <c r="AB48" i="22"/>
  <c r="AC96" i="22"/>
  <c r="AB96" i="22"/>
  <c r="AC64" i="22"/>
  <c r="AB64" i="22"/>
  <c r="AC36" i="22"/>
  <c r="AB36" i="22"/>
  <c r="AE190" i="22"/>
  <c r="AG190" i="22" s="1"/>
  <c r="AI190" i="22" s="1"/>
  <c r="AD190" i="22"/>
  <c r="AE156" i="22"/>
  <c r="AD156" i="22"/>
  <c r="AC104" i="22"/>
  <c r="AB104" i="22"/>
  <c r="AC92" i="22"/>
  <c r="AB92" i="22"/>
  <c r="AC29" i="22"/>
  <c r="AB29" i="22"/>
  <c r="AC110" i="22"/>
  <c r="AB110" i="22"/>
  <c r="AC211" i="22"/>
  <c r="AB211" i="22"/>
  <c r="AC116" i="22"/>
  <c r="AB116" i="22"/>
  <c r="AC221" i="22"/>
  <c r="AE221" i="22" s="1"/>
  <c r="AG221" i="22" s="1"/>
  <c r="AI221" i="22" s="1"/>
  <c r="AB221" i="22"/>
  <c r="AE136" i="22"/>
  <c r="AG136" i="22" s="1"/>
  <c r="AI136" i="22" s="1"/>
  <c r="AD136" i="22"/>
  <c r="AC61" i="22"/>
  <c r="AE61" i="22" s="1"/>
  <c r="AG61" i="22" s="1"/>
  <c r="AI61" i="22" s="1"/>
  <c r="AB61" i="22"/>
  <c r="AC65" i="22"/>
  <c r="AE65" i="22" s="1"/>
  <c r="AG65" i="22" s="1"/>
  <c r="AI65" i="22" s="1"/>
  <c r="AB65" i="22"/>
  <c r="AC182" i="22"/>
  <c r="AB182" i="22"/>
  <c r="AC118" i="22"/>
  <c r="AE118" i="22" s="1"/>
  <c r="AG118" i="22" s="1"/>
  <c r="AI118" i="22" s="1"/>
  <c r="AB118" i="22"/>
  <c r="AC84" i="22"/>
  <c r="AE84" i="22" s="1"/>
  <c r="AG84" i="22" s="1"/>
  <c r="AI84" i="22" s="1"/>
  <c r="AB84" i="22"/>
  <c r="AC106" i="22"/>
  <c r="AB106" i="22"/>
  <c r="AC44" i="22"/>
  <c r="AB44" i="22"/>
  <c r="AC166" i="22"/>
  <c r="AB166" i="22"/>
  <c r="AE132" i="22"/>
  <c r="AG132" i="22" s="1"/>
  <c r="AI132" i="22" s="1"/>
  <c r="AD132" i="22"/>
  <c r="AC146" i="22"/>
  <c r="AE146" i="22" s="1"/>
  <c r="AG146" i="22" s="1"/>
  <c r="AI146" i="22" s="1"/>
  <c r="AB146" i="22"/>
  <c r="AC98" i="22"/>
  <c r="AB98" i="22"/>
  <c r="AC46" i="22"/>
  <c r="AB46" i="22"/>
  <c r="AE188" i="22"/>
  <c r="AD188" i="22"/>
  <c r="AC56" i="22"/>
  <c r="AB56" i="22"/>
  <c r="AC62" i="22"/>
  <c r="AE62" i="22" s="1"/>
  <c r="AG62" i="22" s="1"/>
  <c r="AI62" i="22" s="1"/>
  <c r="AB62" i="22"/>
  <c r="AE152" i="22"/>
  <c r="AD152" i="22"/>
  <c r="AC40" i="22"/>
  <c r="AB40" i="22"/>
  <c r="AC213" i="22"/>
  <c r="AE213" i="22" s="1"/>
  <c r="AG213" i="22" s="1"/>
  <c r="AI213" i="22" s="1"/>
  <c r="AB213" i="22"/>
  <c r="AC68" i="22"/>
  <c r="AB68" i="22"/>
  <c r="AC86" i="22"/>
  <c r="AB86" i="22"/>
  <c r="AE168" i="22"/>
  <c r="AG168" i="22" s="1"/>
  <c r="AI168" i="22" s="1"/>
  <c r="AD168" i="22"/>
  <c r="AC138" i="22"/>
  <c r="AB138" i="22"/>
  <c r="AC70" i="22"/>
  <c r="AB70" i="22"/>
  <c r="AC34" i="22"/>
  <c r="AB34" i="22"/>
  <c r="AC60" i="22"/>
  <c r="AB60" i="22"/>
  <c r="AC80" i="22"/>
  <c r="AB80" i="22"/>
  <c r="AE205" i="22"/>
  <c r="AG205" i="22" s="1"/>
  <c r="AI205" i="22" s="1"/>
  <c r="AD205" i="22"/>
  <c r="AE158" i="22"/>
  <c r="AG158" i="22" s="1"/>
  <c r="AI158" i="22" s="1"/>
  <c r="AD158" i="22"/>
  <c r="AC124" i="22"/>
  <c r="AB124" i="22"/>
  <c r="AC82" i="22"/>
  <c r="AB82" i="22"/>
  <c r="AC30" i="22"/>
  <c r="AB30" i="22"/>
  <c r="AC58" i="22"/>
  <c r="AB58" i="22"/>
  <c r="AC128" i="22"/>
  <c r="AB128" i="22"/>
  <c r="AE203" i="22"/>
  <c r="AG203" i="22" s="1"/>
  <c r="AI203" i="22" s="1"/>
  <c r="AD203" i="22"/>
  <c r="AE199" i="22"/>
  <c r="AD199" i="22"/>
  <c r="AE160" i="22"/>
  <c r="AD160" i="22"/>
  <c r="AC20" i="22"/>
  <c r="AB20" i="22"/>
  <c r="AH232" i="22"/>
  <c r="AH228" i="22"/>
  <c r="AH222" i="22"/>
  <c r="AH220" i="22"/>
  <c r="AH215" i="22"/>
  <c r="AH212" i="22"/>
  <c r="AH237" i="22"/>
  <c r="AH236" i="22"/>
  <c r="AH229" i="22"/>
  <c r="AH221" i="22"/>
  <c r="AH218" i="22"/>
  <c r="AH216" i="22"/>
  <c r="AH205" i="22"/>
  <c r="AH231" i="22"/>
  <c r="AH227" i="22"/>
  <c r="AH225" i="22"/>
  <c r="AH223" i="22"/>
  <c r="AH211" i="22"/>
  <c r="AH210" i="22"/>
  <c r="AH204" i="22"/>
  <c r="AH203" i="22"/>
  <c r="AH235" i="22"/>
  <c r="AH219" i="22"/>
  <c r="AH206" i="22"/>
  <c r="AH202" i="22"/>
  <c r="AH201" i="22"/>
  <c r="AH200" i="22"/>
  <c r="AH199" i="22"/>
  <c r="AH195" i="22"/>
  <c r="AH191" i="22"/>
  <c r="AH217" i="22"/>
  <c r="AH208" i="22"/>
  <c r="AH207" i="22"/>
  <c r="AH198" i="22"/>
  <c r="AH233" i="22"/>
  <c r="AH230" i="22"/>
  <c r="AH226" i="22"/>
  <c r="AH213" i="22"/>
  <c r="AH209" i="22"/>
  <c r="AH196" i="22"/>
  <c r="AH193" i="22"/>
  <c r="AH192" i="22"/>
  <c r="AH189" i="22"/>
  <c r="AH187" i="22"/>
  <c r="AH180" i="22"/>
  <c r="AH179" i="22"/>
  <c r="AH175" i="22"/>
  <c r="AH171" i="22"/>
  <c r="AH166" i="22"/>
  <c r="AH164" i="22"/>
  <c r="AH159" i="22"/>
  <c r="AH157" i="22"/>
  <c r="AH156" i="22"/>
  <c r="AH155" i="22"/>
  <c r="AH152" i="22"/>
  <c r="AH151" i="22"/>
  <c r="AH146" i="22"/>
  <c r="AH234" i="22"/>
  <c r="AH190" i="22"/>
  <c r="AH186" i="22"/>
  <c r="AH185" i="22"/>
  <c r="AH174" i="22"/>
  <c r="AH173" i="22"/>
  <c r="AH170" i="22"/>
  <c r="AH169" i="22"/>
  <c r="AH168" i="22"/>
  <c r="AH158" i="22"/>
  <c r="AH150" i="22"/>
  <c r="AH149" i="22"/>
  <c r="AH224" i="22"/>
  <c r="AH197" i="22"/>
  <c r="AH182" i="22"/>
  <c r="AH176" i="22"/>
  <c r="AH160" i="22"/>
  <c r="AH154" i="22"/>
  <c r="AH147" i="22"/>
  <c r="AH144" i="22"/>
  <c r="AH141" i="22"/>
  <c r="AH139" i="22"/>
  <c r="AH133" i="22"/>
  <c r="AH125" i="22"/>
  <c r="AH124" i="22"/>
  <c r="AH122" i="22"/>
  <c r="AH11" i="22"/>
  <c r="AH214" i="22"/>
  <c r="AH194" i="22"/>
  <c r="AH183" i="22"/>
  <c r="AH181" i="22"/>
  <c r="AH177" i="22"/>
  <c r="AH167" i="22"/>
  <c r="AH165" i="22"/>
  <c r="AH161" i="22"/>
  <c r="AH148" i="22"/>
  <c r="AH145" i="22"/>
  <c r="AH140" i="22"/>
  <c r="AH138" i="22"/>
  <c r="AH132" i="22"/>
  <c r="AH128" i="22"/>
  <c r="AH184" i="22"/>
  <c r="AH188" i="22"/>
  <c r="AH130" i="22"/>
  <c r="AH129" i="22"/>
  <c r="AH142" i="22"/>
  <c r="AH123" i="22"/>
  <c r="AH143" i="22"/>
  <c r="AH153" i="22"/>
  <c r="AH136" i="22"/>
  <c r="AH127" i="22"/>
  <c r="AH126" i="22"/>
  <c r="AH172" i="22"/>
  <c r="AH163" i="22"/>
  <c r="AH162" i="22"/>
  <c r="AH137" i="22"/>
  <c r="AH134" i="22"/>
  <c r="AH178" i="22"/>
  <c r="AH135" i="22"/>
  <c r="AH131" i="22"/>
  <c r="AH120" i="22"/>
  <c r="AH115" i="22"/>
  <c r="AH111" i="22"/>
  <c r="AH107" i="22"/>
  <c r="AH103" i="22"/>
  <c r="AH99" i="22"/>
  <c r="AH95" i="22"/>
  <c r="AH118" i="22"/>
  <c r="AH117" i="22"/>
  <c r="AH119" i="22"/>
  <c r="AH113" i="22"/>
  <c r="AH109" i="22"/>
  <c r="AH105" i="22"/>
  <c r="AH101" i="22"/>
  <c r="AH97" i="22"/>
  <c r="AH93" i="22"/>
  <c r="AH92" i="22"/>
  <c r="AH88" i="22"/>
  <c r="AH84" i="22"/>
  <c r="AH80" i="22"/>
  <c r="AH76" i="22"/>
  <c r="AH98" i="22"/>
  <c r="AH89" i="22"/>
  <c r="AH85" i="22"/>
  <c r="AH81" i="22"/>
  <c r="AH77" i="22"/>
  <c r="AH71" i="22"/>
  <c r="AH67" i="22"/>
  <c r="AH63" i="22"/>
  <c r="AH59" i="22"/>
  <c r="AH114" i="22"/>
  <c r="AH112" i="22"/>
  <c r="AH106" i="22"/>
  <c r="AH104" i="22"/>
  <c r="AH74" i="22"/>
  <c r="AH70" i="22"/>
  <c r="AH66" i="22"/>
  <c r="AH62" i="22"/>
  <c r="AH58" i="22"/>
  <c r="AH54" i="22"/>
  <c r="AH50" i="22"/>
  <c r="AH46" i="22"/>
  <c r="AH42" i="22"/>
  <c r="AH38" i="22"/>
  <c r="AH34" i="22"/>
  <c r="AH30" i="22"/>
  <c r="AH52" i="22"/>
  <c r="AH48" i="22"/>
  <c r="AH44" i="22"/>
  <c r="AH40" i="22"/>
  <c r="AH36" i="22"/>
  <c r="AH32" i="22"/>
  <c r="AH29" i="22"/>
  <c r="AH26" i="22"/>
  <c r="AH23" i="22"/>
  <c r="AH19" i="22"/>
  <c r="AH15" i="22"/>
  <c r="AH12" i="22"/>
  <c r="AH51" i="22"/>
  <c r="AH43" i="22"/>
  <c r="AH35" i="22"/>
  <c r="AH116" i="22"/>
  <c r="AH110" i="22"/>
  <c r="AH100" i="22"/>
  <c r="AH91" i="22"/>
  <c r="AH90" i="22"/>
  <c r="AH83" i="22"/>
  <c r="AH82" i="22"/>
  <c r="AH75" i="22"/>
  <c r="AH73" i="22"/>
  <c r="AH72" i="22"/>
  <c r="AH69" i="22"/>
  <c r="AH68" i="22"/>
  <c r="AH65" i="22"/>
  <c r="AH64" i="22"/>
  <c r="AH61" i="22"/>
  <c r="AH60" i="22"/>
  <c r="AH57" i="22"/>
  <c r="AH56" i="22"/>
  <c r="AH53" i="22"/>
  <c r="AH49" i="22"/>
  <c r="AH45" i="22"/>
  <c r="AH41" i="22"/>
  <c r="AH37" i="22"/>
  <c r="AH33" i="22"/>
  <c r="AH28" i="22"/>
  <c r="AH25" i="22"/>
  <c r="AH22" i="22"/>
  <c r="AH18" i="22"/>
  <c r="AH14" i="22"/>
  <c r="AJ9" i="22"/>
  <c r="AH121" i="22"/>
  <c r="AH96" i="22"/>
  <c r="AH94" i="22"/>
  <c r="AH55" i="22"/>
  <c r="AH47" i="22"/>
  <c r="AH39" i="22"/>
  <c r="AH20" i="22"/>
  <c r="AH17" i="22"/>
  <c r="AH24" i="22"/>
  <c r="AH102" i="22"/>
  <c r="AH108" i="22"/>
  <c r="AH27" i="22"/>
  <c r="AH16" i="22"/>
  <c r="AH13" i="22"/>
  <c r="AH87" i="22"/>
  <c r="AH86" i="22"/>
  <c r="AH31" i="22"/>
  <c r="AH10" i="22"/>
  <c r="AH79" i="22"/>
  <c r="AH78" i="22"/>
  <c r="AH21" i="22"/>
  <c r="R50" i="21"/>
  <c r="Q50" i="21"/>
  <c r="T113" i="21"/>
  <c r="S113" i="21"/>
  <c r="T121" i="21"/>
  <c r="S121" i="21"/>
  <c r="T110" i="21"/>
  <c r="S110" i="21"/>
  <c r="T114" i="21"/>
  <c r="S114" i="21"/>
  <c r="T106" i="21"/>
  <c r="S106" i="21"/>
  <c r="T111" i="21"/>
  <c r="S111" i="21"/>
  <c r="AB81" i="21"/>
  <c r="AA81" i="21"/>
  <c r="T117" i="21"/>
  <c r="S117" i="21"/>
  <c r="T112" i="21"/>
  <c r="S112" i="21"/>
  <c r="T108" i="21"/>
  <c r="S108" i="21"/>
  <c r="T118" i="21"/>
  <c r="S118" i="21"/>
  <c r="T100" i="21"/>
  <c r="S100" i="21"/>
  <c r="V42" i="21"/>
  <c r="U42" i="21"/>
  <c r="T116" i="21"/>
  <c r="S116" i="21"/>
  <c r="T122" i="21"/>
  <c r="S122" i="21"/>
  <c r="T120" i="21"/>
  <c r="S120" i="21"/>
  <c r="T101" i="21"/>
  <c r="S101" i="21"/>
  <c r="T102" i="21"/>
  <c r="S102" i="21"/>
  <c r="V55" i="21"/>
  <c r="X55" i="21" s="1"/>
  <c r="Z55" i="21" s="1"/>
  <c r="AB55" i="21" s="1"/>
  <c r="AD55" i="21" s="1"/>
  <c r="AF55" i="21" s="1"/>
  <c r="AH55" i="21" s="1"/>
  <c r="AJ55" i="21" s="1"/>
  <c r="U55" i="21"/>
  <c r="T119" i="21"/>
  <c r="S119" i="21"/>
  <c r="T115" i="21"/>
  <c r="S115" i="21"/>
  <c r="T103" i="21"/>
  <c r="S103" i="21"/>
  <c r="T48" i="21"/>
  <c r="S48" i="21"/>
  <c r="T105" i="21"/>
  <c r="S105" i="21"/>
  <c r="AE91" i="21"/>
  <c r="AE92" i="21"/>
  <c r="AE82" i="21"/>
  <c r="AE78" i="21"/>
  <c r="AE89" i="21"/>
  <c r="AE87" i="21"/>
  <c r="AE80" i="21"/>
  <c r="AE76" i="21"/>
  <c r="AE75" i="21"/>
  <c r="AE77" i="21"/>
  <c r="AE74" i="21"/>
  <c r="AE86" i="21"/>
  <c r="AE71" i="21"/>
  <c r="AE61" i="21"/>
  <c r="AE57" i="21"/>
  <c r="AE53" i="21"/>
  <c r="AE85" i="21"/>
  <c r="AE60" i="21"/>
  <c r="AE56" i="21"/>
  <c r="AE52" i="21"/>
  <c r="AE51" i="21"/>
  <c r="AE46" i="21"/>
  <c r="AE64" i="21"/>
  <c r="AE54" i="21"/>
  <c r="AE47" i="21"/>
  <c r="AE32" i="21"/>
  <c r="AE72" i="21"/>
  <c r="AE63" i="21"/>
  <c r="AE55" i="21"/>
  <c r="AE44" i="21"/>
  <c r="AG31" i="21"/>
  <c r="AE73" i="21"/>
  <c r="AE66" i="21"/>
  <c r="AE50" i="21"/>
  <c r="AE48" i="21"/>
  <c r="AE65" i="21"/>
  <c r="AE45" i="21"/>
  <c r="T104" i="21"/>
  <c r="S104" i="21"/>
  <c r="X92" i="21"/>
  <c r="W92" i="21"/>
  <c r="X33" i="21"/>
  <c r="W33" i="21"/>
  <c r="T109" i="21"/>
  <c r="S109" i="21"/>
  <c r="T107" i="21"/>
  <c r="S107" i="21"/>
  <c r="AB79" i="21"/>
  <c r="AA79" i="21"/>
  <c r="H37" i="19"/>
  <c r="I37" i="19" s="1"/>
  <c r="H62" i="19"/>
  <c r="I62" i="19" s="1"/>
  <c r="H57" i="19"/>
  <c r="I57" i="19" s="1"/>
  <c r="H54" i="19"/>
  <c r="I54" i="19" s="1"/>
  <c r="H46" i="19"/>
  <c r="I46" i="19" s="1"/>
  <c r="H53" i="19"/>
  <c r="I53" i="19" s="1"/>
  <c r="H42" i="19"/>
  <c r="I42" i="19" s="1"/>
  <c r="H61" i="19"/>
  <c r="I61" i="19" s="1"/>
  <c r="H50" i="19"/>
  <c r="I50" i="19" s="1"/>
  <c r="H34" i="19"/>
  <c r="I34" i="19" s="1"/>
  <c r="H33" i="19"/>
  <c r="I33" i="19" s="1"/>
  <c r="F29" i="19"/>
  <c r="F48" i="19"/>
  <c r="H48" i="19" s="1"/>
  <c r="I48" i="19" s="1"/>
  <c r="I9" i="19"/>
  <c r="N49" i="17"/>
  <c r="P48" i="17"/>
  <c r="P40" i="17"/>
  <c r="P39" i="17"/>
  <c r="E30" i="9"/>
  <c r="C30" i="9"/>
  <c r="B30" i="9"/>
  <c r="E29" i="9"/>
  <c r="C29" i="9"/>
  <c r="B29" i="9"/>
  <c r="E28" i="9"/>
  <c r="C28" i="9"/>
  <c r="B28" i="9"/>
  <c r="E27" i="9"/>
  <c r="C27" i="9"/>
  <c r="B27" i="9"/>
  <c r="E26" i="9"/>
  <c r="C26" i="9"/>
  <c r="B26" i="9"/>
  <c r="E25" i="9"/>
  <c r="C25" i="9"/>
  <c r="E24" i="9"/>
  <c r="C24" i="9"/>
  <c r="B24" i="9"/>
  <c r="E23" i="9"/>
  <c r="C23" i="9"/>
  <c r="B23" i="9"/>
  <c r="E22" i="9"/>
  <c r="C22" i="9"/>
  <c r="B22" i="9"/>
  <c r="E30" i="8"/>
  <c r="C30" i="8"/>
  <c r="B30" i="8"/>
  <c r="E29" i="8"/>
  <c r="C29" i="8"/>
  <c r="B29" i="8"/>
  <c r="E28" i="8"/>
  <c r="C28" i="8"/>
  <c r="B28" i="8"/>
  <c r="E27" i="8"/>
  <c r="C27" i="8"/>
  <c r="B27" i="8"/>
  <c r="E26" i="8"/>
  <c r="C26" i="8"/>
  <c r="B26" i="8"/>
  <c r="E25" i="8"/>
  <c r="C25" i="8"/>
  <c r="E24" i="8"/>
  <c r="C24" i="8"/>
  <c r="B24" i="8"/>
  <c r="E23" i="8"/>
  <c r="C23" i="8"/>
  <c r="B23" i="8"/>
  <c r="E22" i="8"/>
  <c r="C22" i="8"/>
  <c r="B22" i="8"/>
  <c r="C30" i="7"/>
  <c r="B30" i="7"/>
  <c r="C29" i="7"/>
  <c r="B29" i="7"/>
  <c r="C28" i="7"/>
  <c r="B28" i="7"/>
  <c r="C27" i="7"/>
  <c r="B27" i="7"/>
  <c r="C26" i="7"/>
  <c r="B26" i="7"/>
  <c r="C25" i="7"/>
  <c r="C24" i="7"/>
  <c r="B24" i="7"/>
  <c r="C23" i="7"/>
  <c r="B23" i="7"/>
  <c r="C22" i="7"/>
  <c r="B22" i="7"/>
  <c r="E30" i="7"/>
  <c r="E29" i="7"/>
  <c r="E28" i="7"/>
  <c r="E27" i="7"/>
  <c r="E26" i="7"/>
  <c r="E25" i="7"/>
  <c r="E24" i="7"/>
  <c r="E23" i="7"/>
  <c r="E22" i="7"/>
  <c r="E22" i="1"/>
  <c r="E28" i="1"/>
  <c r="E27" i="1"/>
  <c r="E21" i="1"/>
  <c r="E18" i="1"/>
  <c r="E12" i="1"/>
  <c r="E19" i="1" s="1"/>
  <c r="E11" i="1"/>
  <c r="E10" i="1"/>
  <c r="E9" i="1"/>
  <c r="E24" i="1" s="1"/>
  <c r="E8" i="1"/>
  <c r="E30" i="1" s="1"/>
  <c r="K254" i="16" l="1"/>
  <c r="F254" i="16"/>
  <c r="H255" i="16"/>
  <c r="N253" i="16"/>
  <c r="M253" i="16"/>
  <c r="R251" i="16"/>
  <c r="T251" i="16" s="1"/>
  <c r="V251" i="16" s="1"/>
  <c r="X251" i="16" s="1"/>
  <c r="Z251" i="16" s="1"/>
  <c r="AB251" i="16" s="1"/>
  <c r="AD251" i="16" s="1"/>
  <c r="AF251" i="16" s="1"/>
  <c r="AH251" i="16" s="1"/>
  <c r="AJ251" i="16" s="1"/>
  <c r="P252" i="16"/>
  <c r="E15" i="1"/>
  <c r="E20" i="1" s="1"/>
  <c r="T36" i="21"/>
  <c r="S36" i="21"/>
  <c r="S54" i="21"/>
  <c r="T54" i="21"/>
  <c r="AD67" i="21"/>
  <c r="AC67" i="21"/>
  <c r="S39" i="21"/>
  <c r="T39" i="21"/>
  <c r="S53" i="21"/>
  <c r="T53" i="21"/>
  <c r="Z60" i="21"/>
  <c r="AB60" i="21" s="1"/>
  <c r="AD60" i="21" s="1"/>
  <c r="AF60" i="21" s="1"/>
  <c r="AH60" i="21" s="1"/>
  <c r="AJ60" i="21" s="1"/>
  <c r="Y60" i="21"/>
  <c r="P91" i="21"/>
  <c r="O91" i="21"/>
  <c r="S59" i="21"/>
  <c r="T59" i="21"/>
  <c r="T56" i="21"/>
  <c r="S56" i="21"/>
  <c r="J26" i="21"/>
  <c r="K26" i="21" s="1"/>
  <c r="N26" i="21"/>
  <c r="Z40" i="21"/>
  <c r="Y40" i="21"/>
  <c r="J24" i="21"/>
  <c r="K24" i="21" s="1"/>
  <c r="N24" i="21"/>
  <c r="P24" i="21" s="1"/>
  <c r="Z34" i="21"/>
  <c r="Y34" i="21"/>
  <c r="U43" i="21"/>
  <c r="V43" i="21"/>
  <c r="V35" i="21"/>
  <c r="U35" i="21"/>
  <c r="S37" i="21"/>
  <c r="T37" i="21"/>
  <c r="T61" i="21"/>
  <c r="S61" i="21"/>
  <c r="J23" i="21"/>
  <c r="K23" i="21" s="1"/>
  <c r="N23" i="21"/>
  <c r="P23" i="21" s="1"/>
  <c r="S57" i="21"/>
  <c r="T57" i="21"/>
  <c r="V62" i="21"/>
  <c r="U62" i="21"/>
  <c r="U51" i="21"/>
  <c r="V51" i="21"/>
  <c r="J25" i="21"/>
  <c r="K25" i="21" s="1"/>
  <c r="N25" i="21"/>
  <c r="P25" i="21" s="1"/>
  <c r="AG160" i="22"/>
  <c r="AI160" i="22" s="1"/>
  <c r="AF160" i="22"/>
  <c r="AE34" i="22"/>
  <c r="AG34" i="22" s="1"/>
  <c r="AI34" i="22" s="1"/>
  <c r="AD34" i="22"/>
  <c r="AE138" i="22"/>
  <c r="AG138" i="22" s="1"/>
  <c r="AI138" i="22" s="1"/>
  <c r="AD138" i="22"/>
  <c r="AE86" i="22"/>
  <c r="AG86" i="22" s="1"/>
  <c r="AI86" i="22" s="1"/>
  <c r="AD86" i="22"/>
  <c r="AE166" i="22"/>
  <c r="AG166" i="22" s="1"/>
  <c r="AI166" i="22" s="1"/>
  <c r="AD166" i="22"/>
  <c r="AE106" i="22"/>
  <c r="AG106" i="22" s="1"/>
  <c r="AI106" i="22" s="1"/>
  <c r="AD106" i="22"/>
  <c r="AE116" i="22"/>
  <c r="AD116" i="22"/>
  <c r="AE92" i="22"/>
  <c r="AG92" i="22" s="1"/>
  <c r="AI92" i="22" s="1"/>
  <c r="AD92" i="22"/>
  <c r="AE36" i="22"/>
  <c r="AG36" i="22" s="1"/>
  <c r="AI36" i="22" s="1"/>
  <c r="AD36" i="22"/>
  <c r="AE96" i="22"/>
  <c r="AG96" i="22" s="1"/>
  <c r="AI96" i="22" s="1"/>
  <c r="AD96" i="22"/>
  <c r="AE88" i="22"/>
  <c r="AG88" i="22" s="1"/>
  <c r="AI88" i="22" s="1"/>
  <c r="AD88" i="22"/>
  <c r="AG184" i="22"/>
  <c r="AI184" i="22" s="1"/>
  <c r="AF184" i="22"/>
  <c r="AE72" i="22"/>
  <c r="AG72" i="22" s="1"/>
  <c r="AI72" i="22" s="1"/>
  <c r="AD72" i="22"/>
  <c r="AE58" i="22"/>
  <c r="AG58" i="22" s="1"/>
  <c r="AI58" i="22" s="1"/>
  <c r="AD58" i="22"/>
  <c r="AE82" i="22"/>
  <c r="AG82" i="22" s="1"/>
  <c r="AI82" i="22" s="1"/>
  <c r="AD82" i="22"/>
  <c r="AE80" i="22"/>
  <c r="AG80" i="22" s="1"/>
  <c r="AI80" i="22" s="1"/>
  <c r="AD80" i="22"/>
  <c r="AG152" i="22"/>
  <c r="AI152" i="22" s="1"/>
  <c r="AF152" i="22"/>
  <c r="AE56" i="22"/>
  <c r="AG56" i="22" s="1"/>
  <c r="AI56" i="22" s="1"/>
  <c r="AD56" i="22"/>
  <c r="AE46" i="22"/>
  <c r="AD46" i="22"/>
  <c r="AE110" i="22"/>
  <c r="AG110" i="22" s="1"/>
  <c r="AI110" i="22" s="1"/>
  <c r="AD110" i="22"/>
  <c r="AG156" i="22"/>
  <c r="AI156" i="22" s="1"/>
  <c r="AF156" i="22"/>
  <c r="AE76" i="22"/>
  <c r="AG76" i="22" s="1"/>
  <c r="AI76" i="22" s="1"/>
  <c r="AD76" i="22"/>
  <c r="AG201" i="22"/>
  <c r="AI201" i="22" s="1"/>
  <c r="AF201" i="22"/>
  <c r="AE108" i="22"/>
  <c r="AD108" i="22"/>
  <c r="AE114" i="22"/>
  <c r="AG114" i="22" s="1"/>
  <c r="AI114" i="22" s="1"/>
  <c r="AD114" i="22"/>
  <c r="AG186" i="22"/>
  <c r="AI186" i="22" s="1"/>
  <c r="AF186" i="22"/>
  <c r="AE32" i="22"/>
  <c r="AG32" i="22" s="1"/>
  <c r="AI32" i="22" s="1"/>
  <c r="AD32" i="22"/>
  <c r="AE121" i="22"/>
  <c r="AD121" i="22"/>
  <c r="AG199" i="22"/>
  <c r="AI199" i="22" s="1"/>
  <c r="AF199" i="22"/>
  <c r="AE128" i="22"/>
  <c r="AG128" i="22" s="1"/>
  <c r="AI128" i="22" s="1"/>
  <c r="AD128" i="22"/>
  <c r="AE30" i="22"/>
  <c r="AD30" i="22"/>
  <c r="AE124" i="22"/>
  <c r="AG124" i="22" s="1"/>
  <c r="AI124" i="22" s="1"/>
  <c r="AD124" i="22"/>
  <c r="AE60" i="22"/>
  <c r="AG60" i="22" s="1"/>
  <c r="AI60" i="22" s="1"/>
  <c r="AD60" i="22"/>
  <c r="AE70" i="22"/>
  <c r="AG70" i="22" s="1"/>
  <c r="AI70" i="22" s="1"/>
  <c r="AD70" i="22"/>
  <c r="AE68" i="22"/>
  <c r="AG68" i="22" s="1"/>
  <c r="AI68" i="22" s="1"/>
  <c r="AD68" i="22"/>
  <c r="AE40" i="22"/>
  <c r="AG40" i="22" s="1"/>
  <c r="AI40" i="22" s="1"/>
  <c r="AD40" i="22"/>
  <c r="AG188" i="22"/>
  <c r="AI188" i="22" s="1"/>
  <c r="AF188" i="22"/>
  <c r="AE98" i="22"/>
  <c r="AG98" i="22" s="1"/>
  <c r="AI98" i="22" s="1"/>
  <c r="AD98" i="22"/>
  <c r="AE44" i="22"/>
  <c r="AD44" i="22"/>
  <c r="AE182" i="22"/>
  <c r="AG182" i="22" s="1"/>
  <c r="AI182" i="22" s="1"/>
  <c r="AD182" i="22"/>
  <c r="AE211" i="22"/>
  <c r="AG211" i="22" s="1"/>
  <c r="AI211" i="22" s="1"/>
  <c r="AD211" i="22"/>
  <c r="AE29" i="22"/>
  <c r="AG29" i="22" s="1"/>
  <c r="AI29" i="22" s="1"/>
  <c r="AD29" i="22"/>
  <c r="AE104" i="22"/>
  <c r="AG104" i="22" s="1"/>
  <c r="AI104" i="22" s="1"/>
  <c r="AD104" i="22"/>
  <c r="AE64" i="22"/>
  <c r="AG64" i="22" s="1"/>
  <c r="AI64" i="22" s="1"/>
  <c r="AD64" i="22"/>
  <c r="AE48" i="22"/>
  <c r="AG48" i="22" s="1"/>
  <c r="AI48" i="22" s="1"/>
  <c r="AD48" i="22"/>
  <c r="AE197" i="22"/>
  <c r="AD197" i="22"/>
  <c r="AE120" i="22"/>
  <c r="AD120" i="22"/>
  <c r="AG154" i="22"/>
  <c r="AI154" i="22" s="1"/>
  <c r="AF154" i="22"/>
  <c r="AE52" i="22"/>
  <c r="AG52" i="22" s="1"/>
  <c r="AI52" i="22" s="1"/>
  <c r="AD52" i="22"/>
  <c r="AG162" i="22"/>
  <c r="AI162" i="22" s="1"/>
  <c r="AF162" i="22"/>
  <c r="AE164" i="22"/>
  <c r="AG164" i="22" s="1"/>
  <c r="AI164" i="22" s="1"/>
  <c r="AD164" i="22"/>
  <c r="AE195" i="22"/>
  <c r="AD195" i="22"/>
  <c r="AE144" i="22"/>
  <c r="AG144" i="22" s="1"/>
  <c r="AI144" i="22" s="1"/>
  <c r="AD144" i="22"/>
  <c r="AE20" i="22"/>
  <c r="AG20" i="22" s="1"/>
  <c r="AI20" i="22" s="1"/>
  <c r="AD20" i="22"/>
  <c r="AJ237" i="22"/>
  <c r="H237" i="22" s="1"/>
  <c r="AJ236" i="22"/>
  <c r="H236" i="22" s="1"/>
  <c r="AJ231" i="22"/>
  <c r="H231" i="22" s="1"/>
  <c r="AJ230" i="22"/>
  <c r="H230" i="22" s="1"/>
  <c r="AJ227" i="22"/>
  <c r="H227" i="22" s="1"/>
  <c r="AJ226" i="22"/>
  <c r="H226" i="22" s="1"/>
  <c r="AJ221" i="22"/>
  <c r="H221" i="22" s="1"/>
  <c r="AJ214" i="22"/>
  <c r="H214" i="22" s="1"/>
  <c r="AJ211" i="22"/>
  <c r="AJ225" i="22"/>
  <c r="H225" i="22" s="1"/>
  <c r="AJ223" i="22"/>
  <c r="H223" i="22" s="1"/>
  <c r="AJ220" i="22"/>
  <c r="H220" i="22" s="1"/>
  <c r="AJ210" i="22"/>
  <c r="H210" i="22" s="1"/>
  <c r="AJ204" i="22"/>
  <c r="H204" i="22" s="1"/>
  <c r="AJ203" i="22"/>
  <c r="H203" i="22" s="1"/>
  <c r="AJ235" i="22"/>
  <c r="H235" i="22" s="1"/>
  <c r="AJ233" i="22"/>
  <c r="H233" i="22" s="1"/>
  <c r="AJ217" i="22"/>
  <c r="H217" i="22" s="1"/>
  <c r="AJ215" i="22"/>
  <c r="H215" i="22" s="1"/>
  <c r="AJ213" i="22"/>
  <c r="H213" i="22" s="1"/>
  <c r="AJ209" i="22"/>
  <c r="H209" i="22" s="1"/>
  <c r="AJ208" i="22"/>
  <c r="H208" i="22" s="1"/>
  <c r="AJ229" i="22"/>
  <c r="H229" i="22" s="1"/>
  <c r="AJ222" i="22"/>
  <c r="H222" i="22" s="1"/>
  <c r="AJ218" i="22"/>
  <c r="H218" i="22" s="1"/>
  <c r="AJ207" i="22"/>
  <c r="H207" i="22" s="1"/>
  <c r="AJ198" i="22"/>
  <c r="H198" i="22" s="1"/>
  <c r="AJ190" i="22"/>
  <c r="H190" i="22" s="1"/>
  <c r="AJ234" i="22"/>
  <c r="H234" i="22" s="1"/>
  <c r="AJ232" i="22"/>
  <c r="H232" i="22" s="1"/>
  <c r="AJ224" i="22"/>
  <c r="H224" i="22" s="1"/>
  <c r="AJ212" i="22"/>
  <c r="H212" i="22" s="1"/>
  <c r="AJ197" i="22"/>
  <c r="AJ194" i="22"/>
  <c r="H194" i="22" s="1"/>
  <c r="AJ228" i="22"/>
  <c r="H228" i="22" s="1"/>
  <c r="AJ219" i="22"/>
  <c r="H219" i="22" s="1"/>
  <c r="AJ216" i="22"/>
  <c r="H216" i="22" s="1"/>
  <c r="AJ206" i="22"/>
  <c r="H206" i="22" s="1"/>
  <c r="AJ205" i="22"/>
  <c r="H205" i="22" s="1"/>
  <c r="AJ202" i="22"/>
  <c r="H202" i="22" s="1"/>
  <c r="AJ201" i="22"/>
  <c r="AJ200" i="22"/>
  <c r="H200" i="22" s="1"/>
  <c r="AJ199" i="22"/>
  <c r="AJ195" i="22"/>
  <c r="AJ191" i="22"/>
  <c r="H191" i="22" s="1"/>
  <c r="AJ186" i="22"/>
  <c r="AJ185" i="22"/>
  <c r="H185" i="22" s="1"/>
  <c r="AJ174" i="22"/>
  <c r="H174" i="22" s="1"/>
  <c r="AJ173" i="22"/>
  <c r="H173" i="22" s="1"/>
  <c r="AJ170" i="22"/>
  <c r="H170" i="22" s="1"/>
  <c r="AJ169" i="22"/>
  <c r="H169" i="22" s="1"/>
  <c r="AJ168" i="22"/>
  <c r="H168" i="22" s="1"/>
  <c r="AJ158" i="22"/>
  <c r="H158" i="22" s="1"/>
  <c r="AJ150" i="22"/>
  <c r="H150" i="22" s="1"/>
  <c r="AJ149" i="22"/>
  <c r="H149" i="22" s="1"/>
  <c r="AJ145" i="22"/>
  <c r="H145" i="22" s="1"/>
  <c r="AJ143" i="22"/>
  <c r="H143" i="22" s="1"/>
  <c r="AJ184" i="22"/>
  <c r="AJ182" i="22"/>
  <c r="AJ178" i="22"/>
  <c r="H178" i="22" s="1"/>
  <c r="AJ172" i="22"/>
  <c r="H172" i="22" s="1"/>
  <c r="AJ167" i="22"/>
  <c r="H167" i="22" s="1"/>
  <c r="AJ163" i="22"/>
  <c r="H163" i="22" s="1"/>
  <c r="AJ154" i="22"/>
  <c r="H154" i="22" s="1"/>
  <c r="AJ148" i="22"/>
  <c r="H148" i="22" s="1"/>
  <c r="AJ189" i="22"/>
  <c r="H189" i="22" s="1"/>
  <c r="AJ183" i="22"/>
  <c r="H183" i="22" s="1"/>
  <c r="AJ181" i="22"/>
  <c r="H181" i="22" s="1"/>
  <c r="AJ180" i="22"/>
  <c r="H180" i="22" s="1"/>
  <c r="AJ177" i="22"/>
  <c r="H177" i="22" s="1"/>
  <c r="AJ165" i="22"/>
  <c r="H165" i="22" s="1"/>
  <c r="AJ164" i="22"/>
  <c r="AJ161" i="22"/>
  <c r="H161" i="22" s="1"/>
  <c r="AJ140" i="22"/>
  <c r="H140" i="22" s="1"/>
  <c r="AJ138" i="22"/>
  <c r="AJ132" i="22"/>
  <c r="H132" i="22" s="1"/>
  <c r="AJ128" i="22"/>
  <c r="AJ192" i="22"/>
  <c r="H192" i="22" s="1"/>
  <c r="AJ187" i="22"/>
  <c r="H187" i="22" s="1"/>
  <c r="AJ162" i="22"/>
  <c r="H162" i="22" s="1"/>
  <c r="AJ155" i="22"/>
  <c r="H155" i="22" s="1"/>
  <c r="AJ151" i="22"/>
  <c r="H151" i="22" s="1"/>
  <c r="AJ137" i="22"/>
  <c r="H137" i="22" s="1"/>
  <c r="AJ136" i="22"/>
  <c r="H136" i="22" s="1"/>
  <c r="AJ131" i="22"/>
  <c r="H131" i="22" s="1"/>
  <c r="AJ130" i="22"/>
  <c r="H130" i="22" s="1"/>
  <c r="AJ188" i="22"/>
  <c r="AJ196" i="22"/>
  <c r="H196" i="22" s="1"/>
  <c r="AJ166" i="22"/>
  <c r="AJ160" i="22"/>
  <c r="H160" i="22" s="1"/>
  <c r="AJ142" i="22"/>
  <c r="H142" i="22" s="1"/>
  <c r="AJ141" i="22"/>
  <c r="H141" i="22" s="1"/>
  <c r="AJ134" i="22"/>
  <c r="H134" i="22" s="1"/>
  <c r="AJ133" i="22"/>
  <c r="H133" i="22" s="1"/>
  <c r="AJ123" i="22"/>
  <c r="H123" i="22" s="1"/>
  <c r="AJ122" i="22"/>
  <c r="H122" i="22" s="1"/>
  <c r="AJ176" i="22"/>
  <c r="H176" i="22" s="1"/>
  <c r="AJ124" i="22"/>
  <c r="AJ175" i="22"/>
  <c r="H175" i="22" s="1"/>
  <c r="AJ147" i="22"/>
  <c r="H147" i="22" s="1"/>
  <c r="AJ193" i="22"/>
  <c r="H193" i="22" s="1"/>
  <c r="AJ179" i="22"/>
  <c r="H179" i="22" s="1"/>
  <c r="AJ157" i="22"/>
  <c r="H157" i="22" s="1"/>
  <c r="AJ156" i="22"/>
  <c r="AJ152" i="22"/>
  <c r="AJ146" i="22"/>
  <c r="H146" i="22" s="1"/>
  <c r="AJ139" i="22"/>
  <c r="H139" i="22" s="1"/>
  <c r="AJ129" i="22"/>
  <c r="H129" i="22" s="1"/>
  <c r="AJ11" i="22"/>
  <c r="H11" i="22" s="1"/>
  <c r="AJ159" i="22"/>
  <c r="H159" i="22" s="1"/>
  <c r="AJ144" i="22"/>
  <c r="AJ135" i="22"/>
  <c r="H135" i="22" s="1"/>
  <c r="AJ171" i="22"/>
  <c r="H171" i="22" s="1"/>
  <c r="AJ153" i="22"/>
  <c r="H153" i="22" s="1"/>
  <c r="AJ127" i="22"/>
  <c r="H127" i="22" s="1"/>
  <c r="AJ126" i="22"/>
  <c r="H126" i="22" s="1"/>
  <c r="AJ125" i="22"/>
  <c r="H125" i="22" s="1"/>
  <c r="AJ118" i="22"/>
  <c r="H118" i="22" s="1"/>
  <c r="AJ121" i="22"/>
  <c r="AJ119" i="22"/>
  <c r="H119" i="22" s="1"/>
  <c r="AJ117" i="22"/>
  <c r="H117" i="22" s="1"/>
  <c r="AJ113" i="22"/>
  <c r="H113" i="22" s="1"/>
  <c r="AJ109" i="22"/>
  <c r="H109" i="22" s="1"/>
  <c r="AJ105" i="22"/>
  <c r="H105" i="22" s="1"/>
  <c r="AJ101" i="22"/>
  <c r="H101" i="22" s="1"/>
  <c r="AJ97" i="22"/>
  <c r="H97" i="22" s="1"/>
  <c r="AJ93" i="22"/>
  <c r="H93" i="22" s="1"/>
  <c r="AJ116" i="22"/>
  <c r="AJ114" i="22"/>
  <c r="AJ112" i="22"/>
  <c r="H112" i="22" s="1"/>
  <c r="AJ110" i="22"/>
  <c r="AJ108" i="22"/>
  <c r="AJ106" i="22"/>
  <c r="AJ104" i="22"/>
  <c r="H104" i="22" s="1"/>
  <c r="AJ102" i="22"/>
  <c r="H102" i="22" s="1"/>
  <c r="AJ100" i="22"/>
  <c r="H100" i="22" s="1"/>
  <c r="AJ98" i="22"/>
  <c r="AJ96" i="22"/>
  <c r="AJ94" i="22"/>
  <c r="H94" i="22" s="1"/>
  <c r="AJ90" i="22"/>
  <c r="H90" i="22" s="1"/>
  <c r="AJ86" i="22"/>
  <c r="AJ82" i="22"/>
  <c r="H82" i="22" s="1"/>
  <c r="AJ78" i="22"/>
  <c r="H78" i="22" s="1"/>
  <c r="AJ120" i="22"/>
  <c r="AJ111" i="22"/>
  <c r="H111" i="22" s="1"/>
  <c r="AJ103" i="22"/>
  <c r="H103" i="22" s="1"/>
  <c r="AJ92" i="22"/>
  <c r="AJ88" i="22"/>
  <c r="AJ84" i="22"/>
  <c r="H84" i="22" s="1"/>
  <c r="AJ80" i="22"/>
  <c r="AJ76" i="22"/>
  <c r="AJ73" i="22"/>
  <c r="H73" i="22" s="1"/>
  <c r="AJ69" i="22"/>
  <c r="H69" i="22" s="1"/>
  <c r="AJ65" i="22"/>
  <c r="H65" i="22" s="1"/>
  <c r="AJ61" i="22"/>
  <c r="H61" i="22" s="1"/>
  <c r="AJ57" i="22"/>
  <c r="H57" i="22" s="1"/>
  <c r="AJ95" i="22"/>
  <c r="H95" i="22" s="1"/>
  <c r="AJ72" i="22"/>
  <c r="H72" i="22" s="1"/>
  <c r="AJ68" i="22"/>
  <c r="AJ64" i="22"/>
  <c r="H64" i="22" s="1"/>
  <c r="AJ60" i="22"/>
  <c r="AJ56" i="22"/>
  <c r="AJ52" i="22"/>
  <c r="AJ48" i="22"/>
  <c r="AJ44" i="22"/>
  <c r="AJ40" i="22"/>
  <c r="AJ36" i="22"/>
  <c r="AJ32" i="22"/>
  <c r="AJ99" i="22"/>
  <c r="H99" i="22" s="1"/>
  <c r="AJ91" i="22"/>
  <c r="H91" i="22" s="1"/>
  <c r="AJ83" i="22"/>
  <c r="H83" i="22" s="1"/>
  <c r="AJ75" i="22"/>
  <c r="H75" i="22" s="1"/>
  <c r="AJ55" i="22"/>
  <c r="H55" i="22" s="1"/>
  <c r="AJ53" i="22"/>
  <c r="H53" i="22" s="1"/>
  <c r="AJ51" i="22"/>
  <c r="H51" i="22" s="1"/>
  <c r="AJ49" i="22"/>
  <c r="H49" i="22" s="1"/>
  <c r="AJ47" i="22"/>
  <c r="H47" i="22" s="1"/>
  <c r="AJ45" i="22"/>
  <c r="H45" i="22" s="1"/>
  <c r="AJ43" i="22"/>
  <c r="H43" i="22" s="1"/>
  <c r="AJ41" i="22"/>
  <c r="H41" i="22" s="1"/>
  <c r="AJ39" i="22"/>
  <c r="H39" i="22" s="1"/>
  <c r="AJ37" i="22"/>
  <c r="H37" i="22" s="1"/>
  <c r="AJ35" i="22"/>
  <c r="H35" i="22" s="1"/>
  <c r="AJ33" i="22"/>
  <c r="H33" i="22" s="1"/>
  <c r="AJ31" i="22"/>
  <c r="H31" i="22" s="1"/>
  <c r="AJ27" i="22"/>
  <c r="H27" i="22" s="1"/>
  <c r="AJ24" i="22"/>
  <c r="H24" i="22" s="1"/>
  <c r="AJ21" i="22"/>
  <c r="H21" i="22" s="1"/>
  <c r="AJ17" i="22"/>
  <c r="H17" i="22" s="1"/>
  <c r="AJ13" i="22"/>
  <c r="H13" i="22" s="1"/>
  <c r="AJ10" i="22"/>
  <c r="H10" i="22" s="1"/>
  <c r="AJ59" i="22"/>
  <c r="H59" i="22" s="1"/>
  <c r="AJ54" i="22"/>
  <c r="H54" i="22" s="1"/>
  <c r="AJ46" i="22"/>
  <c r="AJ42" i="22"/>
  <c r="H42" i="22" s="1"/>
  <c r="AJ38" i="22"/>
  <c r="H38" i="22" s="1"/>
  <c r="AJ107" i="22"/>
  <c r="H107" i="22" s="1"/>
  <c r="AJ85" i="22"/>
  <c r="H85" i="22" s="1"/>
  <c r="AJ77" i="22"/>
  <c r="H77" i="22" s="1"/>
  <c r="AJ74" i="22"/>
  <c r="H74" i="22" s="1"/>
  <c r="AJ70" i="22"/>
  <c r="AJ66" i="22"/>
  <c r="H66" i="22" s="1"/>
  <c r="AJ62" i="22"/>
  <c r="H62" i="22" s="1"/>
  <c r="AJ58" i="22"/>
  <c r="H58" i="22" s="1"/>
  <c r="AJ20" i="22"/>
  <c r="AJ16" i="22"/>
  <c r="H16" i="22" s="1"/>
  <c r="AJ87" i="22"/>
  <c r="H87" i="22" s="1"/>
  <c r="AJ79" i="22"/>
  <c r="H79" i="22" s="1"/>
  <c r="AJ71" i="22"/>
  <c r="H71" i="22" s="1"/>
  <c r="AJ67" i="22"/>
  <c r="H67" i="22" s="1"/>
  <c r="AJ63" i="22"/>
  <c r="H63" i="22" s="1"/>
  <c r="AJ50" i="22"/>
  <c r="H50" i="22" s="1"/>
  <c r="AJ115" i="22"/>
  <c r="H115" i="22" s="1"/>
  <c r="AJ30" i="22"/>
  <c r="AJ23" i="22"/>
  <c r="H23" i="22" s="1"/>
  <c r="AJ18" i="22"/>
  <c r="H18" i="22" s="1"/>
  <c r="AJ25" i="22"/>
  <c r="H25" i="22" s="1"/>
  <c r="AJ81" i="22"/>
  <c r="H81" i="22" s="1"/>
  <c r="AJ26" i="22"/>
  <c r="H26" i="22" s="1"/>
  <c r="AJ22" i="22"/>
  <c r="H22" i="22" s="1"/>
  <c r="AJ28" i="22"/>
  <c r="H28" i="22" s="1"/>
  <c r="AJ19" i="22"/>
  <c r="H19" i="22" s="1"/>
  <c r="AJ14" i="22"/>
  <c r="H14" i="22" s="1"/>
  <c r="AJ89" i="22"/>
  <c r="H89" i="22" s="1"/>
  <c r="AJ34" i="22"/>
  <c r="AJ29" i="22"/>
  <c r="AJ15" i="22"/>
  <c r="H15" i="22" s="1"/>
  <c r="AJ12" i="22"/>
  <c r="H12" i="22" s="1"/>
  <c r="S50" i="21"/>
  <c r="T50" i="21"/>
  <c r="V109" i="21"/>
  <c r="U109" i="21"/>
  <c r="V48" i="21"/>
  <c r="U48" i="21"/>
  <c r="Z92" i="21"/>
  <c r="Y92" i="21"/>
  <c r="V103" i="21"/>
  <c r="U103" i="21"/>
  <c r="V119" i="21"/>
  <c r="U119" i="21"/>
  <c r="V101" i="21"/>
  <c r="U101" i="21"/>
  <c r="V118" i="21"/>
  <c r="U118" i="21"/>
  <c r="V106" i="21"/>
  <c r="U106" i="21"/>
  <c r="Z33" i="21"/>
  <c r="Y33" i="21"/>
  <c r="V105" i="21"/>
  <c r="U105" i="21"/>
  <c r="V112" i="21"/>
  <c r="U112" i="21"/>
  <c r="V110" i="21"/>
  <c r="U110" i="21"/>
  <c r="AD79" i="21"/>
  <c r="AC79" i="21"/>
  <c r="V117" i="21"/>
  <c r="U117" i="21"/>
  <c r="AD81" i="21"/>
  <c r="AC81" i="21"/>
  <c r="V121" i="21"/>
  <c r="U121" i="21"/>
  <c r="V122" i="21"/>
  <c r="U122" i="21"/>
  <c r="V107" i="21"/>
  <c r="U107" i="21"/>
  <c r="V104" i="21"/>
  <c r="U104" i="21"/>
  <c r="AG117" i="21"/>
  <c r="AG120" i="21"/>
  <c r="AG116" i="21"/>
  <c r="AG114" i="21"/>
  <c r="AG110" i="21"/>
  <c r="AG104" i="21"/>
  <c r="AG118" i="21"/>
  <c r="AG122" i="21"/>
  <c r="AG112" i="21"/>
  <c r="AG111" i="21"/>
  <c r="AG91" i="21"/>
  <c r="AG89" i="21"/>
  <c r="AG86" i="21"/>
  <c r="AG80" i="21"/>
  <c r="AG76" i="21"/>
  <c r="AG109" i="21"/>
  <c r="AG108" i="21"/>
  <c r="AG107" i="21"/>
  <c r="AG105" i="21"/>
  <c r="AG103" i="21"/>
  <c r="AG101" i="21"/>
  <c r="AG100" i="21"/>
  <c r="AG119" i="21"/>
  <c r="AG113" i="21"/>
  <c r="AG85" i="21"/>
  <c r="AG81" i="21"/>
  <c r="AG79" i="21"/>
  <c r="AG77" i="21"/>
  <c r="AG73" i="21"/>
  <c r="AG102" i="21"/>
  <c r="AG95" i="21"/>
  <c r="AG72" i="21"/>
  <c r="AG87" i="21"/>
  <c r="AG82" i="21"/>
  <c r="AG55" i="21"/>
  <c r="AG50" i="21"/>
  <c r="AG115" i="21"/>
  <c r="AG69" i="21"/>
  <c r="AG68" i="21"/>
  <c r="AG67" i="21"/>
  <c r="AG66" i="21"/>
  <c r="AG65" i="21"/>
  <c r="AG64" i="21"/>
  <c r="AG63" i="21"/>
  <c r="AG54" i="21"/>
  <c r="AG48" i="21"/>
  <c r="AG44" i="21"/>
  <c r="AG78" i="21"/>
  <c r="AG57" i="21"/>
  <c r="AG52" i="21"/>
  <c r="AG46" i="21"/>
  <c r="AI31" i="21"/>
  <c r="AG32" i="21"/>
  <c r="AG74" i="21"/>
  <c r="AG53" i="21"/>
  <c r="AG121" i="21"/>
  <c r="AG75" i="21"/>
  <c r="AG71" i="21"/>
  <c r="AG60" i="21"/>
  <c r="AG56" i="21"/>
  <c r="AG47" i="21"/>
  <c r="AG45" i="21"/>
  <c r="AG106" i="21"/>
  <c r="AG92" i="21"/>
  <c r="AG61" i="21"/>
  <c r="AG51" i="21"/>
  <c r="V115" i="21"/>
  <c r="U115" i="21"/>
  <c r="V102" i="21"/>
  <c r="U102" i="21"/>
  <c r="V120" i="21"/>
  <c r="U120" i="21"/>
  <c r="V116" i="21"/>
  <c r="U116" i="21"/>
  <c r="X42" i="21"/>
  <c r="W42" i="21"/>
  <c r="V100" i="21"/>
  <c r="U100" i="21"/>
  <c r="V108" i="21"/>
  <c r="U108" i="21"/>
  <c r="V111" i="21"/>
  <c r="U111" i="21"/>
  <c r="V114" i="21"/>
  <c r="U114" i="21"/>
  <c r="V113" i="21"/>
  <c r="U113" i="21"/>
  <c r="E26" i="1"/>
  <c r="E25" i="1"/>
  <c r="E29" i="1"/>
  <c r="L29" i="19"/>
  <c r="I29" i="19"/>
  <c r="P49" i="17"/>
  <c r="N50" i="17"/>
  <c r="P50" i="17" s="1"/>
  <c r="E13" i="1"/>
  <c r="E23" i="1"/>
  <c r="B59" i="9"/>
  <c r="L58" i="9"/>
  <c r="B58" i="9"/>
  <c r="B59" i="8"/>
  <c r="L58" i="8"/>
  <c r="B58" i="8"/>
  <c r="B59" i="7"/>
  <c r="B58" i="7"/>
  <c r="L58" i="7"/>
  <c r="D58" i="1"/>
  <c r="L58" i="1"/>
  <c r="X43" i="21" l="1"/>
  <c r="W43" i="21"/>
  <c r="P253" i="16"/>
  <c r="R252" i="16"/>
  <c r="T252" i="16" s="1"/>
  <c r="V252" i="16" s="1"/>
  <c r="X252" i="16" s="1"/>
  <c r="Z252" i="16" s="1"/>
  <c r="AB252" i="16" s="1"/>
  <c r="AD252" i="16" s="1"/>
  <c r="AF252" i="16" s="1"/>
  <c r="AH252" i="16" s="1"/>
  <c r="AJ252" i="16" s="1"/>
  <c r="N254" i="16"/>
  <c r="M254" i="16"/>
  <c r="F255" i="16"/>
  <c r="K255" i="16"/>
  <c r="H256" i="16"/>
  <c r="V36" i="21"/>
  <c r="U36" i="21"/>
  <c r="V54" i="21"/>
  <c r="U54" i="21"/>
  <c r="AF67" i="21"/>
  <c r="AH67" i="21" s="1"/>
  <c r="AJ67" i="21" s="1"/>
  <c r="AE67" i="21"/>
  <c r="X62" i="21"/>
  <c r="W62" i="21"/>
  <c r="U37" i="21"/>
  <c r="V37" i="21"/>
  <c r="AB40" i="21"/>
  <c r="AA40" i="21"/>
  <c r="U53" i="21"/>
  <c r="V53" i="21"/>
  <c r="X51" i="21"/>
  <c r="W51" i="21"/>
  <c r="V57" i="21"/>
  <c r="U57" i="21"/>
  <c r="V56" i="21"/>
  <c r="X56" i="21" s="1"/>
  <c r="Z56" i="21" s="1"/>
  <c r="AB56" i="21" s="1"/>
  <c r="AD56" i="21" s="1"/>
  <c r="AF56" i="21" s="1"/>
  <c r="AH56" i="21" s="1"/>
  <c r="AJ56" i="21" s="1"/>
  <c r="U56" i="21"/>
  <c r="R91" i="21"/>
  <c r="Q91" i="21"/>
  <c r="V59" i="21"/>
  <c r="U59" i="21"/>
  <c r="V39" i="21"/>
  <c r="U39" i="21"/>
  <c r="V61" i="21"/>
  <c r="U61" i="21"/>
  <c r="X35" i="21"/>
  <c r="W35" i="21"/>
  <c r="AA34" i="21"/>
  <c r="AB34" i="21"/>
  <c r="H156" i="22"/>
  <c r="H164" i="22"/>
  <c r="H36" i="22"/>
  <c r="H52" i="22"/>
  <c r="H68" i="22"/>
  <c r="H144" i="22"/>
  <c r="H188" i="22"/>
  <c r="H138" i="22"/>
  <c r="H199" i="22"/>
  <c r="H114" i="22"/>
  <c r="H152" i="22"/>
  <c r="H166" i="22"/>
  <c r="H201" i="22"/>
  <c r="H211" i="22"/>
  <c r="H88" i="22"/>
  <c r="H60" i="22"/>
  <c r="H48" i="22"/>
  <c r="H32" i="22"/>
  <c r="H76" i="22"/>
  <c r="H92" i="22"/>
  <c r="H110" i="22"/>
  <c r="H182" i="22"/>
  <c r="AG195" i="22"/>
  <c r="AI195" i="22" s="1"/>
  <c r="AF195" i="22"/>
  <c r="H195" i="22" s="1"/>
  <c r="AG197" i="22"/>
  <c r="AI197" i="22" s="1"/>
  <c r="AF197" i="22"/>
  <c r="H197" i="22" s="1"/>
  <c r="AG108" i="22"/>
  <c r="AI108" i="22" s="1"/>
  <c r="AF108" i="22"/>
  <c r="H108" i="22" s="1"/>
  <c r="H29" i="22"/>
  <c r="H40" i="22"/>
  <c r="H56" i="22"/>
  <c r="H80" i="22"/>
  <c r="H96" i="22"/>
  <c r="H124" i="22"/>
  <c r="H184" i="22"/>
  <c r="H186" i="22"/>
  <c r="AG121" i="22"/>
  <c r="AI121" i="22" s="1"/>
  <c r="AF121" i="22"/>
  <c r="H121" i="22" s="1"/>
  <c r="H34" i="22"/>
  <c r="H70" i="22"/>
  <c r="H86" i="22"/>
  <c r="H98" i="22"/>
  <c r="H106" i="22"/>
  <c r="H128" i="22"/>
  <c r="AG120" i="22"/>
  <c r="AI120" i="22" s="1"/>
  <c r="AF120" i="22"/>
  <c r="H120" i="22" s="1"/>
  <c r="AG44" i="22"/>
  <c r="AI44" i="22" s="1"/>
  <c r="AF44" i="22"/>
  <c r="H44" i="22" s="1"/>
  <c r="AG30" i="22"/>
  <c r="AI30" i="22" s="1"/>
  <c r="AF30" i="22"/>
  <c r="H30" i="22" s="1"/>
  <c r="AG46" i="22"/>
  <c r="AI46" i="22" s="1"/>
  <c r="AF46" i="22"/>
  <c r="H46" i="22" s="1"/>
  <c r="AG116" i="22"/>
  <c r="AI116" i="22" s="1"/>
  <c r="AF116" i="22"/>
  <c r="H116" i="22" s="1"/>
  <c r="H20" i="22"/>
  <c r="U50" i="21"/>
  <c r="V50" i="21"/>
  <c r="X105" i="21"/>
  <c r="W105" i="21"/>
  <c r="X101" i="21"/>
  <c r="W101" i="21"/>
  <c r="X103" i="21"/>
  <c r="W103" i="21"/>
  <c r="X114" i="21"/>
  <c r="W114" i="21"/>
  <c r="X116" i="21"/>
  <c r="W116" i="21"/>
  <c r="X107" i="21"/>
  <c r="W107" i="21"/>
  <c r="AF81" i="21"/>
  <c r="AH81" i="21" s="1"/>
  <c r="AJ81" i="21" s="1"/>
  <c r="AE81" i="21"/>
  <c r="AF79" i="21"/>
  <c r="AH79" i="21" s="1"/>
  <c r="AJ79" i="21" s="1"/>
  <c r="AE79" i="21"/>
  <c r="X110" i="21"/>
  <c r="W110" i="21"/>
  <c r="X112" i="21"/>
  <c r="W112" i="21"/>
  <c r="AB33" i="21"/>
  <c r="AA33" i="21"/>
  <c r="X118" i="21"/>
  <c r="W118" i="21"/>
  <c r="X119" i="21"/>
  <c r="W119" i="21"/>
  <c r="X109" i="21"/>
  <c r="W109" i="21"/>
  <c r="X122" i="21"/>
  <c r="W122" i="21"/>
  <c r="X121" i="21"/>
  <c r="W121" i="21"/>
  <c r="X117" i="21"/>
  <c r="W117" i="21"/>
  <c r="X108" i="21"/>
  <c r="W108" i="21"/>
  <c r="X100" i="21"/>
  <c r="W100" i="21"/>
  <c r="X102" i="21"/>
  <c r="W102" i="21"/>
  <c r="AI121" i="21"/>
  <c r="AI119" i="21"/>
  <c r="AI115" i="21"/>
  <c r="AI113" i="21"/>
  <c r="AI111" i="21"/>
  <c r="AI122" i="21"/>
  <c r="AI118" i="21"/>
  <c r="AI108" i="21"/>
  <c r="AI106" i="21"/>
  <c r="AI102" i="21"/>
  <c r="AI100" i="21"/>
  <c r="AI95" i="21"/>
  <c r="AI91" i="21"/>
  <c r="AI120" i="21"/>
  <c r="AI117" i="21"/>
  <c r="AI116" i="21"/>
  <c r="AI110" i="21"/>
  <c r="AI107" i="21"/>
  <c r="AI103" i="21"/>
  <c r="AI82" i="21"/>
  <c r="AI78" i="21"/>
  <c r="AI114" i="21"/>
  <c r="AI86" i="21"/>
  <c r="AI75" i="21"/>
  <c r="AI105" i="21"/>
  <c r="AI104" i="21"/>
  <c r="AI92" i="21"/>
  <c r="AI87" i="21"/>
  <c r="AI80" i="21"/>
  <c r="AI76" i="21"/>
  <c r="AI74" i="21"/>
  <c r="AI68" i="21"/>
  <c r="AI109" i="21"/>
  <c r="AI85" i="21"/>
  <c r="AI73" i="21"/>
  <c r="AI72" i="21"/>
  <c r="AI61" i="21"/>
  <c r="AI57" i="21"/>
  <c r="AI53" i="21"/>
  <c r="AI112" i="21"/>
  <c r="AI101" i="21"/>
  <c r="AI89" i="21"/>
  <c r="AI77" i="21"/>
  <c r="AI71" i="21"/>
  <c r="AI60" i="21"/>
  <c r="AI56" i="21"/>
  <c r="AI52" i="21"/>
  <c r="AI51" i="21"/>
  <c r="AI46" i="21"/>
  <c r="AI42" i="21"/>
  <c r="AI38" i="21"/>
  <c r="AI66" i="21"/>
  <c r="AI62" i="21"/>
  <c r="AI50" i="21"/>
  <c r="AI45" i="21"/>
  <c r="AI43" i="21"/>
  <c r="AI36" i="21"/>
  <c r="AI32" i="21"/>
  <c r="AI44" i="21"/>
  <c r="AI37" i="21"/>
  <c r="AI81" i="21"/>
  <c r="AI65" i="21"/>
  <c r="AI58" i="21"/>
  <c r="AI49" i="21"/>
  <c r="AI47" i="21"/>
  <c r="AI40" i="21"/>
  <c r="AI79" i="21"/>
  <c r="AI69" i="21"/>
  <c r="AI64" i="21"/>
  <c r="AI59" i="21"/>
  <c r="AI54" i="21"/>
  <c r="AI67" i="21"/>
  <c r="AI48" i="21"/>
  <c r="AI39" i="21"/>
  <c r="AI55" i="21"/>
  <c r="AI33" i="21"/>
  <c r="AI63" i="21"/>
  <c r="AK31" i="21"/>
  <c r="AI41" i="21"/>
  <c r="X106" i="21"/>
  <c r="W106" i="21"/>
  <c r="X113" i="21"/>
  <c r="W113" i="21"/>
  <c r="X111" i="21"/>
  <c r="W111" i="21"/>
  <c r="Z42" i="21"/>
  <c r="Y42" i="21"/>
  <c r="X120" i="21"/>
  <c r="W120" i="21"/>
  <c r="X115" i="21"/>
  <c r="W115" i="21"/>
  <c r="X104" i="21"/>
  <c r="W104" i="21"/>
  <c r="AB92" i="21"/>
  <c r="AD92" i="21" s="1"/>
  <c r="AF92" i="21" s="1"/>
  <c r="AH92" i="21" s="1"/>
  <c r="AJ92" i="21" s="1"/>
  <c r="AA92" i="21"/>
  <c r="X48" i="21"/>
  <c r="W48" i="21"/>
  <c r="D25" i="19"/>
  <c r="F25" i="19" s="1"/>
  <c r="L25" i="19" s="1"/>
  <c r="D24" i="19"/>
  <c r="F24" i="19" s="1"/>
  <c r="L24" i="19" s="1"/>
  <c r="D26" i="19"/>
  <c r="F26" i="19" s="1"/>
  <c r="L26" i="19" s="1"/>
  <c r="E14" i="1"/>
  <c r="E17" i="1"/>
  <c r="F4" i="18"/>
  <c r="D82" i="18"/>
  <c r="D81" i="18" s="1"/>
  <c r="C81" i="18"/>
  <c r="F79" i="18"/>
  <c r="I79" i="18" s="1"/>
  <c r="L79" i="18" s="1"/>
  <c r="N79" i="18" s="1"/>
  <c r="P79" i="18" s="1"/>
  <c r="R79" i="18" s="1"/>
  <c r="T79" i="18" s="1"/>
  <c r="V79" i="18" s="1"/>
  <c r="X79" i="18" s="1"/>
  <c r="Z79" i="18" s="1"/>
  <c r="AB79" i="18" s="1"/>
  <c r="AD79" i="18" s="1"/>
  <c r="AF79" i="18" s="1"/>
  <c r="AH79" i="18" s="1"/>
  <c r="F78" i="18"/>
  <c r="I78" i="18" s="1"/>
  <c r="L78" i="18" s="1"/>
  <c r="N78" i="18" s="1"/>
  <c r="P78" i="18" s="1"/>
  <c r="R78" i="18" s="1"/>
  <c r="T78" i="18" s="1"/>
  <c r="V78" i="18" s="1"/>
  <c r="X78" i="18" s="1"/>
  <c r="Z78" i="18" s="1"/>
  <c r="AB78" i="18" s="1"/>
  <c r="AD78" i="18" s="1"/>
  <c r="AF78" i="18" s="1"/>
  <c r="AH78" i="18" s="1"/>
  <c r="F77" i="18"/>
  <c r="I77" i="18" s="1"/>
  <c r="L77" i="18" s="1"/>
  <c r="N77" i="18" s="1"/>
  <c r="P77" i="18" s="1"/>
  <c r="R77" i="18" s="1"/>
  <c r="T77" i="18" s="1"/>
  <c r="V77" i="18" s="1"/>
  <c r="X77" i="18" s="1"/>
  <c r="Z77" i="18" s="1"/>
  <c r="AB77" i="18" s="1"/>
  <c r="AD77" i="18" s="1"/>
  <c r="AF77" i="18" s="1"/>
  <c r="AH77" i="18" s="1"/>
  <c r="F70" i="18"/>
  <c r="I70" i="18" s="1"/>
  <c r="L70" i="18" s="1"/>
  <c r="N70" i="18" s="1"/>
  <c r="P70" i="18" s="1"/>
  <c r="R70" i="18" s="1"/>
  <c r="T70" i="18" s="1"/>
  <c r="V70" i="18" s="1"/>
  <c r="X70" i="18" s="1"/>
  <c r="Z70" i="18" s="1"/>
  <c r="AB70" i="18" s="1"/>
  <c r="AD70" i="18" s="1"/>
  <c r="AF70" i="18" s="1"/>
  <c r="AH70" i="18" s="1"/>
  <c r="F69" i="18"/>
  <c r="I69" i="18" s="1"/>
  <c r="L69" i="18" s="1"/>
  <c r="N69" i="18" s="1"/>
  <c r="P69" i="18" s="1"/>
  <c r="R69" i="18" s="1"/>
  <c r="T69" i="18" s="1"/>
  <c r="V69" i="18" s="1"/>
  <c r="X69" i="18" s="1"/>
  <c r="Z69" i="18" s="1"/>
  <c r="AB69" i="18" s="1"/>
  <c r="AD69" i="18" s="1"/>
  <c r="AF69" i="18" s="1"/>
  <c r="AH69" i="18" s="1"/>
  <c r="F68" i="18"/>
  <c r="I68" i="18" s="1"/>
  <c r="L68" i="18" s="1"/>
  <c r="N68" i="18" s="1"/>
  <c r="P68" i="18" s="1"/>
  <c r="R68" i="18" s="1"/>
  <c r="T68" i="18" s="1"/>
  <c r="V68" i="18" s="1"/>
  <c r="X68" i="18" s="1"/>
  <c r="Z68" i="18" s="1"/>
  <c r="AB68" i="18" s="1"/>
  <c r="AD68" i="18" s="1"/>
  <c r="AF68" i="18" s="1"/>
  <c r="AH68" i="18" s="1"/>
  <c r="C61" i="18"/>
  <c r="C60" i="18"/>
  <c r="B60" i="18"/>
  <c r="D59" i="18"/>
  <c r="C59" i="18"/>
  <c r="B59" i="18"/>
  <c r="C58" i="18"/>
  <c r="B58" i="18"/>
  <c r="C57" i="18"/>
  <c r="B57" i="18"/>
  <c r="D56" i="18"/>
  <c r="C56" i="18"/>
  <c r="B56" i="18"/>
  <c r="C55" i="18"/>
  <c r="B55" i="18"/>
  <c r="D54" i="18"/>
  <c r="C54" i="18"/>
  <c r="B54" i="18"/>
  <c r="D53" i="18"/>
  <c r="C53" i="18"/>
  <c r="B53" i="18"/>
  <c r="D52" i="18"/>
  <c r="C52" i="18"/>
  <c r="B52" i="18"/>
  <c r="D51" i="18"/>
  <c r="C51" i="18"/>
  <c r="B51" i="18"/>
  <c r="D50" i="18"/>
  <c r="C50" i="18"/>
  <c r="B50" i="18"/>
  <c r="D49" i="18"/>
  <c r="C49" i="18"/>
  <c r="B49" i="18"/>
  <c r="C48" i="18"/>
  <c r="B48" i="18"/>
  <c r="D47" i="18"/>
  <c r="C47" i="18"/>
  <c r="B47" i="18"/>
  <c r="D46" i="18"/>
  <c r="C46" i="18"/>
  <c r="B46" i="18"/>
  <c r="C45" i="18"/>
  <c r="B45" i="18"/>
  <c r="D44" i="18"/>
  <c r="C44" i="18"/>
  <c r="B44" i="18"/>
  <c r="C43" i="18"/>
  <c r="B43" i="18"/>
  <c r="D42" i="18"/>
  <c r="C42" i="18"/>
  <c r="B42" i="18"/>
  <c r="C41" i="18"/>
  <c r="B41" i="18"/>
  <c r="C40" i="18"/>
  <c r="B40" i="18"/>
  <c r="D39" i="18"/>
  <c r="C39" i="18"/>
  <c r="B39" i="18"/>
  <c r="D38" i="18"/>
  <c r="C38" i="18"/>
  <c r="B38" i="18"/>
  <c r="C37" i="18"/>
  <c r="B37" i="18"/>
  <c r="D36" i="18"/>
  <c r="C36" i="18"/>
  <c r="B36" i="18"/>
  <c r="D35" i="18"/>
  <c r="C35" i="18"/>
  <c r="B35" i="18"/>
  <c r="C34" i="18"/>
  <c r="B34" i="18"/>
  <c r="D33" i="18"/>
  <c r="C33" i="18"/>
  <c r="B33" i="18"/>
  <c r="D32" i="18"/>
  <c r="C32" i="18"/>
  <c r="B32" i="18"/>
  <c r="D31" i="18"/>
  <c r="C31" i="18"/>
  <c r="B31" i="18"/>
  <c r="D30" i="18"/>
  <c r="C30" i="18"/>
  <c r="B30" i="18"/>
  <c r="D29" i="18"/>
  <c r="C29" i="18"/>
  <c r="B29" i="18"/>
  <c r="D28" i="18"/>
  <c r="C28" i="18"/>
  <c r="B28" i="18"/>
  <c r="M27" i="18"/>
  <c r="J27" i="18"/>
  <c r="I27" i="18"/>
  <c r="H27" i="18"/>
  <c r="C27" i="18"/>
  <c r="J21" i="18"/>
  <c r="B21" i="18"/>
  <c r="B20" i="18"/>
  <c r="J19" i="18"/>
  <c r="B19" i="18"/>
  <c r="J18" i="18"/>
  <c r="B18" i="18"/>
  <c r="J17" i="18"/>
  <c r="B17" i="18"/>
  <c r="B16" i="18"/>
  <c r="J15" i="18"/>
  <c r="B15" i="18"/>
  <c r="B14" i="18"/>
  <c r="J13" i="18"/>
  <c r="B13" i="18"/>
  <c r="J12" i="18"/>
  <c r="B12" i="18"/>
  <c r="B11" i="18"/>
  <c r="B10" i="18"/>
  <c r="B9" i="18"/>
  <c r="B8" i="18"/>
  <c r="B7" i="18"/>
  <c r="B6" i="18"/>
  <c r="B5" i="18"/>
  <c r="J4" i="18"/>
  <c r="B4" i="18"/>
  <c r="J3" i="18"/>
  <c r="B3" i="18"/>
  <c r="B2" i="18"/>
  <c r="C1" i="18"/>
  <c r="AD33" i="21" l="1"/>
  <c r="AC33" i="21"/>
  <c r="X54" i="21"/>
  <c r="W54" i="21"/>
  <c r="Z43" i="21"/>
  <c r="Y43" i="21"/>
  <c r="P254" i="16"/>
  <c r="K256" i="16"/>
  <c r="F256" i="16"/>
  <c r="H257" i="16"/>
  <c r="R253" i="16"/>
  <c r="T253" i="16" s="1"/>
  <c r="V253" i="16" s="1"/>
  <c r="X253" i="16" s="1"/>
  <c r="Z253" i="16" s="1"/>
  <c r="AB253" i="16" s="1"/>
  <c r="AD253" i="16" s="1"/>
  <c r="AF253" i="16" s="1"/>
  <c r="AH253" i="16" s="1"/>
  <c r="AJ253" i="16" s="1"/>
  <c r="M255" i="16"/>
  <c r="N255" i="16"/>
  <c r="X36" i="21"/>
  <c r="W36" i="21"/>
  <c r="Z35" i="21"/>
  <c r="Y35" i="21"/>
  <c r="X39" i="21"/>
  <c r="W39" i="21"/>
  <c r="X53" i="21"/>
  <c r="W53" i="21"/>
  <c r="X37" i="21"/>
  <c r="W37" i="21"/>
  <c r="AC34" i="21"/>
  <c r="AD34" i="21"/>
  <c r="T91" i="21"/>
  <c r="S91" i="21"/>
  <c r="X57" i="21"/>
  <c r="W57" i="21"/>
  <c r="X61" i="21"/>
  <c r="W61" i="21"/>
  <c r="X59" i="21"/>
  <c r="W59" i="21"/>
  <c r="F3" i="18"/>
  <c r="F42" i="18" s="1"/>
  <c r="I42" i="18" s="1"/>
  <c r="L42" i="18" s="1"/>
  <c r="N42" i="18" s="1"/>
  <c r="P42" i="18" s="1"/>
  <c r="R42" i="18" s="1"/>
  <c r="T42" i="18" s="1"/>
  <c r="V42" i="18" s="1"/>
  <c r="X42" i="18" s="1"/>
  <c r="Z42" i="18" s="1"/>
  <c r="AB42" i="18" s="1"/>
  <c r="AD42" i="18" s="1"/>
  <c r="AF42" i="18" s="1"/>
  <c r="AH42" i="18" s="1"/>
  <c r="Z51" i="21"/>
  <c r="AB51" i="21" s="1"/>
  <c r="AD51" i="21" s="1"/>
  <c r="AF51" i="21" s="1"/>
  <c r="AH51" i="21" s="1"/>
  <c r="AJ51" i="21" s="1"/>
  <c r="Y51" i="21"/>
  <c r="AD40" i="21"/>
  <c r="AC40" i="21"/>
  <c r="Z62" i="21"/>
  <c r="Y62" i="21"/>
  <c r="W50" i="21"/>
  <c r="X50" i="21"/>
  <c r="Z119" i="21"/>
  <c r="Y119" i="21"/>
  <c r="Z118" i="21"/>
  <c r="Y118" i="21"/>
  <c r="Z117" i="21"/>
  <c r="Y117" i="21"/>
  <c r="Z122" i="21"/>
  <c r="Y122" i="21"/>
  <c r="Z102" i="21"/>
  <c r="Y102" i="21"/>
  <c r="Z108" i="21"/>
  <c r="Y108" i="21"/>
  <c r="Z110" i="21"/>
  <c r="Y110" i="21"/>
  <c r="Z106" i="21"/>
  <c r="Y106" i="21"/>
  <c r="Z100" i="21"/>
  <c r="Y100" i="21"/>
  <c r="Z112" i="21"/>
  <c r="Y112" i="21"/>
  <c r="Z107" i="21"/>
  <c r="Y107" i="21"/>
  <c r="Z120" i="21"/>
  <c r="Y120" i="21"/>
  <c r="Z111" i="21"/>
  <c r="Y111" i="21"/>
  <c r="Z103" i="21"/>
  <c r="Y103" i="21"/>
  <c r="Z113" i="21"/>
  <c r="Y113" i="21"/>
  <c r="Z48" i="21"/>
  <c r="AB48" i="21" s="1"/>
  <c r="AD48" i="21" s="1"/>
  <c r="AF48" i="21" s="1"/>
  <c r="AH48" i="21" s="1"/>
  <c r="AJ48" i="21" s="1"/>
  <c r="Y48" i="21"/>
  <c r="Z104" i="21"/>
  <c r="Y104" i="21"/>
  <c r="Z115" i="21"/>
  <c r="Y115" i="21"/>
  <c r="AB42" i="21"/>
  <c r="AA42" i="21"/>
  <c r="AK117" i="21"/>
  <c r="AK120" i="21"/>
  <c r="AK116" i="21"/>
  <c r="AK114" i="21"/>
  <c r="AK122" i="21"/>
  <c r="AK119" i="21"/>
  <c r="AK115" i="21"/>
  <c r="AK113" i="21"/>
  <c r="AK112" i="21"/>
  <c r="AK110" i="21"/>
  <c r="AK104" i="21"/>
  <c r="AK121" i="21"/>
  <c r="AK106" i="21"/>
  <c r="AK102" i="21"/>
  <c r="AK95" i="21"/>
  <c r="AK86" i="21"/>
  <c r="G86" i="21" s="1"/>
  <c r="AK80" i="21"/>
  <c r="G80" i="21" s="1"/>
  <c r="AK76" i="21"/>
  <c r="G76" i="21" s="1"/>
  <c r="AK105" i="21"/>
  <c r="AK100" i="21"/>
  <c r="AK92" i="21"/>
  <c r="G92" i="21" s="1"/>
  <c r="AK91" i="21"/>
  <c r="AK89" i="21"/>
  <c r="G89" i="21" s="1"/>
  <c r="AK87" i="21"/>
  <c r="G87" i="21" s="1"/>
  <c r="AK73" i="21"/>
  <c r="G73" i="21" s="1"/>
  <c r="AK118" i="21"/>
  <c r="AK109" i="21"/>
  <c r="AK107" i="21"/>
  <c r="AK85" i="21"/>
  <c r="G85" i="21" s="1"/>
  <c r="AK81" i="21"/>
  <c r="G81" i="21" s="1"/>
  <c r="AK79" i="21"/>
  <c r="G79" i="21" s="1"/>
  <c r="AK77" i="21"/>
  <c r="G77" i="21" s="1"/>
  <c r="AK72" i="21"/>
  <c r="G72" i="21" s="1"/>
  <c r="AK101" i="21"/>
  <c r="AK74" i="21"/>
  <c r="G74" i="21" s="1"/>
  <c r="AK59" i="21"/>
  <c r="AK55" i="21"/>
  <c r="G55" i="21" s="1"/>
  <c r="AK50" i="21"/>
  <c r="AK78" i="21"/>
  <c r="G78" i="21" s="1"/>
  <c r="AK75" i="21"/>
  <c r="G75" i="21" s="1"/>
  <c r="AK67" i="21"/>
  <c r="G67" i="21" s="1"/>
  <c r="AK66" i="21"/>
  <c r="AK65" i="21"/>
  <c r="AK64" i="21"/>
  <c r="G64" i="21" s="1"/>
  <c r="AK63" i="21"/>
  <c r="AK62" i="21"/>
  <c r="AK58" i="21"/>
  <c r="AK54" i="21"/>
  <c r="AK48" i="21"/>
  <c r="AK44" i="21"/>
  <c r="AK40" i="21"/>
  <c r="AK36" i="21"/>
  <c r="AK111" i="21"/>
  <c r="AK103" i="21"/>
  <c r="AK60" i="21"/>
  <c r="G60" i="21" s="1"/>
  <c r="AK56" i="21"/>
  <c r="G56" i="21" s="1"/>
  <c r="AK49" i="21"/>
  <c r="AK42" i="21"/>
  <c r="AK32" i="21"/>
  <c r="G32" i="21" s="1"/>
  <c r="AK68" i="21"/>
  <c r="AK108" i="21"/>
  <c r="AK71" i="21"/>
  <c r="G71" i="21" s="1"/>
  <c r="AK69" i="21"/>
  <c r="AK61" i="21"/>
  <c r="AK51" i="21"/>
  <c r="AK46" i="21"/>
  <c r="G46" i="21" s="1"/>
  <c r="AK39" i="21"/>
  <c r="AK37" i="21"/>
  <c r="AK33" i="21"/>
  <c r="AK57" i="21"/>
  <c r="AK52" i="21"/>
  <c r="AK43" i="21"/>
  <c r="AK41" i="21"/>
  <c r="AK82" i="21"/>
  <c r="G82" i="21" s="1"/>
  <c r="AK53" i="21"/>
  <c r="AK47" i="21"/>
  <c r="AK45" i="21"/>
  <c r="AK38" i="21"/>
  <c r="Z121" i="21"/>
  <c r="Y121" i="21"/>
  <c r="Z109" i="21"/>
  <c r="Y109" i="21"/>
  <c r="Z116" i="21"/>
  <c r="Y116" i="21"/>
  <c r="Z114" i="21"/>
  <c r="Y114" i="21"/>
  <c r="Z101" i="21"/>
  <c r="Y101" i="21"/>
  <c r="Z105" i="21"/>
  <c r="Y105" i="21"/>
  <c r="I25" i="19"/>
  <c r="I23" i="19"/>
  <c r="I24" i="19"/>
  <c r="I26" i="19"/>
  <c r="F22" i="18"/>
  <c r="M70" i="18"/>
  <c r="F71" i="18"/>
  <c r="I71" i="18" s="1"/>
  <c r="L71" i="18" s="1"/>
  <c r="N71" i="18" s="1"/>
  <c r="P71" i="18" s="1"/>
  <c r="R71" i="18" s="1"/>
  <c r="T71" i="18" s="1"/>
  <c r="V71" i="18" s="1"/>
  <c r="X71" i="18" s="1"/>
  <c r="Z71" i="18" s="1"/>
  <c r="AB71" i="18" s="1"/>
  <c r="AD71" i="18" s="1"/>
  <c r="AF71" i="18" s="1"/>
  <c r="AH71" i="18" s="1"/>
  <c r="F67" i="18"/>
  <c r="I67" i="18" s="1"/>
  <c r="L67" i="18" s="1"/>
  <c r="N67" i="18" s="1"/>
  <c r="P67" i="18" s="1"/>
  <c r="R67" i="18" s="1"/>
  <c r="T67" i="18" s="1"/>
  <c r="V67" i="18" s="1"/>
  <c r="X67" i="18" s="1"/>
  <c r="Z67" i="18" s="1"/>
  <c r="AB67" i="18" s="1"/>
  <c r="AD67" i="18" s="1"/>
  <c r="AF67" i="18" s="1"/>
  <c r="AH67" i="18" s="1"/>
  <c r="F73" i="18"/>
  <c r="I73" i="18" s="1"/>
  <c r="L73" i="18" s="1"/>
  <c r="N73" i="18" s="1"/>
  <c r="P73" i="18" s="1"/>
  <c r="R73" i="18" s="1"/>
  <c r="T73" i="18" s="1"/>
  <c r="V73" i="18" s="1"/>
  <c r="X73" i="18" s="1"/>
  <c r="Z73" i="18" s="1"/>
  <c r="AB73" i="18" s="1"/>
  <c r="AD73" i="18" s="1"/>
  <c r="AF73" i="18" s="1"/>
  <c r="AH73" i="18" s="1"/>
  <c r="F64" i="18"/>
  <c r="I64" i="18" s="1"/>
  <c r="L64" i="18" s="1"/>
  <c r="N64" i="18" s="1"/>
  <c r="P64" i="18" s="1"/>
  <c r="R64" i="18" s="1"/>
  <c r="T64" i="18" s="1"/>
  <c r="V64" i="18" s="1"/>
  <c r="X64" i="18" s="1"/>
  <c r="Z64" i="18" s="1"/>
  <c r="AB64" i="18" s="1"/>
  <c r="AD64" i="18" s="1"/>
  <c r="AF64" i="18" s="1"/>
  <c r="AH64" i="18" s="1"/>
  <c r="F63" i="18"/>
  <c r="I63" i="18" s="1"/>
  <c r="L63" i="18" s="1"/>
  <c r="N63" i="18" s="1"/>
  <c r="P63" i="18" s="1"/>
  <c r="R63" i="18" s="1"/>
  <c r="T63" i="18" s="1"/>
  <c r="V63" i="18" s="1"/>
  <c r="X63" i="18" s="1"/>
  <c r="Z63" i="18" s="1"/>
  <c r="AB63" i="18" s="1"/>
  <c r="AD63" i="18" s="1"/>
  <c r="AF63" i="18" s="1"/>
  <c r="AH63" i="18" s="1"/>
  <c r="F74" i="18"/>
  <c r="I74" i="18" s="1"/>
  <c r="F72" i="18"/>
  <c r="I72" i="18" s="1"/>
  <c r="L72" i="18" s="1"/>
  <c r="N72" i="18" s="1"/>
  <c r="P72" i="18" s="1"/>
  <c r="R72" i="18" s="1"/>
  <c r="T72" i="18" s="1"/>
  <c r="V72" i="18" s="1"/>
  <c r="X72" i="18" s="1"/>
  <c r="Z72" i="18" s="1"/>
  <c r="AB72" i="18" s="1"/>
  <c r="AD72" i="18" s="1"/>
  <c r="AF72" i="18" s="1"/>
  <c r="AH72" i="18" s="1"/>
  <c r="F66" i="18"/>
  <c r="I66" i="18" s="1"/>
  <c r="F65" i="18"/>
  <c r="I65" i="18" s="1"/>
  <c r="F28" i="18"/>
  <c r="I28" i="18" s="1"/>
  <c r="K78" i="18"/>
  <c r="M79" i="18"/>
  <c r="M69" i="18"/>
  <c r="M78" i="18"/>
  <c r="M68" i="18"/>
  <c r="K79" i="18"/>
  <c r="K77" i="18"/>
  <c r="K69" i="18"/>
  <c r="O27" i="18"/>
  <c r="K68" i="18"/>
  <c r="K70" i="18"/>
  <c r="M77" i="18"/>
  <c r="AB43" i="21" l="1"/>
  <c r="AA43" i="21"/>
  <c r="Z54" i="21"/>
  <c r="AB54" i="21" s="1"/>
  <c r="AD54" i="21" s="1"/>
  <c r="AF54" i="21" s="1"/>
  <c r="AH54" i="21" s="1"/>
  <c r="AJ54" i="21" s="1"/>
  <c r="Y54" i="21"/>
  <c r="G54" i="21" s="1"/>
  <c r="AF33" i="21"/>
  <c r="AE33" i="21"/>
  <c r="AD42" i="21"/>
  <c r="AC42" i="21"/>
  <c r="F257" i="16"/>
  <c r="K257" i="16"/>
  <c r="H258" i="16"/>
  <c r="P255" i="16"/>
  <c r="R254" i="16"/>
  <c r="T254" i="16" s="1"/>
  <c r="V254" i="16" s="1"/>
  <c r="X254" i="16" s="1"/>
  <c r="Z254" i="16" s="1"/>
  <c r="AB254" i="16" s="1"/>
  <c r="AD254" i="16" s="1"/>
  <c r="AF254" i="16" s="1"/>
  <c r="AH254" i="16" s="1"/>
  <c r="AJ254" i="16" s="1"/>
  <c r="N256" i="16"/>
  <c r="M256" i="16"/>
  <c r="F59" i="18"/>
  <c r="I59" i="18" s="1"/>
  <c r="G51" i="21"/>
  <c r="F30" i="18"/>
  <c r="I30" i="18" s="1"/>
  <c r="Z36" i="21"/>
  <c r="Y36" i="21"/>
  <c r="AF40" i="21"/>
  <c r="AE40" i="21"/>
  <c r="F16" i="18"/>
  <c r="F20" i="18" s="1"/>
  <c r="F17" i="18" s="1"/>
  <c r="F26" i="18"/>
  <c r="Y61" i="21"/>
  <c r="G61" i="21" s="1"/>
  <c r="Z61" i="21"/>
  <c r="AB61" i="21" s="1"/>
  <c r="AD61" i="21" s="1"/>
  <c r="AF61" i="21" s="1"/>
  <c r="AH61" i="21" s="1"/>
  <c r="AJ61" i="21" s="1"/>
  <c r="U91" i="21"/>
  <c r="V91" i="21"/>
  <c r="Z37" i="21"/>
  <c r="Y37" i="21"/>
  <c r="Z39" i="21"/>
  <c r="Y39" i="21"/>
  <c r="I3" i="18"/>
  <c r="AF34" i="21"/>
  <c r="AE34" i="21"/>
  <c r="F36" i="18"/>
  <c r="I36" i="18" s="1"/>
  <c r="K36" i="18" s="1"/>
  <c r="L3" i="18"/>
  <c r="N3" i="18" s="1"/>
  <c r="AB62" i="21"/>
  <c r="AA62" i="21"/>
  <c r="Y59" i="21"/>
  <c r="Z59" i="21"/>
  <c r="Z57" i="21"/>
  <c r="Y57" i="21"/>
  <c r="Y53" i="21"/>
  <c r="G53" i="21" s="1"/>
  <c r="Z53" i="21"/>
  <c r="AB53" i="21" s="1"/>
  <c r="AD53" i="21" s="1"/>
  <c r="AF53" i="21" s="1"/>
  <c r="AH53" i="21" s="1"/>
  <c r="AJ53" i="21" s="1"/>
  <c r="AA35" i="21"/>
  <c r="AB35" i="21"/>
  <c r="F81" i="18"/>
  <c r="I81" i="18" s="1"/>
  <c r="L81" i="18" s="1"/>
  <c r="N81" i="18" s="1"/>
  <c r="P81" i="18" s="1"/>
  <c r="R81" i="18" s="1"/>
  <c r="T81" i="18" s="1"/>
  <c r="V81" i="18" s="1"/>
  <c r="X81" i="18" s="1"/>
  <c r="Z81" i="18" s="1"/>
  <c r="AB81" i="18" s="1"/>
  <c r="AD81" i="18" s="1"/>
  <c r="AF81" i="18" s="1"/>
  <c r="AH81" i="18" s="1"/>
  <c r="F56" i="18"/>
  <c r="I56" i="18" s="1"/>
  <c r="L56" i="18" s="1"/>
  <c r="N56" i="18" s="1"/>
  <c r="P56" i="18" s="1"/>
  <c r="R56" i="18" s="1"/>
  <c r="T56" i="18" s="1"/>
  <c r="V56" i="18" s="1"/>
  <c r="X56" i="18" s="1"/>
  <c r="Z56" i="18" s="1"/>
  <c r="AB56" i="18" s="1"/>
  <c r="AD56" i="18" s="1"/>
  <c r="AF56" i="18" s="1"/>
  <c r="AH56" i="18" s="1"/>
  <c r="Y50" i="21"/>
  <c r="G50" i="21" s="1"/>
  <c r="Z50" i="21"/>
  <c r="AB50" i="21" s="1"/>
  <c r="AD50" i="21" s="1"/>
  <c r="AF50" i="21" s="1"/>
  <c r="AH50" i="21" s="1"/>
  <c r="AJ50" i="21" s="1"/>
  <c r="AB116" i="21"/>
  <c r="AA116" i="21"/>
  <c r="AB104" i="21"/>
  <c r="AA104" i="21"/>
  <c r="AB113" i="21"/>
  <c r="AA113" i="21"/>
  <c r="G48" i="21"/>
  <c r="AB103" i="21"/>
  <c r="AA103" i="21"/>
  <c r="AB108" i="21"/>
  <c r="AA108" i="21"/>
  <c r="AB117" i="21"/>
  <c r="AA117" i="21"/>
  <c r="AB118" i="21"/>
  <c r="AA118" i="21"/>
  <c r="AB105" i="21"/>
  <c r="AA105" i="21"/>
  <c r="AB114" i="21"/>
  <c r="AA114" i="21"/>
  <c r="AB115" i="21"/>
  <c r="AA115" i="21"/>
  <c r="AB111" i="21"/>
  <c r="AA111" i="21"/>
  <c r="AB120" i="21"/>
  <c r="AA120" i="21"/>
  <c r="AB100" i="21"/>
  <c r="AA100" i="21"/>
  <c r="AB106" i="21"/>
  <c r="AA106" i="21"/>
  <c r="AB110" i="21"/>
  <c r="AA110" i="21"/>
  <c r="AB101" i="21"/>
  <c r="AA101" i="21"/>
  <c r="AB121" i="21"/>
  <c r="AA121" i="21"/>
  <c r="AB109" i="21"/>
  <c r="AA109" i="21"/>
  <c r="AB107" i="21"/>
  <c r="AA107" i="21"/>
  <c r="AB112" i="21"/>
  <c r="AA112" i="21"/>
  <c r="AB102" i="21"/>
  <c r="AA102" i="21"/>
  <c r="AB122" i="21"/>
  <c r="AA122" i="21"/>
  <c r="AB119" i="21"/>
  <c r="AA119" i="21"/>
  <c r="K67" i="18"/>
  <c r="K63" i="18"/>
  <c r="K71" i="18"/>
  <c r="M64" i="18"/>
  <c r="K64" i="18"/>
  <c r="K72" i="18"/>
  <c r="M73" i="18"/>
  <c r="K42" i="18"/>
  <c r="K73" i="18"/>
  <c r="M72" i="18"/>
  <c r="M42" i="18"/>
  <c r="L30" i="18"/>
  <c r="K30" i="18"/>
  <c r="L74" i="18"/>
  <c r="K74" i="18"/>
  <c r="L28" i="18"/>
  <c r="K28" i="18"/>
  <c r="M67" i="18"/>
  <c r="L66" i="18"/>
  <c r="K66" i="18"/>
  <c r="O77" i="18"/>
  <c r="O71" i="18"/>
  <c r="O67" i="18"/>
  <c r="O72" i="18"/>
  <c r="O70" i="18"/>
  <c r="O68" i="18"/>
  <c r="O64" i="18"/>
  <c r="O63" i="18"/>
  <c r="O78" i="18"/>
  <c r="O73" i="18"/>
  <c r="O42" i="18"/>
  <c r="O69" i="18"/>
  <c r="Q27" i="18"/>
  <c r="O79" i="18"/>
  <c r="L59" i="18"/>
  <c r="K59" i="18"/>
  <c r="K65" i="18"/>
  <c r="L65" i="18"/>
  <c r="M63" i="18"/>
  <c r="M71" i="18"/>
  <c r="L88" i="9"/>
  <c r="F88" i="9"/>
  <c r="K88" i="9" s="1"/>
  <c r="N88" i="9" s="1"/>
  <c r="P88" i="9" s="1"/>
  <c r="R88" i="9" s="1"/>
  <c r="T88" i="9" s="1"/>
  <c r="V88" i="9" s="1"/>
  <c r="X88" i="9" s="1"/>
  <c r="Z88" i="9" s="1"/>
  <c r="AB88" i="9" s="1"/>
  <c r="AD88" i="9" s="1"/>
  <c r="AF88" i="9" s="1"/>
  <c r="AH88" i="9" s="1"/>
  <c r="AJ88" i="9" s="1"/>
  <c r="L87" i="8"/>
  <c r="F87" i="8"/>
  <c r="K87" i="8" s="1"/>
  <c r="N87" i="8" s="1"/>
  <c r="P87" i="8" s="1"/>
  <c r="R87" i="8" s="1"/>
  <c r="T87" i="8" s="1"/>
  <c r="V87" i="8" s="1"/>
  <c r="X87" i="8" s="1"/>
  <c r="Z87" i="8" s="1"/>
  <c r="AB87" i="8" s="1"/>
  <c r="AD87" i="8" s="1"/>
  <c r="AF87" i="8" s="1"/>
  <c r="AH87" i="8" s="1"/>
  <c r="AJ87" i="8" s="1"/>
  <c r="L87" i="7"/>
  <c r="F87" i="7"/>
  <c r="K87" i="7" s="1"/>
  <c r="N87" i="7" s="1"/>
  <c r="P87" i="7" s="1"/>
  <c r="R87" i="7" s="1"/>
  <c r="T87" i="7" s="1"/>
  <c r="V87" i="7" s="1"/>
  <c r="X87" i="7" s="1"/>
  <c r="Z87" i="7" s="1"/>
  <c r="AB87" i="7" s="1"/>
  <c r="AD87" i="7" s="1"/>
  <c r="AF87" i="7" s="1"/>
  <c r="AH87" i="7" s="1"/>
  <c r="AJ87" i="7" s="1"/>
  <c r="F87" i="1"/>
  <c r="K87" i="1" s="1"/>
  <c r="L87" i="1"/>
  <c r="AB37" i="21" l="1"/>
  <c r="AA37" i="21"/>
  <c r="AH33" i="21"/>
  <c r="AJ33" i="21" s="1"/>
  <c r="AG33" i="21"/>
  <c r="G33" i="21" s="1"/>
  <c r="AB59" i="21"/>
  <c r="AA59" i="21"/>
  <c r="AD43" i="21"/>
  <c r="AC43" i="21"/>
  <c r="AD62" i="21"/>
  <c r="AC62" i="21"/>
  <c r="AF42" i="21"/>
  <c r="AE42" i="21"/>
  <c r="AH40" i="21"/>
  <c r="AJ40" i="21" s="1"/>
  <c r="AG40" i="21"/>
  <c r="G40" i="21" s="1"/>
  <c r="R255" i="16"/>
  <c r="T255" i="16" s="1"/>
  <c r="V255" i="16" s="1"/>
  <c r="X255" i="16" s="1"/>
  <c r="Z255" i="16" s="1"/>
  <c r="AB255" i="16" s="1"/>
  <c r="AD255" i="16" s="1"/>
  <c r="AF255" i="16" s="1"/>
  <c r="AH255" i="16" s="1"/>
  <c r="AJ255" i="16" s="1"/>
  <c r="H259" i="16"/>
  <c r="K258" i="16"/>
  <c r="F258" i="16"/>
  <c r="N257" i="16"/>
  <c r="M257" i="16"/>
  <c r="P256" i="16"/>
  <c r="L36" i="18"/>
  <c r="N36" i="18" s="1"/>
  <c r="M81" i="18"/>
  <c r="AB36" i="21"/>
  <c r="AA36" i="21"/>
  <c r="M56" i="18"/>
  <c r="K56" i="18"/>
  <c r="X91" i="21"/>
  <c r="W91" i="21"/>
  <c r="L26" i="18"/>
  <c r="N26" i="18" s="1"/>
  <c r="I26" i="18"/>
  <c r="O81" i="18"/>
  <c r="AC35" i="21"/>
  <c r="AD35" i="21"/>
  <c r="AB39" i="21"/>
  <c r="AA39" i="21"/>
  <c r="O56" i="18"/>
  <c r="K81" i="18"/>
  <c r="AB57" i="21"/>
  <c r="AD57" i="21" s="1"/>
  <c r="AF57" i="21" s="1"/>
  <c r="AH57" i="21" s="1"/>
  <c r="AJ57" i="21" s="1"/>
  <c r="AA57" i="21"/>
  <c r="G57" i="21" s="1"/>
  <c r="AG34" i="21"/>
  <c r="AH34" i="21"/>
  <c r="F13" i="18"/>
  <c r="L13" i="18" s="1"/>
  <c r="N13" i="18" s="1"/>
  <c r="F5" i="18"/>
  <c r="AD105" i="21"/>
  <c r="AC105" i="21"/>
  <c r="AD117" i="21"/>
  <c r="AC117" i="21"/>
  <c r="AD113" i="21"/>
  <c r="AC113" i="21"/>
  <c r="AD109" i="21"/>
  <c r="AC109" i="21"/>
  <c r="AD106" i="21"/>
  <c r="AC106" i="21"/>
  <c r="AD111" i="21"/>
  <c r="AC111" i="21"/>
  <c r="AD103" i="21"/>
  <c r="AC103" i="21"/>
  <c r="AD102" i="21"/>
  <c r="AC102" i="21"/>
  <c r="AD107" i="21"/>
  <c r="AC107" i="21"/>
  <c r="AD114" i="21"/>
  <c r="AC114" i="21"/>
  <c r="AD118" i="21"/>
  <c r="AC118" i="21"/>
  <c r="AD108" i="21"/>
  <c r="AC108" i="21"/>
  <c r="AD104" i="21"/>
  <c r="AC104" i="21"/>
  <c r="AD119" i="21"/>
  <c r="AC119" i="21"/>
  <c r="AD122" i="21"/>
  <c r="AC122" i="21"/>
  <c r="AD112" i="21"/>
  <c r="AC112" i="21"/>
  <c r="AD116" i="21"/>
  <c r="AC116" i="21"/>
  <c r="AD121" i="21"/>
  <c r="AC121" i="21"/>
  <c r="AD101" i="21"/>
  <c r="AC101" i="21"/>
  <c r="AD110" i="21"/>
  <c r="AC110" i="21"/>
  <c r="AD100" i="21"/>
  <c r="AC100" i="21"/>
  <c r="AD120" i="21"/>
  <c r="AC120" i="21"/>
  <c r="AD115" i="21"/>
  <c r="AC115" i="21"/>
  <c r="L22" i="18"/>
  <c r="N22" i="18" s="1"/>
  <c r="I22" i="18"/>
  <c r="N59" i="18"/>
  <c r="M59" i="18"/>
  <c r="N30" i="18"/>
  <c r="M30" i="18"/>
  <c r="I4" i="18"/>
  <c r="L4" i="18"/>
  <c r="N4" i="18" s="1"/>
  <c r="F54" i="18"/>
  <c r="I54" i="18" s="1"/>
  <c r="F31" i="18"/>
  <c r="I31" i="18" s="1"/>
  <c r="N74" i="18"/>
  <c r="M74" i="18"/>
  <c r="N65" i="18"/>
  <c r="M65" i="18"/>
  <c r="Q79" i="18"/>
  <c r="Q81" i="18"/>
  <c r="Q73" i="18"/>
  <c r="Q69" i="18"/>
  <c r="Q77" i="18"/>
  <c r="Q56" i="18"/>
  <c r="Q42" i="18"/>
  <c r="Q78" i="18"/>
  <c r="Q71" i="18"/>
  <c r="Q67" i="18"/>
  <c r="Q72" i="18"/>
  <c r="Q68" i="18"/>
  <c r="Q70" i="18"/>
  <c r="Q64" i="18"/>
  <c r="Q63" i="18"/>
  <c r="S27" i="18"/>
  <c r="N66" i="18"/>
  <c r="M66" i="18"/>
  <c r="N28" i="18"/>
  <c r="M28" i="18"/>
  <c r="N87" i="1"/>
  <c r="M87" i="1"/>
  <c r="AD59" i="21" l="1"/>
  <c r="AC59" i="21"/>
  <c r="AD36" i="21"/>
  <c r="AC36" i="21"/>
  <c r="AF62" i="21"/>
  <c r="AE62" i="21"/>
  <c r="AD37" i="21"/>
  <c r="AC37" i="21"/>
  <c r="AF43" i="21"/>
  <c r="AE43" i="21"/>
  <c r="AH42" i="21"/>
  <c r="AJ42" i="21" s="1"/>
  <c r="AG42" i="21"/>
  <c r="G42" i="21" s="1"/>
  <c r="AD39" i="21"/>
  <c r="AC39" i="21"/>
  <c r="M36" i="18"/>
  <c r="N258" i="16"/>
  <c r="M258" i="16"/>
  <c r="F259" i="16"/>
  <c r="H260" i="16"/>
  <c r="K259" i="16"/>
  <c r="R256" i="16"/>
  <c r="T256" i="16" s="1"/>
  <c r="V256" i="16" s="1"/>
  <c r="X256" i="16" s="1"/>
  <c r="Z256" i="16" s="1"/>
  <c r="AB256" i="16" s="1"/>
  <c r="AD256" i="16" s="1"/>
  <c r="AF256" i="16" s="1"/>
  <c r="AH256" i="16" s="1"/>
  <c r="AJ256" i="16" s="1"/>
  <c r="P257" i="16"/>
  <c r="AJ34" i="21"/>
  <c r="AK34" i="21" s="1"/>
  <c r="AI34" i="21"/>
  <c r="AF35" i="21"/>
  <c r="AE35" i="21"/>
  <c r="Z91" i="21"/>
  <c r="Y91" i="21"/>
  <c r="I13" i="18"/>
  <c r="F8" i="18"/>
  <c r="F7" i="18" s="1"/>
  <c r="F11" i="18"/>
  <c r="I11" i="18" s="1"/>
  <c r="F9" i="18"/>
  <c r="I9" i="18" s="1"/>
  <c r="F10" i="18"/>
  <c r="F21" i="18"/>
  <c r="I17" i="18"/>
  <c r="F18" i="18"/>
  <c r="I16" i="18"/>
  <c r="L16" i="18"/>
  <c r="N16" i="18" s="1"/>
  <c r="L17" i="18"/>
  <c r="N17" i="18" s="1"/>
  <c r="F14" i="18"/>
  <c r="F12" i="18"/>
  <c r="AF116" i="21"/>
  <c r="AH116" i="21" s="1"/>
  <c r="AJ116" i="21" s="1"/>
  <c r="AE116" i="21"/>
  <c r="G116" i="21" s="1"/>
  <c r="AF122" i="21"/>
  <c r="AH122" i="21" s="1"/>
  <c r="AJ122" i="21" s="1"/>
  <c r="AE122" i="21"/>
  <c r="G122" i="21" s="1"/>
  <c r="AF104" i="21"/>
  <c r="AH104" i="21" s="1"/>
  <c r="AJ104" i="21" s="1"/>
  <c r="AE104" i="21"/>
  <c r="G104" i="21" s="1"/>
  <c r="AF118" i="21"/>
  <c r="AH118" i="21" s="1"/>
  <c r="AJ118" i="21" s="1"/>
  <c r="AE118" i="21"/>
  <c r="G118" i="21" s="1"/>
  <c r="AF111" i="21"/>
  <c r="AH111" i="21" s="1"/>
  <c r="AJ111" i="21" s="1"/>
  <c r="AE111" i="21"/>
  <c r="G111" i="21" s="1"/>
  <c r="AF109" i="21"/>
  <c r="AH109" i="21" s="1"/>
  <c r="AJ109" i="21" s="1"/>
  <c r="AE109" i="21"/>
  <c r="G109" i="21" s="1"/>
  <c r="AF113" i="21"/>
  <c r="AH113" i="21" s="1"/>
  <c r="AJ113" i="21" s="1"/>
  <c r="AE113" i="21"/>
  <c r="G113" i="21" s="1"/>
  <c r="AF105" i="21"/>
  <c r="AH105" i="21" s="1"/>
  <c r="AJ105" i="21" s="1"/>
  <c r="AE105" i="21"/>
  <c r="G105" i="21" s="1"/>
  <c r="AF115" i="21"/>
  <c r="AH115" i="21" s="1"/>
  <c r="AJ115" i="21" s="1"/>
  <c r="AE115" i="21"/>
  <c r="G115" i="21" s="1"/>
  <c r="AF100" i="21"/>
  <c r="AH100" i="21" s="1"/>
  <c r="AJ100" i="21" s="1"/>
  <c r="AE100" i="21"/>
  <c r="G100" i="21" s="1"/>
  <c r="AF101" i="21"/>
  <c r="AH101" i="21" s="1"/>
  <c r="AJ101" i="21" s="1"/>
  <c r="AE101" i="21"/>
  <c r="G101" i="21" s="1"/>
  <c r="AF102" i="21"/>
  <c r="AH102" i="21" s="1"/>
  <c r="AJ102" i="21" s="1"/>
  <c r="AE102" i="21"/>
  <c r="G102" i="21" s="1"/>
  <c r="AF112" i="21"/>
  <c r="AH112" i="21" s="1"/>
  <c r="AJ112" i="21" s="1"/>
  <c r="AE112" i="21"/>
  <c r="G112" i="21" s="1"/>
  <c r="AF119" i="21"/>
  <c r="AH119" i="21" s="1"/>
  <c r="AJ119" i="21" s="1"/>
  <c r="AE119" i="21"/>
  <c r="G119" i="21" s="1"/>
  <c r="AF108" i="21"/>
  <c r="AH108" i="21" s="1"/>
  <c r="AJ108" i="21" s="1"/>
  <c r="AE108" i="21"/>
  <c r="G108" i="21" s="1"/>
  <c r="AF114" i="21"/>
  <c r="AH114" i="21" s="1"/>
  <c r="AJ114" i="21" s="1"/>
  <c r="AE114" i="21"/>
  <c r="G114" i="21" s="1"/>
  <c r="AF103" i="21"/>
  <c r="AH103" i="21" s="1"/>
  <c r="AJ103" i="21" s="1"/>
  <c r="AE103" i="21"/>
  <c r="G103" i="21" s="1"/>
  <c r="AF106" i="21"/>
  <c r="AH106" i="21" s="1"/>
  <c r="AJ106" i="21" s="1"/>
  <c r="AE106" i="21"/>
  <c r="G106" i="21" s="1"/>
  <c r="AF117" i="21"/>
  <c r="AH117" i="21" s="1"/>
  <c r="AJ117" i="21" s="1"/>
  <c r="AE117" i="21"/>
  <c r="G117" i="21" s="1"/>
  <c r="AF120" i="21"/>
  <c r="AH120" i="21" s="1"/>
  <c r="AJ120" i="21" s="1"/>
  <c r="AE120" i="21"/>
  <c r="G120" i="21" s="1"/>
  <c r="AF110" i="21"/>
  <c r="AH110" i="21" s="1"/>
  <c r="AJ110" i="21" s="1"/>
  <c r="AE110" i="21"/>
  <c r="G110" i="21" s="1"/>
  <c r="AF121" i="21"/>
  <c r="AH121" i="21" s="1"/>
  <c r="AJ121" i="21" s="1"/>
  <c r="AE121" i="21"/>
  <c r="G121" i="21" s="1"/>
  <c r="AF107" i="21"/>
  <c r="AH107" i="21" s="1"/>
  <c r="AJ107" i="21" s="1"/>
  <c r="AE107" i="21"/>
  <c r="G107" i="21" s="1"/>
  <c r="S78" i="18"/>
  <c r="S77" i="18"/>
  <c r="S71" i="18"/>
  <c r="S67" i="18"/>
  <c r="S64" i="18"/>
  <c r="S72" i="18"/>
  <c r="S70" i="18"/>
  <c r="S68" i="18"/>
  <c r="S63" i="18"/>
  <c r="U27" i="18"/>
  <c r="S79" i="18"/>
  <c r="S69" i="18"/>
  <c r="S56" i="18"/>
  <c r="S42" i="18"/>
  <c r="S81" i="18"/>
  <c r="S73" i="18"/>
  <c r="I6" i="18"/>
  <c r="F46" i="18"/>
  <c r="I46" i="18" s="1"/>
  <c r="L6" i="18"/>
  <c r="N6" i="18" s="1"/>
  <c r="L54" i="18"/>
  <c r="K54" i="18"/>
  <c r="P36" i="18"/>
  <c r="O36" i="18"/>
  <c r="I5" i="18"/>
  <c r="L5" i="18"/>
  <c r="N5" i="18" s="1"/>
  <c r="F32" i="18"/>
  <c r="I32" i="18" s="1"/>
  <c r="F33" i="18"/>
  <c r="I33" i="18" s="1"/>
  <c r="P74" i="18"/>
  <c r="O74" i="18"/>
  <c r="P30" i="18"/>
  <c r="O30" i="18"/>
  <c r="P59" i="18"/>
  <c r="O59" i="18"/>
  <c r="P66" i="18"/>
  <c r="O66" i="18"/>
  <c r="P28" i="18"/>
  <c r="O28" i="18"/>
  <c r="P65" i="18"/>
  <c r="O65" i="18"/>
  <c r="L31" i="18"/>
  <c r="K31" i="18"/>
  <c r="P87" i="1"/>
  <c r="L186" i="16"/>
  <c r="L185" i="16"/>
  <c r="L184"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H136" i="16"/>
  <c r="H137" i="16" s="1"/>
  <c r="K137" i="16" s="1"/>
  <c r="N137" i="16" s="1"/>
  <c r="L147" i="16"/>
  <c r="L146" i="16"/>
  <c r="L145" i="16"/>
  <c r="L144" i="16"/>
  <c r="L143" i="16"/>
  <c r="L142" i="16"/>
  <c r="L141" i="16"/>
  <c r="L140" i="16"/>
  <c r="L139" i="16"/>
  <c r="L138" i="16"/>
  <c r="L137" i="16"/>
  <c r="L136" i="16"/>
  <c r="L135" i="16"/>
  <c r="K135" i="16"/>
  <c r="M135" i="16" s="1"/>
  <c r="L187" i="16"/>
  <c r="AH62" i="21" l="1"/>
  <c r="AJ62" i="21" s="1"/>
  <c r="AG62" i="21"/>
  <c r="G62" i="21" s="1"/>
  <c r="AF36" i="21"/>
  <c r="AE36" i="21"/>
  <c r="AH43" i="21"/>
  <c r="AJ43" i="21" s="1"/>
  <c r="AG43" i="21"/>
  <c r="G43" i="21" s="1"/>
  <c r="AF59" i="21"/>
  <c r="AE59" i="21"/>
  <c r="AF37" i="21"/>
  <c r="AE37" i="21"/>
  <c r="AF39" i="21"/>
  <c r="AE39" i="21"/>
  <c r="F260" i="16"/>
  <c r="H261" i="16"/>
  <c r="K260" i="16"/>
  <c r="N259" i="16"/>
  <c r="M259" i="16"/>
  <c r="R257" i="16"/>
  <c r="T257" i="16" s="1"/>
  <c r="V257" i="16" s="1"/>
  <c r="X257" i="16" s="1"/>
  <c r="Z257" i="16" s="1"/>
  <c r="AB257" i="16" s="1"/>
  <c r="AD257" i="16" s="1"/>
  <c r="AF257" i="16" s="1"/>
  <c r="AH257" i="16" s="1"/>
  <c r="AJ257" i="16" s="1"/>
  <c r="P258" i="16"/>
  <c r="L9" i="18"/>
  <c r="N9" i="18" s="1"/>
  <c r="F53" i="18"/>
  <c r="I53" i="18" s="1"/>
  <c r="K53" i="18" s="1"/>
  <c r="L11" i="18"/>
  <c r="N11" i="18" s="1"/>
  <c r="L8" i="18"/>
  <c r="N8" i="18" s="1"/>
  <c r="F51" i="18"/>
  <c r="I51" i="18" s="1"/>
  <c r="L51" i="18" s="1"/>
  <c r="F50" i="18"/>
  <c r="I50" i="18" s="1"/>
  <c r="K50" i="18" s="1"/>
  <c r="F35" i="18"/>
  <c r="I35" i="18" s="1"/>
  <c r="K35" i="18" s="1"/>
  <c r="F38" i="18"/>
  <c r="I38" i="18" s="1"/>
  <c r="K38" i="18" s="1"/>
  <c r="F44" i="18"/>
  <c r="I44" i="18" s="1"/>
  <c r="L44" i="18" s="1"/>
  <c r="F49" i="18"/>
  <c r="I49" i="18" s="1"/>
  <c r="L49" i="18" s="1"/>
  <c r="I8" i="18"/>
  <c r="F39" i="18"/>
  <c r="I39" i="18" s="1"/>
  <c r="I10" i="18"/>
  <c r="L10" i="18"/>
  <c r="N10" i="18" s="1"/>
  <c r="F52" i="18"/>
  <c r="I52" i="18" s="1"/>
  <c r="K52" i="18" s="1"/>
  <c r="AG35" i="21"/>
  <c r="AH35" i="21"/>
  <c r="F23" i="18"/>
  <c r="F1" i="23"/>
  <c r="F2" i="23"/>
  <c r="G34" i="21"/>
  <c r="AB91" i="21"/>
  <c r="AD91" i="21" s="1"/>
  <c r="AF91" i="21" s="1"/>
  <c r="AH91" i="21" s="1"/>
  <c r="AJ91" i="21" s="1"/>
  <c r="AA91" i="21"/>
  <c r="G91" i="21" s="1"/>
  <c r="F29" i="18"/>
  <c r="I29" i="18" s="1"/>
  <c r="F47" i="18"/>
  <c r="I47" i="18" s="1"/>
  <c r="I7" i="18"/>
  <c r="L7" i="18"/>
  <c r="N7" i="18" s="1"/>
  <c r="L18" i="18"/>
  <c r="N18" i="18" s="1"/>
  <c r="I18" i="18"/>
  <c r="F19" i="18"/>
  <c r="L12" i="18"/>
  <c r="N12" i="18" s="1"/>
  <c r="I12" i="18"/>
  <c r="F15" i="18"/>
  <c r="L14" i="18"/>
  <c r="N14" i="18" s="1"/>
  <c r="I14" i="18"/>
  <c r="I21" i="18"/>
  <c r="L21" i="18"/>
  <c r="N21" i="18" s="1"/>
  <c r="R59" i="18"/>
  <c r="Q59" i="18"/>
  <c r="R28" i="18"/>
  <c r="Q28" i="18"/>
  <c r="L50" i="18"/>
  <c r="R65" i="18"/>
  <c r="Q65" i="18"/>
  <c r="R66" i="18"/>
  <c r="Q66" i="18"/>
  <c r="N54" i="18"/>
  <c r="M54" i="18"/>
  <c r="L46" i="18"/>
  <c r="K46" i="18"/>
  <c r="K32" i="18"/>
  <c r="L32" i="18"/>
  <c r="R36" i="18"/>
  <c r="Q36" i="18"/>
  <c r="N31" i="18"/>
  <c r="M31" i="18"/>
  <c r="R30" i="18"/>
  <c r="Q30" i="18"/>
  <c r="R74" i="18"/>
  <c r="Q74" i="18"/>
  <c r="L33" i="18"/>
  <c r="K33" i="18"/>
  <c r="U79" i="18"/>
  <c r="U81" i="18"/>
  <c r="U73" i="18"/>
  <c r="U69" i="18"/>
  <c r="U70" i="18"/>
  <c r="U56" i="18"/>
  <c r="U52" i="18"/>
  <c r="U51" i="18"/>
  <c r="U50" i="18"/>
  <c r="U48" i="18"/>
  <c r="U43" i="18"/>
  <c r="U42" i="18"/>
  <c r="U41" i="18"/>
  <c r="U40" i="18"/>
  <c r="U39" i="18"/>
  <c r="U77" i="18"/>
  <c r="U68" i="18"/>
  <c r="U67" i="18"/>
  <c r="U64" i="18"/>
  <c r="U63" i="18"/>
  <c r="W27" i="18"/>
  <c r="U72" i="18"/>
  <c r="U71" i="18"/>
  <c r="U78" i="18"/>
  <c r="R87" i="1"/>
  <c r="K136" i="16"/>
  <c r="N136" i="16" s="1"/>
  <c r="P136" i="16" s="1"/>
  <c r="H138" i="16"/>
  <c r="H139" i="16" s="1"/>
  <c r="H140" i="16" s="1"/>
  <c r="H141" i="16" s="1"/>
  <c r="H142" i="16" s="1"/>
  <c r="H143" i="16" s="1"/>
  <c r="H144" i="16" s="1"/>
  <c r="H145" i="16" s="1"/>
  <c r="H146" i="16" s="1"/>
  <c r="H147" i="16" s="1"/>
  <c r="P137" i="16"/>
  <c r="M137" i="16"/>
  <c r="N135" i="16"/>
  <c r="P135" i="16" s="1"/>
  <c r="F143" i="9"/>
  <c r="F142" i="9"/>
  <c r="D97" i="1"/>
  <c r="L97" i="1"/>
  <c r="L98" i="1"/>
  <c r="D98" i="1"/>
  <c r="D96" i="1"/>
  <c r="F96" i="1" s="1"/>
  <c r="L96" i="1"/>
  <c r="AH37" i="21" l="1"/>
  <c r="AJ37" i="21" s="1"/>
  <c r="AG37" i="21"/>
  <c r="G37" i="21" s="1"/>
  <c r="AH36" i="21"/>
  <c r="AJ36" i="21" s="1"/>
  <c r="AG36" i="21"/>
  <c r="G36" i="21" s="1"/>
  <c r="AH59" i="21"/>
  <c r="AJ59" i="21" s="1"/>
  <c r="AG59" i="21"/>
  <c r="G59" i="21" s="1"/>
  <c r="AH39" i="21"/>
  <c r="AJ39" i="21" s="1"/>
  <c r="AG39" i="21"/>
  <c r="G39" i="21" s="1"/>
  <c r="K44" i="18"/>
  <c r="P259" i="16"/>
  <c r="F261" i="16"/>
  <c r="K261" i="16"/>
  <c r="H262" i="16"/>
  <c r="N260" i="16"/>
  <c r="M260" i="16"/>
  <c r="R258" i="16"/>
  <c r="T258" i="16" s="1"/>
  <c r="V258" i="16" s="1"/>
  <c r="X258" i="16" s="1"/>
  <c r="Z258" i="16" s="1"/>
  <c r="AB258" i="16" s="1"/>
  <c r="AD258" i="16" s="1"/>
  <c r="AF258" i="16" s="1"/>
  <c r="AH258" i="16" s="1"/>
  <c r="AJ258" i="16" s="1"/>
  <c r="L38" i="18"/>
  <c r="N38" i="18" s="1"/>
  <c r="L35" i="18"/>
  <c r="N35" i="18" s="1"/>
  <c r="L53" i="18"/>
  <c r="N53" i="18" s="1"/>
  <c r="K51" i="18"/>
  <c r="K49" i="18"/>
  <c r="L52" i="18"/>
  <c r="M52" i="18" s="1"/>
  <c r="L47" i="18"/>
  <c r="K47" i="18"/>
  <c r="K29" i="18"/>
  <c r="L29" i="18"/>
  <c r="AI35" i="21"/>
  <c r="AJ35" i="21"/>
  <c r="AK35" i="21" s="1"/>
  <c r="F24" i="18"/>
  <c r="F3" i="23" s="1"/>
  <c r="F4" i="23" s="1"/>
  <c r="F25" i="18"/>
  <c r="L25" i="18" s="1"/>
  <c r="N25" i="18" s="1"/>
  <c r="K39" i="18"/>
  <c r="L39" i="18"/>
  <c r="I15" i="18"/>
  <c r="L15" i="18"/>
  <c r="N15" i="18" s="1"/>
  <c r="I19" i="18"/>
  <c r="L19" i="18"/>
  <c r="N19" i="18" s="1"/>
  <c r="I23" i="18"/>
  <c r="L23" i="18"/>
  <c r="N23" i="18" s="1"/>
  <c r="K96" i="1"/>
  <c r="M96" i="1" s="1"/>
  <c r="F97" i="1"/>
  <c r="F98" i="1" s="1"/>
  <c r="K98" i="1" s="1"/>
  <c r="T74" i="18"/>
  <c r="S74" i="18"/>
  <c r="T59" i="18"/>
  <c r="S59" i="18"/>
  <c r="N51" i="18"/>
  <c r="M51" i="18"/>
  <c r="T66" i="18"/>
  <c r="S66" i="18"/>
  <c r="W81" i="18"/>
  <c r="W79" i="18"/>
  <c r="W77" i="18"/>
  <c r="W71" i="18"/>
  <c r="W67" i="18"/>
  <c r="W73" i="18"/>
  <c r="W69" i="18"/>
  <c r="W64" i="18"/>
  <c r="W63" i="18"/>
  <c r="W72" i="18"/>
  <c r="W41" i="18"/>
  <c r="W43" i="18"/>
  <c r="W78" i="18"/>
  <c r="W51" i="18"/>
  <c r="W40" i="18"/>
  <c r="W39" i="18"/>
  <c r="W56" i="18"/>
  <c r="W50" i="18"/>
  <c r="W48" i="18"/>
  <c r="Y27" i="18"/>
  <c r="W70" i="18"/>
  <c r="W42" i="18"/>
  <c r="W68" i="18"/>
  <c r="W52" i="18"/>
  <c r="N44" i="18"/>
  <c r="M44" i="18"/>
  <c r="T30" i="18"/>
  <c r="S30" i="18"/>
  <c r="P31" i="18"/>
  <c r="O31" i="18"/>
  <c r="T28" i="18"/>
  <c r="S28" i="18"/>
  <c r="T36" i="18"/>
  <c r="S36" i="18"/>
  <c r="N50" i="18"/>
  <c r="M50" i="18"/>
  <c r="M38" i="18"/>
  <c r="N33" i="18"/>
  <c r="M33" i="18"/>
  <c r="N32" i="18"/>
  <c r="M32" i="18"/>
  <c r="P54" i="18"/>
  <c r="O54" i="18"/>
  <c r="N49" i="18"/>
  <c r="M49" i="18"/>
  <c r="T65" i="18"/>
  <c r="S65" i="18"/>
  <c r="N46" i="18"/>
  <c r="M46" i="18"/>
  <c r="M53" i="18"/>
  <c r="T87" i="1"/>
  <c r="M136" i="16"/>
  <c r="K147" i="16"/>
  <c r="N147" i="16" s="1"/>
  <c r="P147" i="16" s="1"/>
  <c r="R147" i="16" s="1"/>
  <c r="T147" i="16" s="1"/>
  <c r="V147" i="16" s="1"/>
  <c r="X147" i="16" s="1"/>
  <c r="Z147" i="16" s="1"/>
  <c r="AB147" i="16" s="1"/>
  <c r="AD147" i="16" s="1"/>
  <c r="AF147" i="16" s="1"/>
  <c r="AH147" i="16" s="1"/>
  <c r="AJ147" i="16" s="1"/>
  <c r="H148" i="16"/>
  <c r="K141" i="16"/>
  <c r="N141" i="16" s="1"/>
  <c r="K146" i="16"/>
  <c r="N146" i="16" s="1"/>
  <c r="K143" i="16"/>
  <c r="M143" i="16" s="1"/>
  <c r="K142" i="16"/>
  <c r="M142" i="16" s="1"/>
  <c r="K144" i="16"/>
  <c r="M144" i="16" s="1"/>
  <c r="K139" i="16"/>
  <c r="M139" i="16" s="1"/>
  <c r="M147" i="16"/>
  <c r="K145" i="16"/>
  <c r="N145" i="16" s="1"/>
  <c r="K140" i="16"/>
  <c r="M140" i="16" s="1"/>
  <c r="K138" i="16"/>
  <c r="R137" i="16"/>
  <c r="T137" i="16" s="1"/>
  <c r="V137" i="16" s="1"/>
  <c r="X137" i="16" s="1"/>
  <c r="Z137" i="16" s="1"/>
  <c r="AB137" i="16" s="1"/>
  <c r="AD137" i="16" s="1"/>
  <c r="AF137" i="16" s="1"/>
  <c r="AH137" i="16" s="1"/>
  <c r="AJ137" i="16" s="1"/>
  <c r="R136" i="16"/>
  <c r="T136" i="16" s="1"/>
  <c r="V136" i="16" s="1"/>
  <c r="X136" i="16" s="1"/>
  <c r="Z136" i="16" s="1"/>
  <c r="AB136" i="16" s="1"/>
  <c r="AD136" i="16" s="1"/>
  <c r="AF136" i="16" s="1"/>
  <c r="AH136" i="16" s="1"/>
  <c r="AJ136" i="16" s="1"/>
  <c r="R135" i="16"/>
  <c r="T135" i="16" s="1"/>
  <c r="V135" i="16" s="1"/>
  <c r="X135" i="16" s="1"/>
  <c r="Z135" i="16" s="1"/>
  <c r="AB135" i="16" s="1"/>
  <c r="AD135" i="16" s="1"/>
  <c r="AF135" i="16" s="1"/>
  <c r="AH135" i="16" s="1"/>
  <c r="AJ135" i="16" s="1"/>
  <c r="E32" i="10"/>
  <c r="M35" i="18" l="1"/>
  <c r="N261" i="16"/>
  <c r="M261" i="16"/>
  <c r="P260" i="16"/>
  <c r="K262" i="16"/>
  <c r="F262" i="16"/>
  <c r="H263" i="16"/>
  <c r="R259" i="16"/>
  <c r="T259" i="16" s="1"/>
  <c r="V259" i="16" s="1"/>
  <c r="X259" i="16" s="1"/>
  <c r="Z259" i="16" s="1"/>
  <c r="AB259" i="16" s="1"/>
  <c r="AD259" i="16" s="1"/>
  <c r="AF259" i="16" s="1"/>
  <c r="AH259" i="16" s="1"/>
  <c r="AJ259" i="16" s="1"/>
  <c r="N52" i="18"/>
  <c r="O52" i="18" s="1"/>
  <c r="L24" i="18"/>
  <c r="N24" i="18" s="1"/>
  <c r="I24" i="18"/>
  <c r="I25" i="18"/>
  <c r="N39" i="18"/>
  <c r="M39" i="18"/>
  <c r="G35" i="21"/>
  <c r="F87" i="18"/>
  <c r="I87" i="18" s="1"/>
  <c r="F88" i="18"/>
  <c r="I88" i="18" s="1"/>
  <c r="F85" i="18"/>
  <c r="F86" i="18"/>
  <c r="I86" i="18" s="1"/>
  <c r="Y89" i="18"/>
  <c r="Y88" i="18"/>
  <c r="Y86" i="18"/>
  <c r="Y87" i="18"/>
  <c r="Y85" i="18"/>
  <c r="M29" i="18"/>
  <c r="N29" i="18"/>
  <c r="N47" i="18"/>
  <c r="M47" i="18"/>
  <c r="L20" i="18"/>
  <c r="N20" i="18" s="1"/>
  <c r="I20" i="18"/>
  <c r="N96" i="1"/>
  <c r="P96" i="1" s="1"/>
  <c r="M98" i="1"/>
  <c r="N98" i="1"/>
  <c r="P98" i="1" s="1"/>
  <c r="K97" i="1"/>
  <c r="P38" i="18"/>
  <c r="O38" i="18"/>
  <c r="R54" i="18"/>
  <c r="Q54" i="18"/>
  <c r="P51" i="18"/>
  <c r="O51" i="18"/>
  <c r="P53" i="18"/>
  <c r="O53" i="18"/>
  <c r="P52" i="18"/>
  <c r="P50" i="18"/>
  <c r="O50" i="18"/>
  <c r="R31" i="18"/>
  <c r="Q31" i="18"/>
  <c r="P46" i="18"/>
  <c r="O46" i="18"/>
  <c r="V30" i="18"/>
  <c r="U30" i="18"/>
  <c r="P44" i="18"/>
  <c r="O44" i="18"/>
  <c r="V59" i="18"/>
  <c r="U59" i="18"/>
  <c r="V65" i="18"/>
  <c r="U65" i="18"/>
  <c r="P33" i="18"/>
  <c r="O33" i="18"/>
  <c r="V36" i="18"/>
  <c r="U36" i="18"/>
  <c r="V28" i="18"/>
  <c r="U28" i="18"/>
  <c r="P49" i="18"/>
  <c r="O49" i="18"/>
  <c r="P32" i="18"/>
  <c r="O32" i="18"/>
  <c r="P35" i="18"/>
  <c r="O35" i="18"/>
  <c r="Y79" i="18"/>
  <c r="Y73" i="18"/>
  <c r="Y69" i="18"/>
  <c r="Y72" i="18"/>
  <c r="Y68" i="18"/>
  <c r="Y56" i="18"/>
  <c r="Y53" i="18"/>
  <c r="Y52" i="18"/>
  <c r="Y51" i="18"/>
  <c r="Y50" i="18"/>
  <c r="Y49" i="18"/>
  <c r="Y48" i="18"/>
  <c r="Y47" i="18"/>
  <c r="Y46" i="18"/>
  <c r="Y45" i="18"/>
  <c r="Y44" i="18"/>
  <c r="Y43" i="18"/>
  <c r="Y42" i="18"/>
  <c r="Y41" i="18"/>
  <c r="Y40" i="18"/>
  <c r="Y39" i="18"/>
  <c r="Y34" i="18"/>
  <c r="Y33" i="18"/>
  <c r="Y78" i="18"/>
  <c r="Y70" i="18"/>
  <c r="Y71" i="18"/>
  <c r="Y81" i="18"/>
  <c r="Y63" i="18"/>
  <c r="Y64" i="18"/>
  <c r="Y77" i="18"/>
  <c r="AA27" i="18"/>
  <c r="Y67" i="18"/>
  <c r="V66" i="18"/>
  <c r="U66" i="18"/>
  <c r="V74" i="18"/>
  <c r="U74" i="18"/>
  <c r="V87" i="1"/>
  <c r="H149" i="16"/>
  <c r="K148" i="16"/>
  <c r="N139" i="16"/>
  <c r="P139" i="16" s="1"/>
  <c r="M141" i="16"/>
  <c r="N142" i="16"/>
  <c r="P142" i="16" s="1"/>
  <c r="N143" i="16"/>
  <c r="P143" i="16" s="1"/>
  <c r="M145" i="16"/>
  <c r="M146" i="16"/>
  <c r="N140" i="16"/>
  <c r="P140" i="16" s="1"/>
  <c r="N144" i="16"/>
  <c r="P144" i="16" s="1"/>
  <c r="N138" i="16"/>
  <c r="M138" i="16"/>
  <c r="P141" i="16"/>
  <c r="P146" i="16"/>
  <c r="P145" i="16"/>
  <c r="P129" i="17"/>
  <c r="P128" i="17"/>
  <c r="R260" i="16" l="1"/>
  <c r="T260" i="16" s="1"/>
  <c r="V260" i="16" s="1"/>
  <c r="X260" i="16" s="1"/>
  <c r="Z260" i="16" s="1"/>
  <c r="AB260" i="16" s="1"/>
  <c r="AD260" i="16" s="1"/>
  <c r="AF260" i="16" s="1"/>
  <c r="AH260" i="16" s="1"/>
  <c r="AJ260" i="16" s="1"/>
  <c r="N262" i="16"/>
  <c r="M262" i="16"/>
  <c r="P261" i="16"/>
  <c r="F263" i="16"/>
  <c r="K263" i="16"/>
  <c r="H264" i="16"/>
  <c r="L87" i="18"/>
  <c r="K87" i="18"/>
  <c r="P47" i="18"/>
  <c r="O47" i="18"/>
  <c r="L86" i="18"/>
  <c r="K86" i="18"/>
  <c r="P29" i="18"/>
  <c r="O29" i="18"/>
  <c r="I85" i="18"/>
  <c r="F89" i="18"/>
  <c r="I89" i="18" s="1"/>
  <c r="AA89" i="18"/>
  <c r="AA88" i="18"/>
  <c r="AA86" i="18"/>
  <c r="AA87" i="18"/>
  <c r="AA85" i="18"/>
  <c r="L88" i="18"/>
  <c r="K88" i="18"/>
  <c r="P39" i="18"/>
  <c r="O39" i="18"/>
  <c r="M97" i="1"/>
  <c r="N97" i="1"/>
  <c r="P97" i="1" s="1"/>
  <c r="R97" i="1" s="1"/>
  <c r="R46" i="18"/>
  <c r="Q46" i="18"/>
  <c r="T31" i="18"/>
  <c r="S31" i="18"/>
  <c r="R52" i="18"/>
  <c r="Q52" i="18"/>
  <c r="AA81" i="18"/>
  <c r="AA79" i="18"/>
  <c r="AA77" i="18"/>
  <c r="AA71" i="18"/>
  <c r="AA67" i="18"/>
  <c r="AA78" i="18"/>
  <c r="AA64" i="18"/>
  <c r="AA73" i="18"/>
  <c r="AA69" i="18"/>
  <c r="AA63" i="18"/>
  <c r="AA46" i="18"/>
  <c r="AA42" i="18"/>
  <c r="AA38" i="18"/>
  <c r="AA34" i="18"/>
  <c r="AC27" i="18"/>
  <c r="AA70" i="18"/>
  <c r="AA40" i="18"/>
  <c r="AA32" i="18"/>
  <c r="AA56" i="18"/>
  <c r="AA54" i="18"/>
  <c r="AA52" i="18"/>
  <c r="AA50" i="18"/>
  <c r="AA48" i="18"/>
  <c r="AA45" i="18"/>
  <c r="AA41" i="18"/>
  <c r="AA33" i="18"/>
  <c r="AA68" i="18"/>
  <c r="AA44" i="18"/>
  <c r="AA29" i="18"/>
  <c r="AA39" i="18"/>
  <c r="AA35" i="18"/>
  <c r="AA51" i="18"/>
  <c r="AA49" i="18"/>
  <c r="AA72" i="18"/>
  <c r="AA47" i="18"/>
  <c r="AA57" i="18"/>
  <c r="AA55" i="18"/>
  <c r="AA53" i="18"/>
  <c r="AA43" i="18"/>
  <c r="R32" i="18"/>
  <c r="Q32" i="18"/>
  <c r="X36" i="18"/>
  <c r="W36" i="18"/>
  <c r="X59" i="18"/>
  <c r="W59" i="18"/>
  <c r="R44" i="18"/>
  <c r="Q44" i="18"/>
  <c r="R50" i="18"/>
  <c r="Q50" i="18"/>
  <c r="R38" i="18"/>
  <c r="Q38" i="18"/>
  <c r="R53" i="18"/>
  <c r="Q53" i="18"/>
  <c r="R33" i="18"/>
  <c r="Q33" i="18"/>
  <c r="X65" i="18"/>
  <c r="W65" i="18"/>
  <c r="X74" i="18"/>
  <c r="W74" i="18"/>
  <c r="X66" i="18"/>
  <c r="W66" i="18"/>
  <c r="R35" i="18"/>
  <c r="Q35" i="18"/>
  <c r="R49" i="18"/>
  <c r="Q49" i="18"/>
  <c r="X28" i="18"/>
  <c r="W28" i="18"/>
  <c r="X30" i="18"/>
  <c r="W30" i="18"/>
  <c r="R51" i="18"/>
  <c r="Q51" i="18"/>
  <c r="T54" i="18"/>
  <c r="S54" i="18"/>
  <c r="X87" i="1"/>
  <c r="H150" i="16"/>
  <c r="K149" i="16"/>
  <c r="M148" i="16"/>
  <c r="N148" i="16"/>
  <c r="P138" i="16"/>
  <c r="R142" i="16"/>
  <c r="T142" i="16" s="1"/>
  <c r="V142" i="16" s="1"/>
  <c r="X142" i="16" s="1"/>
  <c r="Z142" i="16" s="1"/>
  <c r="AB142" i="16" s="1"/>
  <c r="AD142" i="16" s="1"/>
  <c r="AF142" i="16" s="1"/>
  <c r="AH142" i="16" s="1"/>
  <c r="AJ142" i="16" s="1"/>
  <c r="R146" i="16"/>
  <c r="T146" i="16" s="1"/>
  <c r="V146" i="16" s="1"/>
  <c r="X146" i="16" s="1"/>
  <c r="Z146" i="16" s="1"/>
  <c r="AB146" i="16" s="1"/>
  <c r="AD146" i="16" s="1"/>
  <c r="AF146" i="16" s="1"/>
  <c r="AH146" i="16" s="1"/>
  <c r="AJ146" i="16" s="1"/>
  <c r="R143" i="16"/>
  <c r="T143" i="16" s="1"/>
  <c r="V143" i="16" s="1"/>
  <c r="X143" i="16" s="1"/>
  <c r="Z143" i="16" s="1"/>
  <c r="AB143" i="16" s="1"/>
  <c r="AD143" i="16" s="1"/>
  <c r="AF143" i="16" s="1"/>
  <c r="AH143" i="16" s="1"/>
  <c r="AJ143" i="16" s="1"/>
  <c r="R144" i="16"/>
  <c r="T144" i="16" s="1"/>
  <c r="V144" i="16" s="1"/>
  <c r="X144" i="16" s="1"/>
  <c r="Z144" i="16" s="1"/>
  <c r="AB144" i="16" s="1"/>
  <c r="AD144" i="16" s="1"/>
  <c r="AF144" i="16" s="1"/>
  <c r="AH144" i="16" s="1"/>
  <c r="AJ144" i="16" s="1"/>
  <c r="R145" i="16"/>
  <c r="T145" i="16" s="1"/>
  <c r="V145" i="16" s="1"/>
  <c r="X145" i="16" s="1"/>
  <c r="Z145" i="16" s="1"/>
  <c r="AB145" i="16" s="1"/>
  <c r="AD145" i="16" s="1"/>
  <c r="AF145" i="16" s="1"/>
  <c r="AH145" i="16" s="1"/>
  <c r="AJ145" i="16" s="1"/>
  <c r="R139" i="16"/>
  <c r="T139" i="16" s="1"/>
  <c r="V139" i="16" s="1"/>
  <c r="X139" i="16" s="1"/>
  <c r="Z139" i="16" s="1"/>
  <c r="AB139" i="16" s="1"/>
  <c r="AD139" i="16" s="1"/>
  <c r="AF139" i="16" s="1"/>
  <c r="AH139" i="16" s="1"/>
  <c r="AJ139" i="16" s="1"/>
  <c r="R140" i="16"/>
  <c r="T140" i="16" s="1"/>
  <c r="V140" i="16" s="1"/>
  <c r="X140" i="16" s="1"/>
  <c r="Z140" i="16" s="1"/>
  <c r="AB140" i="16" s="1"/>
  <c r="AD140" i="16" s="1"/>
  <c r="AF140" i="16" s="1"/>
  <c r="AH140" i="16" s="1"/>
  <c r="AJ140" i="16" s="1"/>
  <c r="R141" i="16"/>
  <c r="T141" i="16" s="1"/>
  <c r="V141" i="16" s="1"/>
  <c r="X141" i="16" s="1"/>
  <c r="Z141" i="16" s="1"/>
  <c r="AB141" i="16" s="1"/>
  <c r="AD141" i="16" s="1"/>
  <c r="AF141" i="16" s="1"/>
  <c r="AH141" i="16" s="1"/>
  <c r="AJ141" i="16" s="1"/>
  <c r="R98" i="1"/>
  <c r="R96" i="1"/>
  <c r="L46" i="9"/>
  <c r="C46" i="9"/>
  <c r="B46" i="9"/>
  <c r="L45" i="9"/>
  <c r="C45" i="9"/>
  <c r="B45" i="9"/>
  <c r="L46" i="8"/>
  <c r="C46" i="8"/>
  <c r="B46" i="8"/>
  <c r="L45" i="8"/>
  <c r="C45" i="8"/>
  <c r="B45" i="8"/>
  <c r="L46" i="7"/>
  <c r="C46" i="7"/>
  <c r="B46" i="7"/>
  <c r="L46" i="1"/>
  <c r="L45" i="7"/>
  <c r="C45" i="7"/>
  <c r="B45" i="7"/>
  <c r="L45" i="1"/>
  <c r="D45" i="1"/>
  <c r="AL130" i="9"/>
  <c r="AL126" i="9"/>
  <c r="L126" i="9"/>
  <c r="AL132" i="9"/>
  <c r="L132" i="9"/>
  <c r="AL140" i="9"/>
  <c r="AL139" i="9"/>
  <c r="AL138" i="9"/>
  <c r="AL127" i="9"/>
  <c r="AL125" i="9"/>
  <c r="D92" i="9"/>
  <c r="D91" i="9" s="1"/>
  <c r="L91" i="9"/>
  <c r="C91" i="9"/>
  <c r="D91" i="8"/>
  <c r="D90" i="8" s="1"/>
  <c r="L90" i="8"/>
  <c r="C90" i="8"/>
  <c r="P262" i="16" l="1"/>
  <c r="K264" i="16"/>
  <c r="F264" i="16"/>
  <c r="H265" i="16"/>
  <c r="R261" i="16"/>
  <c r="T261" i="16" s="1"/>
  <c r="V261" i="16" s="1"/>
  <c r="X261" i="16" s="1"/>
  <c r="Z261" i="16" s="1"/>
  <c r="AB261" i="16" s="1"/>
  <c r="AD261" i="16" s="1"/>
  <c r="AF261" i="16" s="1"/>
  <c r="AH261" i="16" s="1"/>
  <c r="AJ261" i="16" s="1"/>
  <c r="M263" i="16"/>
  <c r="N263" i="16"/>
  <c r="D40" i="28"/>
  <c r="F40" i="28" s="1"/>
  <c r="H40" i="28" s="1"/>
  <c r="I40" i="28" s="1"/>
  <c r="D40" i="27"/>
  <c r="F40" i="27" s="1"/>
  <c r="I40" i="27" s="1"/>
  <c r="D45" i="24"/>
  <c r="F45" i="24" s="1"/>
  <c r="J45" i="24" s="1"/>
  <c r="L45" i="24" s="1"/>
  <c r="D45" i="26"/>
  <c r="AC89" i="18"/>
  <c r="AC87" i="18"/>
  <c r="AC85" i="18"/>
  <c r="AC88" i="18"/>
  <c r="AC86" i="18"/>
  <c r="N88" i="18"/>
  <c r="M88" i="18"/>
  <c r="R29" i="18"/>
  <c r="Q29" i="18"/>
  <c r="Q47" i="18"/>
  <c r="R47" i="18"/>
  <c r="D44" i="19"/>
  <c r="F44" i="19" s="1"/>
  <c r="H44" i="19" s="1"/>
  <c r="I44" i="19" s="1"/>
  <c r="D44" i="21"/>
  <c r="F44" i="21" s="1"/>
  <c r="D44" i="20"/>
  <c r="F44" i="20" s="1"/>
  <c r="H44" i="20" s="1"/>
  <c r="I44" i="20" s="1"/>
  <c r="R39" i="18"/>
  <c r="Q39" i="18"/>
  <c r="L89" i="18"/>
  <c r="K89" i="18"/>
  <c r="D45" i="19"/>
  <c r="F45" i="19" s="1"/>
  <c r="H45" i="19" s="1"/>
  <c r="I45" i="19" s="1"/>
  <c r="D45" i="21"/>
  <c r="F45" i="21" s="1"/>
  <c r="D45" i="20"/>
  <c r="F45" i="20" s="1"/>
  <c r="H45" i="20" s="1"/>
  <c r="I45" i="20" s="1"/>
  <c r="L85" i="18"/>
  <c r="K85" i="18"/>
  <c r="N86" i="18"/>
  <c r="M86" i="18"/>
  <c r="N87" i="18"/>
  <c r="M87" i="18"/>
  <c r="D46" i="8"/>
  <c r="D41" i="18"/>
  <c r="F41" i="18" s="1"/>
  <c r="I41" i="18" s="1"/>
  <c r="D45" i="9"/>
  <c r="D40" i="18"/>
  <c r="F40" i="18" s="1"/>
  <c r="I40" i="18" s="1"/>
  <c r="AC79" i="18"/>
  <c r="AC78" i="18"/>
  <c r="AC73" i="18"/>
  <c r="AC69" i="18"/>
  <c r="AC71" i="18"/>
  <c r="AC67" i="18"/>
  <c r="AC58" i="18"/>
  <c r="AC57" i="18"/>
  <c r="AC56" i="18"/>
  <c r="AC55" i="18"/>
  <c r="AC54" i="18"/>
  <c r="AC53" i="18"/>
  <c r="AC52" i="18"/>
  <c r="AC51" i="18"/>
  <c r="AC50" i="18"/>
  <c r="AC49" i="18"/>
  <c r="AC48" i="18"/>
  <c r="AC47" i="18"/>
  <c r="AC46" i="18"/>
  <c r="AC45" i="18"/>
  <c r="AC44" i="18"/>
  <c r="AC43" i="18"/>
  <c r="AC42" i="18"/>
  <c r="AC41" i="18"/>
  <c r="AC40" i="18"/>
  <c r="AC39" i="18"/>
  <c r="AC38" i="18"/>
  <c r="AC35" i="18"/>
  <c r="AC34" i="18"/>
  <c r="AC33" i="18"/>
  <c r="AC32" i="18"/>
  <c r="AC72" i="18"/>
  <c r="AC68" i="18"/>
  <c r="AC64" i="18"/>
  <c r="AC63" i="18"/>
  <c r="AC29" i="18"/>
  <c r="AE27" i="18"/>
  <c r="AC81" i="18"/>
  <c r="AC70" i="18"/>
  <c r="AC77" i="18"/>
  <c r="V31" i="18"/>
  <c r="U31" i="18"/>
  <c r="Z74" i="18"/>
  <c r="Y74" i="18"/>
  <c r="Z59" i="18"/>
  <c r="Y59" i="18"/>
  <c r="Z30" i="18"/>
  <c r="Y30" i="18"/>
  <c r="Z28" i="18"/>
  <c r="Y28" i="18"/>
  <c r="T49" i="18"/>
  <c r="S49" i="18"/>
  <c r="T35" i="18"/>
  <c r="S35" i="18"/>
  <c r="Z65" i="18"/>
  <c r="Y65" i="18"/>
  <c r="T50" i="18"/>
  <c r="V50" i="18" s="1"/>
  <c r="X50" i="18" s="1"/>
  <c r="Z50" i="18" s="1"/>
  <c r="AB50" i="18" s="1"/>
  <c r="AD50" i="18" s="1"/>
  <c r="AF50" i="18" s="1"/>
  <c r="AH50" i="18" s="1"/>
  <c r="S50" i="18"/>
  <c r="T52" i="18"/>
  <c r="V52" i="18" s="1"/>
  <c r="X52" i="18" s="1"/>
  <c r="Z52" i="18" s="1"/>
  <c r="AB52" i="18" s="1"/>
  <c r="AD52" i="18" s="1"/>
  <c r="AF52" i="18" s="1"/>
  <c r="AH52" i="18" s="1"/>
  <c r="S52" i="18"/>
  <c r="T33" i="18"/>
  <c r="S33" i="18"/>
  <c r="T38" i="18"/>
  <c r="S38" i="18"/>
  <c r="T46" i="18"/>
  <c r="S46" i="18"/>
  <c r="T53" i="18"/>
  <c r="S53" i="18"/>
  <c r="Z36" i="18"/>
  <c r="Y36" i="18"/>
  <c r="V54" i="18"/>
  <c r="U54" i="18"/>
  <c r="T51" i="18"/>
  <c r="V51" i="18" s="1"/>
  <c r="X51" i="18" s="1"/>
  <c r="Z51" i="18" s="1"/>
  <c r="AB51" i="18" s="1"/>
  <c r="AD51" i="18" s="1"/>
  <c r="AF51" i="18" s="1"/>
  <c r="AH51" i="18" s="1"/>
  <c r="S51" i="18"/>
  <c r="Z66" i="18"/>
  <c r="Y66" i="18"/>
  <c r="T44" i="18"/>
  <c r="S44" i="18"/>
  <c r="T32" i="18"/>
  <c r="S32" i="18"/>
  <c r="Z87" i="1"/>
  <c r="M149" i="16"/>
  <c r="N149" i="16"/>
  <c r="P148" i="16"/>
  <c r="H151" i="16"/>
  <c r="K150" i="16"/>
  <c r="R138" i="16"/>
  <c r="T138" i="16" s="1"/>
  <c r="V138" i="16" s="1"/>
  <c r="X138" i="16" s="1"/>
  <c r="Z138" i="16" s="1"/>
  <c r="AB138" i="16" s="1"/>
  <c r="AD138" i="16" s="1"/>
  <c r="AF138" i="16" s="1"/>
  <c r="AH138" i="16" s="1"/>
  <c r="AJ138" i="16" s="1"/>
  <c r="T97" i="1"/>
  <c r="T98" i="1"/>
  <c r="T96" i="1"/>
  <c r="D46" i="9"/>
  <c r="D46" i="7"/>
  <c r="D45" i="8"/>
  <c r="D45" i="7"/>
  <c r="L129" i="9"/>
  <c r="L139" i="9"/>
  <c r="L135" i="9"/>
  <c r="L119" i="9"/>
  <c r="N264" i="16" l="1"/>
  <c r="M264" i="16"/>
  <c r="R262" i="16"/>
  <c r="T262" i="16" s="1"/>
  <c r="V262" i="16" s="1"/>
  <c r="X262" i="16" s="1"/>
  <c r="Z262" i="16" s="1"/>
  <c r="AB262" i="16" s="1"/>
  <c r="AD262" i="16" s="1"/>
  <c r="AF262" i="16" s="1"/>
  <c r="AH262" i="16" s="1"/>
  <c r="AJ262" i="16" s="1"/>
  <c r="F265" i="16"/>
  <c r="K265" i="16"/>
  <c r="H266" i="16"/>
  <c r="P263" i="16"/>
  <c r="K40" i="27"/>
  <c r="L40" i="27"/>
  <c r="K45" i="24"/>
  <c r="N45" i="24" s="1"/>
  <c r="P45" i="24" s="1"/>
  <c r="M89" i="18"/>
  <c r="N89" i="18"/>
  <c r="J44" i="21"/>
  <c r="L44" i="21" s="1"/>
  <c r="P86" i="18"/>
  <c r="O86" i="18"/>
  <c r="J45" i="21"/>
  <c r="L45" i="21" s="1"/>
  <c r="T29" i="18"/>
  <c r="S29" i="18"/>
  <c r="T39" i="18"/>
  <c r="V39" i="18" s="1"/>
  <c r="X39" i="18" s="1"/>
  <c r="Z39" i="18" s="1"/>
  <c r="AB39" i="18" s="1"/>
  <c r="AD39" i="18" s="1"/>
  <c r="AF39" i="18" s="1"/>
  <c r="AH39" i="18" s="1"/>
  <c r="S39" i="18"/>
  <c r="S47" i="18"/>
  <c r="T47" i="18"/>
  <c r="AE89" i="18"/>
  <c r="AE87" i="18"/>
  <c r="AE85" i="18"/>
  <c r="AE88" i="18"/>
  <c r="AE86" i="18"/>
  <c r="P87" i="18"/>
  <c r="O87" i="18"/>
  <c r="N85" i="18"/>
  <c r="M85" i="18"/>
  <c r="O88" i="18"/>
  <c r="P88" i="18"/>
  <c r="L40" i="18"/>
  <c r="K40" i="18"/>
  <c r="L41" i="18"/>
  <c r="K41" i="18"/>
  <c r="AB59" i="18"/>
  <c r="AA59" i="18"/>
  <c r="X31" i="18"/>
  <c r="W31" i="18"/>
  <c r="V49" i="18"/>
  <c r="U49" i="18"/>
  <c r="AB30" i="18"/>
  <c r="AA30" i="18"/>
  <c r="AB74" i="18"/>
  <c r="AA74" i="18"/>
  <c r="X54" i="18"/>
  <c r="W54" i="18"/>
  <c r="AB36" i="18"/>
  <c r="AA36" i="18"/>
  <c r="V46" i="18"/>
  <c r="U46" i="18"/>
  <c r="V33" i="18"/>
  <c r="U33" i="18"/>
  <c r="AB65" i="18"/>
  <c r="AA65" i="18"/>
  <c r="AE77" i="18"/>
  <c r="AE71" i="18"/>
  <c r="AE67" i="18"/>
  <c r="AE74" i="18"/>
  <c r="AE72" i="18"/>
  <c r="AE70" i="18"/>
  <c r="AE68" i="18"/>
  <c r="AE66" i="18"/>
  <c r="AE64" i="18"/>
  <c r="AE81" i="18"/>
  <c r="AE79" i="18"/>
  <c r="AE63" i="18"/>
  <c r="AE69" i="18"/>
  <c r="AE65" i="18"/>
  <c r="AE47" i="18"/>
  <c r="AE43" i="18"/>
  <c r="AE39" i="18"/>
  <c r="AE35" i="18"/>
  <c r="AE73" i="18"/>
  <c r="AE45" i="18"/>
  <c r="AE29" i="18"/>
  <c r="AE59" i="18"/>
  <c r="AE57" i="18"/>
  <c r="AE55" i="18"/>
  <c r="AE53" i="18"/>
  <c r="AE51" i="18"/>
  <c r="AE49" i="18"/>
  <c r="AE46" i="18"/>
  <c r="AE42" i="18"/>
  <c r="AE38" i="18"/>
  <c r="AE34" i="18"/>
  <c r="AE61" i="18"/>
  <c r="AE41" i="18"/>
  <c r="AE37" i="18"/>
  <c r="AE33" i="18"/>
  <c r="AE78" i="18"/>
  <c r="AE36" i="18"/>
  <c r="AE28" i="18"/>
  <c r="AG27" i="18"/>
  <c r="AE40" i="18"/>
  <c r="AE32" i="18"/>
  <c r="AE60" i="18"/>
  <c r="AE58" i="18"/>
  <c r="AE56" i="18"/>
  <c r="AE54" i="18"/>
  <c r="AE52" i="18"/>
  <c r="AE50" i="18"/>
  <c r="AE48" i="18"/>
  <c r="AE44" i="18"/>
  <c r="V53" i="18"/>
  <c r="U53" i="18"/>
  <c r="V38" i="18"/>
  <c r="U38" i="18"/>
  <c r="V32" i="18"/>
  <c r="U32" i="18"/>
  <c r="AB66" i="18"/>
  <c r="AA66" i="18"/>
  <c r="V44" i="18"/>
  <c r="U44" i="18"/>
  <c r="V35" i="18"/>
  <c r="U35" i="18"/>
  <c r="AB28" i="18"/>
  <c r="AA28" i="18"/>
  <c r="AB87" i="1"/>
  <c r="H152" i="16"/>
  <c r="K151" i="16"/>
  <c r="R148" i="16"/>
  <c r="T148" i="16" s="1"/>
  <c r="V148" i="16" s="1"/>
  <c r="X148" i="16" s="1"/>
  <c r="Z148" i="16" s="1"/>
  <c r="AB148" i="16" s="1"/>
  <c r="AD148" i="16" s="1"/>
  <c r="AF148" i="16" s="1"/>
  <c r="AH148" i="16" s="1"/>
  <c r="AJ148" i="16" s="1"/>
  <c r="M150" i="16"/>
  <c r="N150" i="16"/>
  <c r="P149" i="16"/>
  <c r="V97" i="1"/>
  <c r="V98" i="1"/>
  <c r="V96" i="1"/>
  <c r="N79" i="17"/>
  <c r="P79" i="17" s="1"/>
  <c r="P77" i="17"/>
  <c r="N265" i="16" l="1"/>
  <c r="M265" i="16"/>
  <c r="R263" i="16"/>
  <c r="T263" i="16" s="1"/>
  <c r="V263" i="16" s="1"/>
  <c r="X263" i="16" s="1"/>
  <c r="Z263" i="16" s="1"/>
  <c r="AB263" i="16" s="1"/>
  <c r="AD263" i="16" s="1"/>
  <c r="AF263" i="16" s="1"/>
  <c r="AH263" i="16" s="1"/>
  <c r="AJ263" i="16" s="1"/>
  <c r="P264" i="16"/>
  <c r="H267" i="16"/>
  <c r="K266" i="16"/>
  <c r="F266" i="16"/>
  <c r="M40" i="27"/>
  <c r="N40" i="27"/>
  <c r="M45" i="24"/>
  <c r="O45" i="24"/>
  <c r="H45" i="24"/>
  <c r="R45" i="24"/>
  <c r="Q45" i="24"/>
  <c r="R87" i="18"/>
  <c r="Q87" i="18"/>
  <c r="K45" i="21"/>
  <c r="K44" i="21"/>
  <c r="R88" i="18"/>
  <c r="Q88" i="18"/>
  <c r="V29" i="18"/>
  <c r="U29" i="18"/>
  <c r="R86" i="18"/>
  <c r="Q86" i="18"/>
  <c r="AG89" i="18"/>
  <c r="AG88" i="18"/>
  <c r="AG86" i="18"/>
  <c r="AG87" i="18"/>
  <c r="AG85" i="18"/>
  <c r="P85" i="18"/>
  <c r="O85" i="18"/>
  <c r="V47" i="18"/>
  <c r="U47" i="18"/>
  <c r="O89" i="18"/>
  <c r="P89" i="18"/>
  <c r="N41" i="18"/>
  <c r="M41" i="18"/>
  <c r="M40" i="18"/>
  <c r="N40" i="18"/>
  <c r="X44" i="18"/>
  <c r="Z44" i="18" s="1"/>
  <c r="AB44" i="18" s="1"/>
  <c r="AD44" i="18" s="1"/>
  <c r="AF44" i="18" s="1"/>
  <c r="AH44" i="18" s="1"/>
  <c r="W44" i="18"/>
  <c r="AD65" i="18"/>
  <c r="AF65" i="18" s="1"/>
  <c r="AH65" i="18" s="1"/>
  <c r="AC65" i="18"/>
  <c r="X38" i="18"/>
  <c r="W38" i="18"/>
  <c r="X46" i="18"/>
  <c r="Z46" i="18" s="1"/>
  <c r="AB46" i="18" s="1"/>
  <c r="AD46" i="18" s="1"/>
  <c r="AF46" i="18" s="1"/>
  <c r="AH46" i="18" s="1"/>
  <c r="W46" i="18"/>
  <c r="AD66" i="18"/>
  <c r="AF66" i="18" s="1"/>
  <c r="AH66" i="18" s="1"/>
  <c r="AC66" i="18"/>
  <c r="AD30" i="18"/>
  <c r="AC30" i="18"/>
  <c r="AD59" i="18"/>
  <c r="AF59" i="18" s="1"/>
  <c r="AH59" i="18" s="1"/>
  <c r="AC59" i="18"/>
  <c r="X32" i="18"/>
  <c r="W32" i="18"/>
  <c r="AD74" i="18"/>
  <c r="AF74" i="18" s="1"/>
  <c r="AH74" i="18" s="1"/>
  <c r="AC74" i="18"/>
  <c r="X49" i="18"/>
  <c r="Z49" i="18" s="1"/>
  <c r="AB49" i="18" s="1"/>
  <c r="AD49" i="18" s="1"/>
  <c r="AF49" i="18" s="1"/>
  <c r="AH49" i="18" s="1"/>
  <c r="W49" i="18"/>
  <c r="Z31" i="18"/>
  <c r="Y31" i="18"/>
  <c r="AD28" i="18"/>
  <c r="AF28" i="18" s="1"/>
  <c r="AH28" i="18" s="1"/>
  <c r="AC28" i="18"/>
  <c r="X53" i="18"/>
  <c r="Z53" i="18" s="1"/>
  <c r="AB53" i="18" s="1"/>
  <c r="AD53" i="18" s="1"/>
  <c r="AF53" i="18" s="1"/>
  <c r="AH53" i="18" s="1"/>
  <c r="W53" i="18"/>
  <c r="Z54" i="18"/>
  <c r="AB54" i="18" s="1"/>
  <c r="AD54" i="18" s="1"/>
  <c r="AF54" i="18" s="1"/>
  <c r="AH54" i="18" s="1"/>
  <c r="Y54" i="18"/>
  <c r="X35" i="18"/>
  <c r="W35" i="18"/>
  <c r="AG79" i="18"/>
  <c r="AG81" i="18"/>
  <c r="AG73" i="18"/>
  <c r="AG69" i="18"/>
  <c r="AG78" i="18"/>
  <c r="AG77" i="18"/>
  <c r="AG60" i="18"/>
  <c r="AG59" i="18"/>
  <c r="AG58" i="18"/>
  <c r="AG57" i="18"/>
  <c r="AG56" i="18"/>
  <c r="AG55" i="18"/>
  <c r="AG54" i="18"/>
  <c r="AG53" i="18"/>
  <c r="AG52" i="18"/>
  <c r="AG51" i="18"/>
  <c r="AG50" i="18"/>
  <c r="AG49" i="18"/>
  <c r="AG48" i="18"/>
  <c r="AG47" i="18"/>
  <c r="AG46" i="18"/>
  <c r="AG45" i="18"/>
  <c r="AG44" i="18"/>
  <c r="AG43" i="18"/>
  <c r="AG42" i="18"/>
  <c r="AG41" i="18"/>
  <c r="AG40" i="18"/>
  <c r="AG39" i="18"/>
  <c r="AG38" i="18"/>
  <c r="AG37" i="18"/>
  <c r="AG36" i="18"/>
  <c r="AG35" i="18"/>
  <c r="AG34" i="18"/>
  <c r="AG33" i="18"/>
  <c r="AG32" i="18"/>
  <c r="AG71" i="18"/>
  <c r="AG67" i="18"/>
  <c r="AG65" i="18"/>
  <c r="AG61" i="18"/>
  <c r="AG72" i="18"/>
  <c r="AG70" i="18"/>
  <c r="AG29" i="18"/>
  <c r="AG28" i="18"/>
  <c r="AG74" i="18"/>
  <c r="AG64" i="18"/>
  <c r="AG63" i="18"/>
  <c r="AI27" i="18"/>
  <c r="AG68" i="18"/>
  <c r="AG66" i="18"/>
  <c r="X33" i="18"/>
  <c r="Z33" i="18" s="1"/>
  <c r="AB33" i="18" s="1"/>
  <c r="AD33" i="18" s="1"/>
  <c r="AF33" i="18" s="1"/>
  <c r="AH33" i="18" s="1"/>
  <c r="W33" i="18"/>
  <c r="AD36" i="18"/>
  <c r="AF36" i="18" s="1"/>
  <c r="AH36" i="18" s="1"/>
  <c r="AC36" i="18"/>
  <c r="AD87" i="1"/>
  <c r="R149" i="16"/>
  <c r="T149" i="16" s="1"/>
  <c r="V149" i="16" s="1"/>
  <c r="X149" i="16" s="1"/>
  <c r="Z149" i="16" s="1"/>
  <c r="AB149" i="16" s="1"/>
  <c r="AD149" i="16" s="1"/>
  <c r="AF149" i="16" s="1"/>
  <c r="AH149" i="16" s="1"/>
  <c r="AJ149" i="16" s="1"/>
  <c r="N151" i="16"/>
  <c r="M151" i="16"/>
  <c r="H153" i="16"/>
  <c r="K152" i="16"/>
  <c r="P150" i="16"/>
  <c r="X97" i="1"/>
  <c r="X98" i="1"/>
  <c r="X96" i="1"/>
  <c r="P124" i="17"/>
  <c r="P123" i="17"/>
  <c r="P122" i="17"/>
  <c r="P119" i="17"/>
  <c r="P120" i="17"/>
  <c r="P121" i="17"/>
  <c r="P110" i="17"/>
  <c r="P111" i="17"/>
  <c r="N113" i="17"/>
  <c r="I114" i="17"/>
  <c r="I117" i="17" s="1"/>
  <c r="I118" i="17" s="1"/>
  <c r="P109" i="17"/>
  <c r="P108" i="17"/>
  <c r="N98" i="17"/>
  <c r="P98" i="17" s="1"/>
  <c r="N102" i="17"/>
  <c r="I102" i="17"/>
  <c r="I103" i="17" s="1"/>
  <c r="I104" i="17" s="1"/>
  <c r="I105" i="17" s="1"/>
  <c r="I106" i="17" s="1"/>
  <c r="I107" i="17" s="1"/>
  <c r="P101" i="17"/>
  <c r="N100" i="17"/>
  <c r="P100" i="17" s="1"/>
  <c r="I100" i="17"/>
  <c r="I99" i="17" s="1"/>
  <c r="I98" i="17" s="1"/>
  <c r="I97" i="17" s="1"/>
  <c r="I96" i="17" s="1"/>
  <c r="I95" i="17" s="1"/>
  <c r="P99" i="17"/>
  <c r="D96" i="17"/>
  <c r="D97" i="17" s="1"/>
  <c r="D98" i="17" s="1"/>
  <c r="D99" i="17" s="1"/>
  <c r="D100" i="17" s="1"/>
  <c r="D101" i="17" s="1"/>
  <c r="D102" i="17" s="1"/>
  <c r="D103" i="17" s="1"/>
  <c r="D104" i="17" s="1"/>
  <c r="D105" i="17" s="1"/>
  <c r="D106" i="17" s="1"/>
  <c r="D107" i="17" s="1"/>
  <c r="F267" i="16" l="1"/>
  <c r="H268" i="16"/>
  <c r="K267" i="16"/>
  <c r="R264" i="16"/>
  <c r="T264" i="16" s="1"/>
  <c r="V264" i="16" s="1"/>
  <c r="X264" i="16" s="1"/>
  <c r="Z264" i="16" s="1"/>
  <c r="AB264" i="16" s="1"/>
  <c r="AD264" i="16" s="1"/>
  <c r="AF264" i="16" s="1"/>
  <c r="AH264" i="16" s="1"/>
  <c r="AJ264" i="16" s="1"/>
  <c r="N266" i="16"/>
  <c r="M266" i="16"/>
  <c r="P265" i="16"/>
  <c r="P40" i="27"/>
  <c r="O40" i="27"/>
  <c r="S45" i="24"/>
  <c r="T45" i="24"/>
  <c r="AI89" i="18"/>
  <c r="AI88" i="18"/>
  <c r="AI86" i="18"/>
  <c r="AI87" i="18"/>
  <c r="AI85" i="18"/>
  <c r="Q85" i="18"/>
  <c r="R85" i="18"/>
  <c r="M44" i="21"/>
  <c r="H44" i="21"/>
  <c r="N44" i="21"/>
  <c r="X29" i="18"/>
  <c r="W29" i="18"/>
  <c r="M45" i="21"/>
  <c r="N45" i="21"/>
  <c r="H45" i="21"/>
  <c r="X47" i="18"/>
  <c r="Z47" i="18" s="1"/>
  <c r="AB47" i="18" s="1"/>
  <c r="AD47" i="18" s="1"/>
  <c r="AF47" i="18" s="1"/>
  <c r="AH47" i="18" s="1"/>
  <c r="W47" i="18"/>
  <c r="Q89" i="18"/>
  <c r="R89" i="18"/>
  <c r="T86" i="18"/>
  <c r="S86" i="18"/>
  <c r="T88" i="18"/>
  <c r="S88" i="18"/>
  <c r="T87" i="18"/>
  <c r="S87" i="18"/>
  <c r="P40" i="18"/>
  <c r="O40" i="18"/>
  <c r="O41" i="18"/>
  <c r="P41" i="18"/>
  <c r="AF30" i="18"/>
  <c r="AE30" i="18"/>
  <c r="AI78" i="18"/>
  <c r="G78" i="18" s="1"/>
  <c r="AI77" i="18"/>
  <c r="G77" i="18" s="1"/>
  <c r="AI71" i="18"/>
  <c r="G71" i="18" s="1"/>
  <c r="AI67" i="18"/>
  <c r="G67" i="18" s="1"/>
  <c r="AI81" i="18"/>
  <c r="G81" i="18" s="1"/>
  <c r="AI79" i="18"/>
  <c r="G79" i="18" s="1"/>
  <c r="AI64" i="18"/>
  <c r="G64" i="18" s="1"/>
  <c r="AI74" i="18"/>
  <c r="G74" i="18" s="1"/>
  <c r="AI72" i="18"/>
  <c r="G72" i="18" s="1"/>
  <c r="AI70" i="18"/>
  <c r="G70" i="18" s="1"/>
  <c r="AI68" i="18"/>
  <c r="G68" i="18" s="1"/>
  <c r="AI66" i="18"/>
  <c r="G66" i="18" s="1"/>
  <c r="AI63" i="18"/>
  <c r="G63" i="18" s="1"/>
  <c r="AI61" i="18"/>
  <c r="AI44" i="18"/>
  <c r="G44" i="18" s="1"/>
  <c r="AI40" i="18"/>
  <c r="AI36" i="18"/>
  <c r="G36" i="18" s="1"/>
  <c r="AI32" i="18"/>
  <c r="AI65" i="18"/>
  <c r="G65" i="18" s="1"/>
  <c r="AI38" i="18"/>
  <c r="AI34" i="18"/>
  <c r="AI29" i="18"/>
  <c r="AI73" i="18"/>
  <c r="AI60" i="18"/>
  <c r="AI58" i="18"/>
  <c r="AI56" i="18"/>
  <c r="G56" i="18" s="1"/>
  <c r="AI54" i="18"/>
  <c r="G54" i="18" s="1"/>
  <c r="AI52" i="18"/>
  <c r="G52" i="18" s="1"/>
  <c r="AI50" i="18"/>
  <c r="G50" i="18" s="1"/>
  <c r="AI48" i="18"/>
  <c r="AI47" i="18"/>
  <c r="AI43" i="18"/>
  <c r="AI39" i="18"/>
  <c r="G39" i="18" s="1"/>
  <c r="AI35" i="18"/>
  <c r="AI46" i="18"/>
  <c r="G46" i="18" s="1"/>
  <c r="AI42" i="18"/>
  <c r="G42" i="18" s="1"/>
  <c r="AI45" i="18"/>
  <c r="AI69" i="18"/>
  <c r="G69" i="18" s="1"/>
  <c r="AI41" i="18"/>
  <c r="AI59" i="18"/>
  <c r="G59" i="18" s="1"/>
  <c r="AI57" i="18"/>
  <c r="AI55" i="18"/>
  <c r="AI53" i="18"/>
  <c r="G53" i="18" s="1"/>
  <c r="AI51" i="18"/>
  <c r="G51" i="18" s="1"/>
  <c r="AI49" i="18"/>
  <c r="G49" i="18" s="1"/>
  <c r="AI37" i="18"/>
  <c r="AI28" i="18"/>
  <c r="G28" i="18" s="1"/>
  <c r="AI33" i="18"/>
  <c r="G33" i="18" s="1"/>
  <c r="Z35" i="18"/>
  <c r="AB35" i="18" s="1"/>
  <c r="AD35" i="18" s="1"/>
  <c r="AF35" i="18" s="1"/>
  <c r="AH35" i="18" s="1"/>
  <c r="Y35" i="18"/>
  <c r="G35" i="18" s="1"/>
  <c r="Z32" i="18"/>
  <c r="AB32" i="18" s="1"/>
  <c r="AD32" i="18" s="1"/>
  <c r="AF32" i="18" s="1"/>
  <c r="AH32" i="18" s="1"/>
  <c r="Y32" i="18"/>
  <c r="AB31" i="18"/>
  <c r="AA31" i="18"/>
  <c r="G73" i="18"/>
  <c r="Z38" i="18"/>
  <c r="AB38" i="18" s="1"/>
  <c r="AD38" i="18" s="1"/>
  <c r="AF38" i="18" s="1"/>
  <c r="AH38" i="18" s="1"/>
  <c r="Y38" i="18"/>
  <c r="AF87" i="1"/>
  <c r="P151" i="16"/>
  <c r="M152" i="16"/>
  <c r="N152" i="16"/>
  <c r="R150" i="16"/>
  <c r="T150" i="16" s="1"/>
  <c r="V150" i="16" s="1"/>
  <c r="X150" i="16" s="1"/>
  <c r="Z150" i="16" s="1"/>
  <c r="AB150" i="16" s="1"/>
  <c r="AD150" i="16" s="1"/>
  <c r="AF150" i="16" s="1"/>
  <c r="AH150" i="16" s="1"/>
  <c r="AJ150" i="16" s="1"/>
  <c r="H154" i="16"/>
  <c r="K153" i="16"/>
  <c r="Z97" i="1"/>
  <c r="Z98" i="1"/>
  <c r="Z96" i="1"/>
  <c r="N114" i="17"/>
  <c r="P115" i="17" s="1"/>
  <c r="P113" i="17"/>
  <c r="P112" i="17"/>
  <c r="N97" i="17"/>
  <c r="P97" i="17" s="1"/>
  <c r="N103" i="17"/>
  <c r="P102" i="17"/>
  <c r="D83" i="17"/>
  <c r="D84" i="17" s="1"/>
  <c r="D85" i="17" s="1"/>
  <c r="D86" i="17" s="1"/>
  <c r="D87" i="17" s="1"/>
  <c r="D88" i="17" s="1"/>
  <c r="D89" i="17" s="1"/>
  <c r="D90" i="17" s="1"/>
  <c r="D91" i="17" s="1"/>
  <c r="D92" i="17" s="1"/>
  <c r="D93" i="17" s="1"/>
  <c r="D94" i="17" s="1"/>
  <c r="P94" i="17"/>
  <c r="N89" i="17"/>
  <c r="N90" i="17" s="1"/>
  <c r="N91" i="17" s="1"/>
  <c r="P91" i="17" s="1"/>
  <c r="I89" i="17"/>
  <c r="I90" i="17" s="1"/>
  <c r="I91" i="17" s="1"/>
  <c r="I92" i="17" s="1"/>
  <c r="I93" i="17" s="1"/>
  <c r="I94" i="17" s="1"/>
  <c r="P88" i="17"/>
  <c r="N87" i="17"/>
  <c r="I87" i="17"/>
  <c r="I86" i="17" s="1"/>
  <c r="I85" i="17" s="1"/>
  <c r="I84" i="17" s="1"/>
  <c r="I83" i="17" s="1"/>
  <c r="I82" i="17" s="1"/>
  <c r="N74" i="17"/>
  <c r="P74" i="17" s="1"/>
  <c r="I74" i="17"/>
  <c r="I75" i="17" s="1"/>
  <c r="I76" i="17" s="1"/>
  <c r="I78" i="17" s="1"/>
  <c r="I80" i="17" s="1"/>
  <c r="I81" i="17" s="1"/>
  <c r="P73" i="17"/>
  <c r="N72" i="17"/>
  <c r="P72" i="17" s="1"/>
  <c r="I72" i="17"/>
  <c r="I71" i="17" s="1"/>
  <c r="I70" i="17" s="1"/>
  <c r="I69" i="17" s="1"/>
  <c r="I68" i="17" s="1"/>
  <c r="I67" i="17" s="1"/>
  <c r="D68" i="17"/>
  <c r="D69" i="17" s="1"/>
  <c r="D70" i="17" s="1"/>
  <c r="D71" i="17" s="1"/>
  <c r="D72" i="17" s="1"/>
  <c r="D73" i="17" s="1"/>
  <c r="D74" i="17" s="1"/>
  <c r="D75" i="17" s="1"/>
  <c r="D76" i="17" s="1"/>
  <c r="D25" i="17"/>
  <c r="D26" i="17" s="1"/>
  <c r="D27" i="17" s="1"/>
  <c r="D28" i="17" s="1"/>
  <c r="D29" i="17" s="1"/>
  <c r="D30" i="17" s="1"/>
  <c r="D31" i="17" s="1"/>
  <c r="D32" i="17" s="1"/>
  <c r="D33" i="17" s="1"/>
  <c r="D34" i="17" s="1"/>
  <c r="D35" i="17" s="1"/>
  <c r="N29" i="17"/>
  <c r="N28" i="17" s="1"/>
  <c r="I29" i="17"/>
  <c r="I28" i="17" s="1"/>
  <c r="I27" i="17" s="1"/>
  <c r="I26" i="17" s="1"/>
  <c r="I25" i="17" s="1"/>
  <c r="I24" i="17" s="1"/>
  <c r="I31" i="17"/>
  <c r="I32" i="17" s="1"/>
  <c r="I33" i="17" s="1"/>
  <c r="I34" i="17" s="1"/>
  <c r="N31" i="17"/>
  <c r="N32" i="17" s="1"/>
  <c r="P30" i="17"/>
  <c r="H21" i="17"/>
  <c r="H20" i="17"/>
  <c r="H19" i="17"/>
  <c r="H18" i="17"/>
  <c r="H17" i="17"/>
  <c r="H16" i="17"/>
  <c r="H15" i="17"/>
  <c r="H14" i="17"/>
  <c r="H13" i="17"/>
  <c r="H12" i="17"/>
  <c r="H11" i="17"/>
  <c r="H10" i="17"/>
  <c r="H9" i="17"/>
  <c r="H8" i="17"/>
  <c r="H7" i="17"/>
  <c r="H6" i="17"/>
  <c r="H5" i="17"/>
  <c r="H4" i="17"/>
  <c r="H3" i="17"/>
  <c r="D21" i="17"/>
  <c r="B21" i="17"/>
  <c r="D20" i="17"/>
  <c r="B20" i="17"/>
  <c r="D19" i="17"/>
  <c r="B19" i="17"/>
  <c r="D18" i="17"/>
  <c r="B18" i="17"/>
  <c r="D17" i="17"/>
  <c r="B17" i="17"/>
  <c r="D16" i="17"/>
  <c r="B16" i="17"/>
  <c r="D15" i="17"/>
  <c r="B15" i="17"/>
  <c r="D14" i="17"/>
  <c r="B14" i="17"/>
  <c r="D13" i="17"/>
  <c r="B13" i="17"/>
  <c r="D12" i="17"/>
  <c r="B12" i="17"/>
  <c r="D11" i="17"/>
  <c r="B11" i="17"/>
  <c r="D10" i="17"/>
  <c r="B10" i="17"/>
  <c r="D9" i="17"/>
  <c r="B9" i="17"/>
  <c r="D8" i="17"/>
  <c r="B8" i="17"/>
  <c r="D7" i="17"/>
  <c r="B7" i="17"/>
  <c r="D6" i="17"/>
  <c r="B6" i="17"/>
  <c r="D5" i="17"/>
  <c r="B5" i="17"/>
  <c r="D4" i="17"/>
  <c r="B4" i="17"/>
  <c r="D3" i="17"/>
  <c r="B3" i="17"/>
  <c r="D2" i="17"/>
  <c r="B2" i="17"/>
  <c r="P134" i="17"/>
  <c r="P133" i="17"/>
  <c r="P132" i="17"/>
  <c r="P127" i="17"/>
  <c r="P126" i="17"/>
  <c r="P125" i="17"/>
  <c r="S23" i="17"/>
  <c r="P266" i="16" l="1"/>
  <c r="N267" i="16"/>
  <c r="M267" i="16"/>
  <c r="F268" i="16"/>
  <c r="H269" i="16"/>
  <c r="K268" i="16"/>
  <c r="R265" i="16"/>
  <c r="T265" i="16" s="1"/>
  <c r="V265" i="16" s="1"/>
  <c r="X265" i="16" s="1"/>
  <c r="Z265" i="16" s="1"/>
  <c r="AB265" i="16" s="1"/>
  <c r="AD265" i="16" s="1"/>
  <c r="AF265" i="16" s="1"/>
  <c r="AH265" i="16" s="1"/>
  <c r="AJ265" i="16" s="1"/>
  <c r="Q40" i="27"/>
  <c r="R40" i="27"/>
  <c r="U45" i="24"/>
  <c r="V45" i="24"/>
  <c r="G47" i="18"/>
  <c r="V87" i="18"/>
  <c r="U87" i="18"/>
  <c r="V86" i="18"/>
  <c r="U86" i="18"/>
  <c r="T89" i="18"/>
  <c r="S89" i="18"/>
  <c r="Y29" i="18"/>
  <c r="G29" i="18" s="1"/>
  <c r="Z29" i="18"/>
  <c r="AB29" i="18" s="1"/>
  <c r="AD29" i="18" s="1"/>
  <c r="AF29" i="18" s="1"/>
  <c r="AH29" i="18" s="1"/>
  <c r="T85" i="18"/>
  <c r="S85" i="18"/>
  <c r="V88" i="18"/>
  <c r="U88" i="18"/>
  <c r="P45" i="21"/>
  <c r="O45" i="21"/>
  <c r="P44" i="21"/>
  <c r="O44" i="21"/>
  <c r="G38" i="18"/>
  <c r="R41" i="18"/>
  <c r="Q41" i="18"/>
  <c r="R40" i="18"/>
  <c r="Q40" i="18"/>
  <c r="G32" i="18"/>
  <c r="AD31" i="18"/>
  <c r="AC31" i="18"/>
  <c r="AH30" i="18"/>
  <c r="AI30" i="18" s="1"/>
  <c r="AG30" i="18"/>
  <c r="I36" i="17"/>
  <c r="I37" i="17" s="1"/>
  <c r="I38" i="17" s="1"/>
  <c r="D36" i="17"/>
  <c r="D38" i="17" s="1"/>
  <c r="D37" i="17"/>
  <c r="AH87" i="1"/>
  <c r="N153" i="16"/>
  <c r="M153" i="16"/>
  <c r="P152" i="16"/>
  <c r="H155" i="16"/>
  <c r="K154" i="16"/>
  <c r="R151" i="16"/>
  <c r="T151" i="16" s="1"/>
  <c r="V151" i="16" s="1"/>
  <c r="X151" i="16" s="1"/>
  <c r="Z151" i="16" s="1"/>
  <c r="AB151" i="16" s="1"/>
  <c r="AD151" i="16" s="1"/>
  <c r="AF151" i="16" s="1"/>
  <c r="AH151" i="16" s="1"/>
  <c r="AJ151" i="16" s="1"/>
  <c r="AB97" i="1"/>
  <c r="AB98" i="1"/>
  <c r="AB96" i="1"/>
  <c r="D78" i="17"/>
  <c r="D80" i="17" s="1"/>
  <c r="D81" i="17" s="1"/>
  <c r="D77" i="17"/>
  <c r="D79" i="17" s="1"/>
  <c r="P89" i="17"/>
  <c r="N96" i="17"/>
  <c r="N95" i="17" s="1"/>
  <c r="P95" i="17" s="1"/>
  <c r="P90" i="17"/>
  <c r="N116" i="17"/>
  <c r="P114" i="17"/>
  <c r="N92" i="17"/>
  <c r="N93" i="17" s="1"/>
  <c r="P93" i="17" s="1"/>
  <c r="P103" i="17"/>
  <c r="N104" i="17"/>
  <c r="P87" i="17"/>
  <c r="N86" i="17"/>
  <c r="N75" i="17"/>
  <c r="N71" i="17"/>
  <c r="P29" i="17"/>
  <c r="P32" i="17"/>
  <c r="N33" i="17"/>
  <c r="N27" i="17"/>
  <c r="P28" i="17"/>
  <c r="P31" i="17"/>
  <c r="U23" i="17"/>
  <c r="H15" i="16"/>
  <c r="C3" i="16"/>
  <c r="L132" i="16"/>
  <c r="L131" i="16"/>
  <c r="L130" i="16"/>
  <c r="L129" i="16"/>
  <c r="L128" i="16"/>
  <c r="L127" i="16"/>
  <c r="L126" i="16"/>
  <c r="L125" i="16"/>
  <c r="L124" i="16"/>
  <c r="L123" i="16"/>
  <c r="L122" i="16"/>
  <c r="L121" i="16"/>
  <c r="L120" i="16"/>
  <c r="L119" i="16"/>
  <c r="L118" i="16"/>
  <c r="L117" i="16"/>
  <c r="L116" i="16"/>
  <c r="L115" i="16"/>
  <c r="L114" i="16"/>
  <c r="L113" i="16"/>
  <c r="L112" i="16"/>
  <c r="L111" i="16"/>
  <c r="L110" i="16"/>
  <c r="L109" i="16"/>
  <c r="L108" i="16"/>
  <c r="L107" i="16"/>
  <c r="L106" i="16"/>
  <c r="L105" i="16"/>
  <c r="L104" i="16"/>
  <c r="L103" i="16"/>
  <c r="L102" i="16"/>
  <c r="L101" i="16"/>
  <c r="L100" i="16"/>
  <c r="L99" i="16"/>
  <c r="L98" i="16"/>
  <c r="L97" i="16"/>
  <c r="L96" i="16"/>
  <c r="L95" i="16"/>
  <c r="L94" i="16"/>
  <c r="L93" i="16"/>
  <c r="L92" i="16"/>
  <c r="L91" i="16"/>
  <c r="L90" i="16"/>
  <c r="L89" i="16"/>
  <c r="L88"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3" i="16"/>
  <c r="L52" i="16"/>
  <c r="L51" i="16"/>
  <c r="L50" i="16"/>
  <c r="L49" i="16"/>
  <c r="L48" i="16"/>
  <c r="L47" i="16"/>
  <c r="L46" i="16"/>
  <c r="L45" i="16"/>
  <c r="L44" i="16"/>
  <c r="L43" i="16"/>
  <c r="L42" i="16"/>
  <c r="L41" i="16"/>
  <c r="L40" i="16"/>
  <c r="L39" i="16"/>
  <c r="L38" i="16"/>
  <c r="L37" i="16"/>
  <c r="L36" i="16"/>
  <c r="L35" i="16"/>
  <c r="L34" i="16"/>
  <c r="L33" i="16"/>
  <c r="L32" i="16"/>
  <c r="L31" i="16"/>
  <c r="L30" i="16"/>
  <c r="L29" i="16"/>
  <c r="L28" i="16"/>
  <c r="L27" i="16"/>
  <c r="L26" i="16"/>
  <c r="L25" i="16"/>
  <c r="L24" i="16"/>
  <c r="L23" i="16"/>
  <c r="L22" i="16"/>
  <c r="L21" i="16"/>
  <c r="L20" i="16"/>
  <c r="L19" i="16"/>
  <c r="B4" i="16"/>
  <c r="B5" i="16" s="1"/>
  <c r="B7" i="16" s="1"/>
  <c r="B8" i="16" s="1"/>
  <c r="L18" i="16"/>
  <c r="O17" i="16"/>
  <c r="O266" i="16" s="1"/>
  <c r="X45" i="24" l="1"/>
  <c r="Z45" i="24" s="1"/>
  <c r="AB45" i="24" s="1"/>
  <c r="AD45" i="24" s="1"/>
  <c r="AF45" i="24" s="1"/>
  <c r="AH45" i="24" s="1"/>
  <c r="AJ45" i="24" s="1"/>
  <c r="W45" i="24"/>
  <c r="G45" i="24" s="1"/>
  <c r="O190" i="16"/>
  <c r="O191" i="16"/>
  <c r="O192" i="16"/>
  <c r="O196" i="16"/>
  <c r="O195" i="16"/>
  <c r="O197" i="16"/>
  <c r="O193" i="16"/>
  <c r="O194" i="16"/>
  <c r="O198" i="16"/>
  <c r="O199" i="16"/>
  <c r="O200" i="16"/>
  <c r="O201" i="16"/>
  <c r="O202" i="16"/>
  <c r="O203" i="16"/>
  <c r="O204" i="16"/>
  <c r="O205" i="16"/>
  <c r="O206" i="16"/>
  <c r="O207" i="16"/>
  <c r="O208" i="16"/>
  <c r="O209" i="16"/>
  <c r="O210" i="16"/>
  <c r="O211" i="16"/>
  <c r="O212" i="16"/>
  <c r="O213" i="16"/>
  <c r="O214" i="16"/>
  <c r="O215" i="16"/>
  <c r="O216" i="16"/>
  <c r="O217" i="16"/>
  <c r="O218" i="16"/>
  <c r="O219" i="16"/>
  <c r="O220" i="16"/>
  <c r="O221" i="16"/>
  <c r="O222" i="16"/>
  <c r="O223" i="16"/>
  <c r="O224" i="16"/>
  <c r="O225" i="16"/>
  <c r="O226" i="16"/>
  <c r="O227" i="16"/>
  <c r="O228" i="16"/>
  <c r="O229" i="16"/>
  <c r="O230" i="16"/>
  <c r="O231" i="16"/>
  <c r="O232" i="16"/>
  <c r="O233" i="16"/>
  <c r="O234" i="16"/>
  <c r="O235" i="16"/>
  <c r="O236" i="16"/>
  <c r="O237" i="16"/>
  <c r="O238" i="16"/>
  <c r="O239" i="16"/>
  <c r="O240" i="16"/>
  <c r="O241" i="16"/>
  <c r="O242" i="16"/>
  <c r="O243" i="16"/>
  <c r="O244" i="16"/>
  <c r="O245" i="16"/>
  <c r="O246" i="16"/>
  <c r="O247" i="16"/>
  <c r="O248" i="16"/>
  <c r="O249" i="16"/>
  <c r="O250" i="16"/>
  <c r="O251" i="16"/>
  <c r="O252" i="16"/>
  <c r="O253" i="16"/>
  <c r="O254" i="16"/>
  <c r="O255" i="16"/>
  <c r="O256" i="16"/>
  <c r="O257" i="16"/>
  <c r="O258" i="16"/>
  <c r="O259" i="16"/>
  <c r="O260" i="16"/>
  <c r="O261" i="16"/>
  <c r="O262" i="16"/>
  <c r="O263" i="16"/>
  <c r="O264" i="16"/>
  <c r="O265" i="16"/>
  <c r="N268" i="16"/>
  <c r="M268" i="16"/>
  <c r="F269" i="16"/>
  <c r="K269" i="16"/>
  <c r="H270" i="16"/>
  <c r="P267" i="16"/>
  <c r="O267" i="16"/>
  <c r="R266" i="16"/>
  <c r="T266" i="16" s="1"/>
  <c r="V266" i="16" s="1"/>
  <c r="X266" i="16" s="1"/>
  <c r="Z266" i="16" s="1"/>
  <c r="AB266" i="16" s="1"/>
  <c r="AD266" i="16" s="1"/>
  <c r="AF266" i="16" s="1"/>
  <c r="AH266" i="16" s="1"/>
  <c r="AJ266" i="16" s="1"/>
  <c r="C4" i="16"/>
  <c r="C5" i="16" s="1"/>
  <c r="C7" i="16" s="1"/>
  <c r="C8" i="16" s="1"/>
  <c r="C10" i="16" s="1"/>
  <c r="C11" i="16" s="1"/>
  <c r="C12" i="16" s="1"/>
  <c r="C2" i="16"/>
  <c r="C6" i="16"/>
  <c r="T40" i="27"/>
  <c r="V40" i="27" s="1"/>
  <c r="X40" i="27" s="1"/>
  <c r="Z40" i="27" s="1"/>
  <c r="AB40" i="27" s="1"/>
  <c r="AD40" i="27" s="1"/>
  <c r="AF40" i="27" s="1"/>
  <c r="AH40" i="27" s="1"/>
  <c r="S40" i="27"/>
  <c r="G40" i="27" s="1"/>
  <c r="B10" i="16"/>
  <c r="B11" i="16" s="1"/>
  <c r="B12" i="16" s="1"/>
  <c r="B15" i="16" s="1"/>
  <c r="B9" i="16"/>
  <c r="R45" i="21"/>
  <c r="Q45" i="21"/>
  <c r="U85" i="18"/>
  <c r="V85" i="18"/>
  <c r="V89" i="18"/>
  <c r="U89" i="18"/>
  <c r="X86" i="18"/>
  <c r="Z86" i="18" s="1"/>
  <c r="AB86" i="18" s="1"/>
  <c r="AD86" i="18" s="1"/>
  <c r="AF86" i="18" s="1"/>
  <c r="AH86" i="18" s="1"/>
  <c r="W86" i="18"/>
  <c r="G86" i="18" s="1"/>
  <c r="O148" i="16"/>
  <c r="O149" i="16"/>
  <c r="O150" i="16"/>
  <c r="O151" i="16"/>
  <c r="O152" i="16"/>
  <c r="Q44" i="21"/>
  <c r="R44" i="21"/>
  <c r="X88" i="18"/>
  <c r="Z88" i="18" s="1"/>
  <c r="AB88" i="18" s="1"/>
  <c r="AD88" i="18" s="1"/>
  <c r="AF88" i="18" s="1"/>
  <c r="AH88" i="18" s="1"/>
  <c r="W88" i="18"/>
  <c r="G88" i="18" s="1"/>
  <c r="W87" i="18"/>
  <c r="G87" i="18" s="1"/>
  <c r="X87" i="18"/>
  <c r="Z87" i="18" s="1"/>
  <c r="AB87" i="18" s="1"/>
  <c r="AD87" i="18" s="1"/>
  <c r="AF87" i="18" s="1"/>
  <c r="AH87" i="18" s="1"/>
  <c r="T41" i="18"/>
  <c r="V41" i="18" s="1"/>
  <c r="X41" i="18" s="1"/>
  <c r="Z41" i="18" s="1"/>
  <c r="AB41" i="18" s="1"/>
  <c r="AD41" i="18" s="1"/>
  <c r="AF41" i="18" s="1"/>
  <c r="AH41" i="18" s="1"/>
  <c r="S41" i="18"/>
  <c r="G41" i="18" s="1"/>
  <c r="S40" i="18"/>
  <c r="G40" i="18" s="1"/>
  <c r="T40" i="18"/>
  <c r="V40" i="18" s="1"/>
  <c r="X40" i="18" s="1"/>
  <c r="Z40" i="18" s="1"/>
  <c r="AB40" i="18" s="1"/>
  <c r="AD40" i="18" s="1"/>
  <c r="AF40" i="18" s="1"/>
  <c r="AH40" i="18" s="1"/>
  <c r="G30" i="18"/>
  <c r="AF31" i="18"/>
  <c r="AE31" i="18"/>
  <c r="AJ87" i="1"/>
  <c r="R152" i="16"/>
  <c r="T152" i="16" s="1"/>
  <c r="V152" i="16" s="1"/>
  <c r="X152" i="16" s="1"/>
  <c r="Z152" i="16" s="1"/>
  <c r="AB152" i="16" s="1"/>
  <c r="AD152" i="16" s="1"/>
  <c r="AF152" i="16" s="1"/>
  <c r="AH152" i="16" s="1"/>
  <c r="AJ152" i="16" s="1"/>
  <c r="M154" i="16"/>
  <c r="N154" i="16"/>
  <c r="H156" i="16"/>
  <c r="K155" i="16"/>
  <c r="O153" i="16"/>
  <c r="P153" i="16"/>
  <c r="O137" i="16"/>
  <c r="O136" i="16"/>
  <c r="O147" i="16"/>
  <c r="O141" i="16"/>
  <c r="O146" i="16"/>
  <c r="O145" i="16"/>
  <c r="O139" i="16"/>
  <c r="O144" i="16"/>
  <c r="O143" i="16"/>
  <c r="O138" i="16"/>
  <c r="O142" i="16"/>
  <c r="O140" i="16"/>
  <c r="H130" i="16"/>
  <c r="H126" i="16"/>
  <c r="H122" i="16"/>
  <c r="H118" i="16"/>
  <c r="H114" i="16"/>
  <c r="H110" i="16"/>
  <c r="H106" i="16"/>
  <c r="H102" i="16"/>
  <c r="H98" i="16"/>
  <c r="H94" i="16"/>
  <c r="H90" i="16"/>
  <c r="H86" i="16"/>
  <c r="H82" i="16"/>
  <c r="H78" i="16"/>
  <c r="H74" i="16"/>
  <c r="H70" i="16"/>
  <c r="H66" i="16"/>
  <c r="H62" i="16"/>
  <c r="H58" i="16"/>
  <c r="H54" i="16"/>
  <c r="H50" i="16"/>
  <c r="H46" i="16"/>
  <c r="H42" i="16"/>
  <c r="H38" i="16"/>
  <c r="H34" i="16"/>
  <c r="H30" i="16"/>
  <c r="H26" i="16"/>
  <c r="K26" i="16" s="1"/>
  <c r="N26" i="16" s="1"/>
  <c r="O26" i="16" s="1"/>
  <c r="H22" i="16"/>
  <c r="K22" i="16" s="1"/>
  <c r="N22" i="16" s="1"/>
  <c r="P22" i="16" s="1"/>
  <c r="H18" i="16"/>
  <c r="K18" i="16" s="1"/>
  <c r="N18" i="16" s="1"/>
  <c r="P18" i="16" s="1"/>
  <c r="R18" i="16" s="1"/>
  <c r="T18" i="16" s="1"/>
  <c r="V18" i="16" s="1"/>
  <c r="X18" i="16" s="1"/>
  <c r="Z18" i="16" s="1"/>
  <c r="AB18" i="16" s="1"/>
  <c r="AD18" i="16" s="1"/>
  <c r="AF18" i="16" s="1"/>
  <c r="AH18" i="16" s="1"/>
  <c r="AJ18" i="16" s="1"/>
  <c r="H129" i="16"/>
  <c r="H125" i="16"/>
  <c r="H121" i="16"/>
  <c r="H113" i="16"/>
  <c r="H105" i="16"/>
  <c r="H97" i="16"/>
  <c r="H89" i="16"/>
  <c r="H132" i="16"/>
  <c r="H128" i="16"/>
  <c r="H124" i="16"/>
  <c r="H120" i="16"/>
  <c r="H116" i="16"/>
  <c r="H112" i="16"/>
  <c r="H108" i="16"/>
  <c r="H104" i="16"/>
  <c r="H100" i="16"/>
  <c r="H96" i="16"/>
  <c r="H92" i="16"/>
  <c r="H88" i="16"/>
  <c r="H84" i="16"/>
  <c r="H80" i="16"/>
  <c r="H76" i="16"/>
  <c r="H72" i="16"/>
  <c r="H68" i="16"/>
  <c r="H64" i="16"/>
  <c r="H60" i="16"/>
  <c r="H56" i="16"/>
  <c r="H52" i="16"/>
  <c r="H48" i="16"/>
  <c r="H44" i="16"/>
  <c r="H40" i="16"/>
  <c r="H36" i="16"/>
  <c r="H32" i="16"/>
  <c r="H28" i="16"/>
  <c r="K28" i="16" s="1"/>
  <c r="N28" i="16" s="1"/>
  <c r="P28" i="16" s="1"/>
  <c r="H24" i="16"/>
  <c r="K24" i="16" s="1"/>
  <c r="N24" i="16" s="1"/>
  <c r="O24" i="16" s="1"/>
  <c r="H20" i="16"/>
  <c r="K20" i="16" s="1"/>
  <c r="N20" i="16" s="1"/>
  <c r="P20" i="16" s="1"/>
  <c r="H131" i="16"/>
  <c r="H127" i="16"/>
  <c r="H123" i="16"/>
  <c r="H119" i="16"/>
  <c r="H115" i="16"/>
  <c r="H111" i="16"/>
  <c r="H107" i="16"/>
  <c r="H103" i="16"/>
  <c r="H99" i="16"/>
  <c r="H95" i="16"/>
  <c r="H91" i="16"/>
  <c r="H87" i="16"/>
  <c r="H83" i="16"/>
  <c r="H79" i="16"/>
  <c r="H75" i="16"/>
  <c r="H71" i="16"/>
  <c r="H67" i="16"/>
  <c r="H63" i="16"/>
  <c r="H59" i="16"/>
  <c r="H55" i="16"/>
  <c r="H51" i="16"/>
  <c r="H47" i="16"/>
  <c r="H43" i="16"/>
  <c r="H39" i="16"/>
  <c r="H35" i="16"/>
  <c r="H31" i="16"/>
  <c r="H27" i="16"/>
  <c r="H23" i="16"/>
  <c r="K23" i="16" s="1"/>
  <c r="N23" i="16" s="1"/>
  <c r="O23" i="16" s="1"/>
  <c r="H19" i="16"/>
  <c r="K19" i="16" s="1"/>
  <c r="N19" i="16" s="1"/>
  <c r="O19" i="16" s="1"/>
  <c r="H117" i="16"/>
  <c r="H109" i="16"/>
  <c r="H101" i="16"/>
  <c r="H93" i="16"/>
  <c r="H73" i="16"/>
  <c r="H57" i="16"/>
  <c r="H41" i="16"/>
  <c r="H25" i="16"/>
  <c r="K25" i="16" s="1"/>
  <c r="H85" i="16"/>
  <c r="H69" i="16"/>
  <c r="H53" i="16"/>
  <c r="H37" i="16"/>
  <c r="H21" i="16"/>
  <c r="K21" i="16" s="1"/>
  <c r="H77" i="16"/>
  <c r="H61" i="16"/>
  <c r="H45" i="16"/>
  <c r="H29" i="16"/>
  <c r="H81" i="16"/>
  <c r="H65" i="16"/>
  <c r="H49" i="16"/>
  <c r="H33" i="16"/>
  <c r="O135" i="16"/>
  <c r="AD97" i="1"/>
  <c r="AD98" i="1"/>
  <c r="AD96" i="1"/>
  <c r="P96" i="17"/>
  <c r="P92" i="17"/>
  <c r="N117" i="17"/>
  <c r="P116" i="17"/>
  <c r="N105" i="17"/>
  <c r="P104" i="17"/>
  <c r="P86" i="17"/>
  <c r="N70" i="17"/>
  <c r="P71" i="17"/>
  <c r="P75" i="17"/>
  <c r="N76" i="17"/>
  <c r="N26" i="17"/>
  <c r="P27" i="17"/>
  <c r="N34" i="17"/>
  <c r="P37" i="17" s="1"/>
  <c r="P33" i="17"/>
  <c r="W23" i="17"/>
  <c r="Q17" i="16"/>
  <c r="Q266" i="16" s="1"/>
  <c r="F88" i="1"/>
  <c r="F88" i="7"/>
  <c r="F88" i="8"/>
  <c r="F89" i="9"/>
  <c r="C15" i="16" l="1"/>
  <c r="C14" i="16"/>
  <c r="C9" i="16"/>
  <c r="Q152" i="16"/>
  <c r="Q190" i="16"/>
  <c r="Q195" i="16"/>
  <c r="Q191" i="16"/>
  <c r="Q196" i="16"/>
  <c r="Q192" i="16"/>
  <c r="Q193" i="16"/>
  <c r="Q197" i="16"/>
  <c r="Q194" i="16"/>
  <c r="Q198" i="16"/>
  <c r="Q199" i="16"/>
  <c r="Q200" i="16"/>
  <c r="Q201" i="16"/>
  <c r="Q202" i="16"/>
  <c r="Q203" i="16"/>
  <c r="Q204" i="16"/>
  <c r="Q205" i="16"/>
  <c r="Q206" i="16"/>
  <c r="Q207" i="16"/>
  <c r="Q208" i="16"/>
  <c r="Q209" i="16"/>
  <c r="Q210" i="16"/>
  <c r="Q211" i="16"/>
  <c r="Q212" i="16"/>
  <c r="Q213" i="16"/>
  <c r="Q214" i="16"/>
  <c r="Q215" i="16"/>
  <c r="Q216" i="16"/>
  <c r="Q217" i="16"/>
  <c r="Q218" i="16"/>
  <c r="Q219" i="16"/>
  <c r="Q220" i="16"/>
  <c r="Q221" i="16"/>
  <c r="Q222" i="16"/>
  <c r="Q223" i="16"/>
  <c r="Q224" i="16"/>
  <c r="Q225" i="16"/>
  <c r="Q226" i="16"/>
  <c r="Q227" i="16"/>
  <c r="Q228" i="16"/>
  <c r="Q229" i="16"/>
  <c r="Q230" i="16"/>
  <c r="Q231" i="16"/>
  <c r="Q232" i="16"/>
  <c r="Q233" i="16"/>
  <c r="Q234" i="16"/>
  <c r="Q235" i="16"/>
  <c r="Q236" i="16"/>
  <c r="Q237" i="16"/>
  <c r="Q238" i="16"/>
  <c r="Q239" i="16"/>
  <c r="Q240" i="16"/>
  <c r="Q241" i="16"/>
  <c r="Q242" i="16"/>
  <c r="Q243" i="16"/>
  <c r="Q244" i="16"/>
  <c r="Q245" i="16"/>
  <c r="Q246" i="16"/>
  <c r="Q247" i="16"/>
  <c r="Q248" i="16"/>
  <c r="Q249" i="16"/>
  <c r="Q250" i="16"/>
  <c r="Q251" i="16"/>
  <c r="Q252" i="16"/>
  <c r="Q253" i="16"/>
  <c r="Q254" i="16"/>
  <c r="Q255" i="16"/>
  <c r="Q256" i="16"/>
  <c r="Q257" i="16"/>
  <c r="Q258" i="16"/>
  <c r="Q259" i="16"/>
  <c r="Q260" i="16"/>
  <c r="Q261" i="16"/>
  <c r="Q262" i="16"/>
  <c r="Q263" i="16"/>
  <c r="Q264" i="16"/>
  <c r="Q265" i="16"/>
  <c r="R267" i="16"/>
  <c r="T267" i="16" s="1"/>
  <c r="V267" i="16" s="1"/>
  <c r="X267" i="16" s="1"/>
  <c r="Z267" i="16" s="1"/>
  <c r="AB267" i="16" s="1"/>
  <c r="AD267" i="16" s="1"/>
  <c r="AF267" i="16" s="1"/>
  <c r="AH267" i="16" s="1"/>
  <c r="AJ267" i="16" s="1"/>
  <c r="Q267" i="16"/>
  <c r="K270" i="16"/>
  <c r="F270" i="16"/>
  <c r="H271" i="16"/>
  <c r="N269" i="16"/>
  <c r="M269" i="16"/>
  <c r="P268" i="16"/>
  <c r="O268" i="16"/>
  <c r="B13" i="16"/>
  <c r="B14" i="16"/>
  <c r="C13" i="16"/>
  <c r="S44" i="21"/>
  <c r="T44" i="21"/>
  <c r="X89" i="18"/>
  <c r="Z89" i="18" s="1"/>
  <c r="AB89" i="18" s="1"/>
  <c r="AD89" i="18" s="1"/>
  <c r="AF89" i="18" s="1"/>
  <c r="AH89" i="18" s="1"/>
  <c r="W89" i="18"/>
  <c r="G89" i="18" s="1"/>
  <c r="T45" i="21"/>
  <c r="S45" i="21"/>
  <c r="Q148" i="16"/>
  <c r="Q149" i="16"/>
  <c r="Q150" i="16"/>
  <c r="Q151" i="16"/>
  <c r="W85" i="18"/>
  <c r="G85" i="18" s="1"/>
  <c r="X85" i="18"/>
  <c r="Z85" i="18" s="1"/>
  <c r="AB85" i="18" s="1"/>
  <c r="AD85" i="18" s="1"/>
  <c r="AF85" i="18" s="1"/>
  <c r="AH85" i="18" s="1"/>
  <c r="AH31" i="18"/>
  <c r="AI31" i="18" s="1"/>
  <c r="AG31" i="18"/>
  <c r="O154" i="16"/>
  <c r="P154" i="16"/>
  <c r="N155" i="16"/>
  <c r="M155" i="16"/>
  <c r="Q153" i="16"/>
  <c r="R153" i="16"/>
  <c r="T153" i="16" s="1"/>
  <c r="V153" i="16" s="1"/>
  <c r="X153" i="16" s="1"/>
  <c r="Z153" i="16" s="1"/>
  <c r="AB153" i="16" s="1"/>
  <c r="AD153" i="16" s="1"/>
  <c r="AF153" i="16" s="1"/>
  <c r="AH153" i="16" s="1"/>
  <c r="AJ153" i="16" s="1"/>
  <c r="H157" i="16"/>
  <c r="K156" i="16"/>
  <c r="Q136" i="16"/>
  <c r="Q137" i="16"/>
  <c r="Q147" i="16"/>
  <c r="Q144" i="16"/>
  <c r="Q142" i="16"/>
  <c r="Q143" i="16"/>
  <c r="Q145" i="16"/>
  <c r="Q140" i="16"/>
  <c r="Q146" i="16"/>
  <c r="Q139" i="16"/>
  <c r="Q141" i="16"/>
  <c r="Q138" i="16"/>
  <c r="N21" i="16"/>
  <c r="P21" i="16" s="1"/>
  <c r="R21" i="16" s="1"/>
  <c r="M21" i="16"/>
  <c r="Q135" i="16"/>
  <c r="AF97" i="1"/>
  <c r="AF98" i="1"/>
  <c r="AF96" i="1"/>
  <c r="N118" i="17"/>
  <c r="P118" i="17" s="1"/>
  <c r="P117" i="17"/>
  <c r="P105" i="17"/>
  <c r="N106" i="17"/>
  <c r="P85" i="17"/>
  <c r="N84" i="17"/>
  <c r="P76" i="17"/>
  <c r="N78" i="17"/>
  <c r="P70" i="17"/>
  <c r="N69" i="17"/>
  <c r="N36" i="17"/>
  <c r="P34" i="17"/>
  <c r="N25" i="17"/>
  <c r="P26" i="17"/>
  <c r="Y23" i="17"/>
  <c r="M22" i="16"/>
  <c r="M18" i="16"/>
  <c r="P19" i="16"/>
  <c r="R19" i="16" s="1"/>
  <c r="O18" i="16"/>
  <c r="O22" i="16"/>
  <c r="N25" i="16"/>
  <c r="P25" i="16" s="1"/>
  <c r="Q25" i="16" s="1"/>
  <c r="M25" i="16"/>
  <c r="M19" i="16"/>
  <c r="M23" i="16"/>
  <c r="P23" i="16"/>
  <c r="R23" i="16" s="1"/>
  <c r="M26" i="16"/>
  <c r="P24" i="16"/>
  <c r="R24" i="16" s="1"/>
  <c r="P26" i="16"/>
  <c r="R26" i="16" s="1"/>
  <c r="K31" i="16"/>
  <c r="M28" i="16"/>
  <c r="M24" i="16"/>
  <c r="M20" i="16"/>
  <c r="O20" i="16"/>
  <c r="O28" i="16"/>
  <c r="K27" i="16"/>
  <c r="K29" i="16"/>
  <c r="R28" i="16"/>
  <c r="Q28" i="16"/>
  <c r="R22" i="16"/>
  <c r="Q22" i="16"/>
  <c r="R20" i="16"/>
  <c r="Q20" i="16"/>
  <c r="S17" i="16"/>
  <c r="Q18" i="16"/>
  <c r="L87" i="9"/>
  <c r="F87" i="9"/>
  <c r="K87" i="9" s="1"/>
  <c r="N87" i="9" s="1"/>
  <c r="P87" i="9" s="1"/>
  <c r="L86" i="8"/>
  <c r="F86" i="8"/>
  <c r="K86" i="8" s="1"/>
  <c r="N86" i="8" s="1"/>
  <c r="P86" i="8" s="1"/>
  <c r="R86" i="8" s="1"/>
  <c r="T86" i="8" s="1"/>
  <c r="V86" i="8" s="1"/>
  <c r="X86" i="8" s="1"/>
  <c r="Z86" i="8" s="1"/>
  <c r="AB86" i="8" s="1"/>
  <c r="AD86" i="8" s="1"/>
  <c r="AF86" i="8" s="1"/>
  <c r="AH86" i="8" s="1"/>
  <c r="AJ86" i="8" s="1"/>
  <c r="L86" i="7"/>
  <c r="F86" i="7"/>
  <c r="K86" i="7" s="1"/>
  <c r="N86" i="7" s="1"/>
  <c r="P86" i="7" s="1"/>
  <c r="R86" i="7" s="1"/>
  <c r="T86" i="7" s="1"/>
  <c r="V86" i="7" s="1"/>
  <c r="X86" i="7" s="1"/>
  <c r="Z86" i="7" s="1"/>
  <c r="AB86" i="7" s="1"/>
  <c r="AD86" i="7" s="1"/>
  <c r="AF86" i="7" s="1"/>
  <c r="AH86" i="7" s="1"/>
  <c r="AJ86" i="7" s="1"/>
  <c r="L86" i="1"/>
  <c r="F86" i="1"/>
  <c r="K86" i="1" s="1"/>
  <c r="M86" i="1" s="1"/>
  <c r="L89" i="9"/>
  <c r="K89" i="9"/>
  <c r="L88" i="8"/>
  <c r="K88" i="8"/>
  <c r="N88" i="8" s="1"/>
  <c r="P88" i="8" s="1"/>
  <c r="R88" i="8" s="1"/>
  <c r="T88" i="8" s="1"/>
  <c r="V88" i="8" s="1"/>
  <c r="X88" i="8" s="1"/>
  <c r="Z88" i="8" s="1"/>
  <c r="AB88" i="8" s="1"/>
  <c r="AD88" i="8" s="1"/>
  <c r="AF88" i="8" s="1"/>
  <c r="AH88" i="8" s="1"/>
  <c r="AJ88" i="8" s="1"/>
  <c r="L88" i="7"/>
  <c r="K88" i="7"/>
  <c r="N88" i="7" s="1"/>
  <c r="P88" i="7" s="1"/>
  <c r="R88" i="7" s="1"/>
  <c r="T88" i="7" s="1"/>
  <c r="V88" i="7" s="1"/>
  <c r="X88" i="7" s="1"/>
  <c r="Z88" i="7" s="1"/>
  <c r="AB88" i="7" s="1"/>
  <c r="AD88" i="7" s="1"/>
  <c r="AF88" i="7" s="1"/>
  <c r="AH88" i="7" s="1"/>
  <c r="AJ88" i="7" s="1"/>
  <c r="L83" i="1"/>
  <c r="F83" i="1"/>
  <c r="K83" i="1" s="1"/>
  <c r="L15" i="9"/>
  <c r="L14" i="9"/>
  <c r="C15" i="9"/>
  <c r="C14" i="9"/>
  <c r="B15" i="9"/>
  <c r="B14" i="9"/>
  <c r="L15" i="8"/>
  <c r="L14" i="8"/>
  <c r="C15" i="8"/>
  <c r="C14" i="8"/>
  <c r="B15" i="8"/>
  <c r="B14" i="8"/>
  <c r="L15" i="7"/>
  <c r="L14" i="7"/>
  <c r="C15" i="7"/>
  <c r="C14" i="7"/>
  <c r="B15" i="7"/>
  <c r="B14" i="7"/>
  <c r="D91" i="1"/>
  <c r="D90" i="1" s="1"/>
  <c r="L90" i="1"/>
  <c r="C90" i="1"/>
  <c r="C90" i="7"/>
  <c r="D91" i="7"/>
  <c r="D90" i="7" s="1"/>
  <c r="L90" i="7"/>
  <c r="L120" i="9"/>
  <c r="L128" i="9"/>
  <c r="L140" i="9"/>
  <c r="L138" i="9"/>
  <c r="L137" i="9"/>
  <c r="L136" i="9"/>
  <c r="L134" i="9"/>
  <c r="L133" i="9"/>
  <c r="L131" i="9"/>
  <c r="L130" i="9"/>
  <c r="L127" i="9"/>
  <c r="L125" i="9"/>
  <c r="L124" i="9"/>
  <c r="L123" i="9"/>
  <c r="L122" i="9"/>
  <c r="L121" i="9"/>
  <c r="L118" i="9"/>
  <c r="L21" i="9"/>
  <c r="L20" i="9"/>
  <c r="L19" i="9"/>
  <c r="L18" i="9"/>
  <c r="L17" i="9"/>
  <c r="L16" i="9"/>
  <c r="L13" i="9"/>
  <c r="L12" i="9"/>
  <c r="L11" i="9"/>
  <c r="L10" i="9"/>
  <c r="L9" i="9"/>
  <c r="L8" i="9"/>
  <c r="L7" i="9"/>
  <c r="L6" i="9"/>
  <c r="L5" i="9"/>
  <c r="L4" i="9"/>
  <c r="L3" i="9"/>
  <c r="C21" i="9"/>
  <c r="B21" i="9"/>
  <c r="C20" i="9"/>
  <c r="B20" i="9"/>
  <c r="C19" i="9"/>
  <c r="B19" i="9"/>
  <c r="C18" i="9"/>
  <c r="C17" i="9"/>
  <c r="B17" i="9"/>
  <c r="B18" i="9"/>
  <c r="L21" i="8"/>
  <c r="L20" i="8"/>
  <c r="L19" i="8"/>
  <c r="L18" i="8"/>
  <c r="L17" i="8"/>
  <c r="L16" i="8"/>
  <c r="L13" i="8"/>
  <c r="L12" i="8"/>
  <c r="L11" i="8"/>
  <c r="L10" i="8"/>
  <c r="L9" i="8"/>
  <c r="L8" i="8"/>
  <c r="L7" i="8"/>
  <c r="L6" i="8"/>
  <c r="L5" i="8"/>
  <c r="L4" i="8"/>
  <c r="L3" i="8"/>
  <c r="C21" i="8"/>
  <c r="B21" i="8"/>
  <c r="C20" i="8"/>
  <c r="B20" i="8"/>
  <c r="C19" i="8"/>
  <c r="B19" i="8"/>
  <c r="C18" i="8"/>
  <c r="C17" i="8"/>
  <c r="B17" i="8"/>
  <c r="B18" i="8"/>
  <c r="L21" i="7"/>
  <c r="L20" i="7"/>
  <c r="L19" i="7"/>
  <c r="L18" i="7"/>
  <c r="L17" i="7"/>
  <c r="L16" i="7"/>
  <c r="L13" i="7"/>
  <c r="L12" i="7"/>
  <c r="L11" i="7"/>
  <c r="L10" i="7"/>
  <c r="L9" i="7"/>
  <c r="L8" i="7"/>
  <c r="L7" i="7"/>
  <c r="L6" i="7"/>
  <c r="L5" i="7"/>
  <c r="L4" i="7"/>
  <c r="L3" i="7"/>
  <c r="C21" i="7"/>
  <c r="B21" i="7"/>
  <c r="C20" i="7"/>
  <c r="B20" i="7"/>
  <c r="C19" i="7"/>
  <c r="B19" i="7"/>
  <c r="C18" i="7"/>
  <c r="B18" i="7"/>
  <c r="C17" i="7"/>
  <c r="B17" i="7"/>
  <c r="C16" i="7"/>
  <c r="L71" i="1"/>
  <c r="L31" i="9"/>
  <c r="L31" i="8"/>
  <c r="L31" i="7"/>
  <c r="J66" i="12"/>
  <c r="D53" i="12"/>
  <c r="D54" i="12" s="1"/>
  <c r="J54" i="12"/>
  <c r="J53" i="12"/>
  <c r="L109" i="9"/>
  <c r="L108" i="9"/>
  <c r="D63" i="12"/>
  <c r="D64" i="12" s="1"/>
  <c r="D61" i="12"/>
  <c r="D62" i="12" s="1"/>
  <c r="J64" i="12"/>
  <c r="J63" i="12"/>
  <c r="J62" i="12"/>
  <c r="J61" i="12"/>
  <c r="J60" i="12"/>
  <c r="D60" i="12"/>
  <c r="J59" i="12"/>
  <c r="J58" i="12"/>
  <c r="J57" i="12"/>
  <c r="D58" i="12"/>
  <c r="J42" i="12"/>
  <c r="J41" i="12"/>
  <c r="J24" i="12"/>
  <c r="D24" i="12"/>
  <c r="J23" i="12"/>
  <c r="D55" i="12"/>
  <c r="D56" i="12" s="1"/>
  <c r="J56" i="12"/>
  <c r="J55" i="12"/>
  <c r="D51" i="12"/>
  <c r="D52" i="12" s="1"/>
  <c r="J52" i="12"/>
  <c r="J51" i="12"/>
  <c r="J50" i="12"/>
  <c r="J49" i="12"/>
  <c r="D50" i="12"/>
  <c r="J48" i="12"/>
  <c r="D48" i="12"/>
  <c r="J47" i="12"/>
  <c r="J46" i="12"/>
  <c r="J45" i="12"/>
  <c r="J44" i="12"/>
  <c r="J43" i="12"/>
  <c r="J40" i="12"/>
  <c r="J39" i="12"/>
  <c r="J38" i="12"/>
  <c r="J37" i="12"/>
  <c r="D31" i="12"/>
  <c r="D37" i="12" s="1"/>
  <c r="D25" i="12"/>
  <c r="D26" i="12" s="1"/>
  <c r="J36" i="12"/>
  <c r="J35" i="12"/>
  <c r="J34" i="12"/>
  <c r="J33" i="12"/>
  <c r="J32" i="12"/>
  <c r="J31" i="12"/>
  <c r="D33" i="12"/>
  <c r="D43" i="12" s="1"/>
  <c r="D44" i="12" s="1"/>
  <c r="J30" i="12"/>
  <c r="J29" i="12"/>
  <c r="J28" i="12"/>
  <c r="J27" i="12"/>
  <c r="J26" i="12"/>
  <c r="J25" i="12"/>
  <c r="J22" i="12"/>
  <c r="J21" i="12"/>
  <c r="D19" i="12"/>
  <c r="D20" i="12" s="1"/>
  <c r="D18" i="12"/>
  <c r="J20" i="12"/>
  <c r="J19" i="12"/>
  <c r="J18" i="12"/>
  <c r="J17" i="12"/>
  <c r="M16" i="12"/>
  <c r="R2" i="9"/>
  <c r="M2" i="9"/>
  <c r="R2" i="8"/>
  <c r="M2" i="8"/>
  <c r="L107" i="9"/>
  <c r="F96" i="8"/>
  <c r="F106" i="26" s="1"/>
  <c r="K106" i="26" s="1"/>
  <c r="L96" i="8"/>
  <c r="L57" i="9"/>
  <c r="D57" i="9"/>
  <c r="B57" i="9"/>
  <c r="L57" i="8"/>
  <c r="D57" i="8"/>
  <c r="B57" i="8"/>
  <c r="D62" i="7"/>
  <c r="D57" i="7"/>
  <c r="B57" i="7"/>
  <c r="L57" i="7"/>
  <c r="L57" i="1"/>
  <c r="C53" i="9"/>
  <c r="B53" i="9"/>
  <c r="C53" i="8"/>
  <c r="B53" i="8"/>
  <c r="C53" i="7"/>
  <c r="B53" i="7"/>
  <c r="L53" i="7"/>
  <c r="L53" i="1"/>
  <c r="D53" i="1"/>
  <c r="L53" i="9"/>
  <c r="L53" i="8"/>
  <c r="C49" i="9"/>
  <c r="C49" i="8"/>
  <c r="L84" i="9"/>
  <c r="L83" i="9"/>
  <c r="L82" i="9"/>
  <c r="L81" i="9"/>
  <c r="L80" i="9"/>
  <c r="L79" i="9"/>
  <c r="L78" i="9"/>
  <c r="L77" i="9"/>
  <c r="L76" i="9"/>
  <c r="L75" i="9"/>
  <c r="L74" i="9"/>
  <c r="L73" i="9"/>
  <c r="L71" i="9"/>
  <c r="L70" i="9"/>
  <c r="L69" i="9"/>
  <c r="L68" i="9"/>
  <c r="L66" i="9"/>
  <c r="L65" i="9"/>
  <c r="L64" i="9"/>
  <c r="L56" i="9"/>
  <c r="L55" i="9"/>
  <c r="L54" i="9"/>
  <c r="L52" i="9"/>
  <c r="L51" i="9"/>
  <c r="L50" i="9"/>
  <c r="L49" i="9"/>
  <c r="L48" i="9"/>
  <c r="L47" i="9"/>
  <c r="L44" i="9"/>
  <c r="L42" i="9"/>
  <c r="L41" i="9"/>
  <c r="L40" i="9"/>
  <c r="L39" i="9"/>
  <c r="L38" i="9"/>
  <c r="L37" i="9"/>
  <c r="L36" i="9"/>
  <c r="L35" i="9"/>
  <c r="L34" i="9"/>
  <c r="L33" i="9"/>
  <c r="L32" i="9"/>
  <c r="L83" i="8"/>
  <c r="L82" i="8"/>
  <c r="L81" i="8"/>
  <c r="L80" i="8"/>
  <c r="L79" i="8"/>
  <c r="L78" i="8"/>
  <c r="L77" i="8"/>
  <c r="L76" i="8"/>
  <c r="L75" i="8"/>
  <c r="L74" i="8"/>
  <c r="L73" i="8"/>
  <c r="L72" i="8"/>
  <c r="L70" i="8"/>
  <c r="L69" i="8"/>
  <c r="L68" i="8"/>
  <c r="L67" i="8"/>
  <c r="L66" i="8"/>
  <c r="L65" i="8"/>
  <c r="L64" i="8"/>
  <c r="L63" i="8"/>
  <c r="L62" i="8"/>
  <c r="L56" i="8"/>
  <c r="L55" i="8"/>
  <c r="L54" i="8"/>
  <c r="L52" i="8"/>
  <c r="L51" i="8"/>
  <c r="L50" i="8"/>
  <c r="L49" i="8"/>
  <c r="L48" i="8"/>
  <c r="L47" i="8"/>
  <c r="L44" i="8"/>
  <c r="L42" i="8"/>
  <c r="L41" i="8"/>
  <c r="L40" i="8"/>
  <c r="L39" i="8"/>
  <c r="L38" i="8"/>
  <c r="L37" i="8"/>
  <c r="L36" i="8"/>
  <c r="L35" i="8"/>
  <c r="L34" i="8"/>
  <c r="L33" i="8"/>
  <c r="L32" i="8"/>
  <c r="L83" i="7"/>
  <c r="L82" i="7"/>
  <c r="L81" i="7"/>
  <c r="L80" i="7"/>
  <c r="L79" i="7"/>
  <c r="L78" i="7"/>
  <c r="L77" i="7"/>
  <c r="L76" i="7"/>
  <c r="L75" i="7"/>
  <c r="L74" i="7"/>
  <c r="L73" i="7"/>
  <c r="L72" i="7"/>
  <c r="L70" i="7"/>
  <c r="L69" i="7"/>
  <c r="L68" i="7"/>
  <c r="L67" i="7"/>
  <c r="L66" i="7"/>
  <c r="L65" i="7"/>
  <c r="L64" i="7"/>
  <c r="L63" i="7"/>
  <c r="L62" i="7"/>
  <c r="L56" i="7"/>
  <c r="L55" i="7"/>
  <c r="L54" i="7"/>
  <c r="L52" i="7"/>
  <c r="L51" i="7"/>
  <c r="L50" i="7"/>
  <c r="L49" i="7"/>
  <c r="L48" i="7"/>
  <c r="L47" i="7"/>
  <c r="L44" i="7"/>
  <c r="L42" i="7"/>
  <c r="L41" i="7"/>
  <c r="L40" i="7"/>
  <c r="L39" i="7"/>
  <c r="L38" i="7"/>
  <c r="L37" i="7"/>
  <c r="L36" i="7"/>
  <c r="L35" i="7"/>
  <c r="L34" i="7"/>
  <c r="L33" i="7"/>
  <c r="L32" i="7"/>
  <c r="L88" i="1"/>
  <c r="L82" i="1"/>
  <c r="L81" i="1"/>
  <c r="L80" i="1"/>
  <c r="L79" i="1"/>
  <c r="L78" i="1"/>
  <c r="L77" i="1"/>
  <c r="L76" i="1"/>
  <c r="L75" i="1"/>
  <c r="L74" i="1"/>
  <c r="L73" i="1"/>
  <c r="L72" i="1"/>
  <c r="L70" i="1"/>
  <c r="L69" i="1"/>
  <c r="L68" i="1"/>
  <c r="L67" i="1"/>
  <c r="L66" i="1"/>
  <c r="L65" i="1"/>
  <c r="L64" i="1"/>
  <c r="L63" i="1"/>
  <c r="L62" i="1"/>
  <c r="L56" i="1"/>
  <c r="L55" i="1"/>
  <c r="L54" i="1"/>
  <c r="L52" i="1"/>
  <c r="L51" i="1"/>
  <c r="L50" i="1"/>
  <c r="L49" i="1"/>
  <c r="L48" i="1"/>
  <c r="L47" i="1"/>
  <c r="L44" i="1"/>
  <c r="L42" i="1"/>
  <c r="L41" i="1"/>
  <c r="L40" i="1"/>
  <c r="L39" i="1"/>
  <c r="L38" i="1"/>
  <c r="L37" i="1"/>
  <c r="L36" i="1"/>
  <c r="L35" i="1"/>
  <c r="L34" i="1"/>
  <c r="L33" i="1"/>
  <c r="L32" i="1"/>
  <c r="K31" i="9"/>
  <c r="J31" i="9"/>
  <c r="K31" i="8"/>
  <c r="J31" i="8"/>
  <c r="K31" i="7"/>
  <c r="J31" i="7"/>
  <c r="C71" i="9"/>
  <c r="C70" i="9"/>
  <c r="B70" i="9"/>
  <c r="D69" i="9"/>
  <c r="C69" i="9"/>
  <c r="B69" i="9"/>
  <c r="C68" i="9"/>
  <c r="C66" i="9"/>
  <c r="B66" i="9"/>
  <c r="D65" i="9"/>
  <c r="C65" i="9"/>
  <c r="B65" i="9"/>
  <c r="B64" i="9"/>
  <c r="D56" i="9"/>
  <c r="B56" i="9"/>
  <c r="D55" i="9"/>
  <c r="D115" i="9" s="1"/>
  <c r="C55" i="9"/>
  <c r="B55" i="9"/>
  <c r="D54" i="9"/>
  <c r="D60" i="9" s="1"/>
  <c r="C54" i="9"/>
  <c r="B54" i="9"/>
  <c r="D52" i="9"/>
  <c r="C52" i="9"/>
  <c r="B52" i="9"/>
  <c r="D51" i="9"/>
  <c r="C51" i="9"/>
  <c r="B51" i="9"/>
  <c r="C50" i="9"/>
  <c r="B50" i="9"/>
  <c r="D49" i="9"/>
  <c r="B49" i="9"/>
  <c r="C48" i="9"/>
  <c r="B48" i="9"/>
  <c r="D47" i="9"/>
  <c r="C47" i="9"/>
  <c r="B47" i="9"/>
  <c r="D44" i="9"/>
  <c r="C44" i="9"/>
  <c r="B44" i="9"/>
  <c r="D42" i="9"/>
  <c r="C42" i="9"/>
  <c r="B42" i="9"/>
  <c r="C41" i="9"/>
  <c r="B41" i="9"/>
  <c r="D40" i="9"/>
  <c r="C40" i="9"/>
  <c r="B40" i="9"/>
  <c r="D39" i="9"/>
  <c r="C39" i="9"/>
  <c r="B39" i="9"/>
  <c r="C38" i="9"/>
  <c r="B38" i="9"/>
  <c r="D37" i="9"/>
  <c r="C37" i="9"/>
  <c r="B37" i="9"/>
  <c r="D36" i="9"/>
  <c r="C36" i="9"/>
  <c r="B36" i="9"/>
  <c r="D35" i="9"/>
  <c r="F16" i="9" s="1"/>
  <c r="M16" i="24" s="1"/>
  <c r="C35" i="9"/>
  <c r="B35" i="9"/>
  <c r="D34" i="9"/>
  <c r="D3" i="9" s="1"/>
  <c r="C34" i="9"/>
  <c r="B34" i="9"/>
  <c r="D33" i="9"/>
  <c r="D7" i="9" s="1"/>
  <c r="C33" i="9"/>
  <c r="B33" i="9"/>
  <c r="D32" i="9"/>
  <c r="F32" i="9" s="1"/>
  <c r="C32" i="9"/>
  <c r="B32" i="9"/>
  <c r="C70" i="8"/>
  <c r="B70" i="8"/>
  <c r="C69" i="8"/>
  <c r="B69" i="8"/>
  <c r="D68" i="8"/>
  <c r="C68" i="8"/>
  <c r="B68" i="8"/>
  <c r="C67" i="8"/>
  <c r="B67" i="8"/>
  <c r="C66" i="8"/>
  <c r="B66" i="8"/>
  <c r="D65" i="8"/>
  <c r="C65" i="8"/>
  <c r="B65" i="8"/>
  <c r="C64" i="8"/>
  <c r="B64" i="8"/>
  <c r="D63" i="8"/>
  <c r="B63" i="8"/>
  <c r="D62" i="8"/>
  <c r="B62" i="8"/>
  <c r="D56" i="8"/>
  <c r="B56" i="8"/>
  <c r="D55" i="8"/>
  <c r="B55" i="8"/>
  <c r="D54" i="8"/>
  <c r="D60" i="8" s="1"/>
  <c r="C54" i="8"/>
  <c r="B54" i="8"/>
  <c r="D52" i="8"/>
  <c r="C52" i="8"/>
  <c r="B52" i="8"/>
  <c r="D51" i="8"/>
  <c r="C51" i="8"/>
  <c r="B51" i="8"/>
  <c r="C50" i="8"/>
  <c r="B50" i="8"/>
  <c r="D49" i="8"/>
  <c r="B49" i="8"/>
  <c r="C48" i="8"/>
  <c r="B48" i="8"/>
  <c r="D47" i="8"/>
  <c r="C47" i="8"/>
  <c r="B47" i="8"/>
  <c r="D44" i="8"/>
  <c r="C44" i="8"/>
  <c r="B44" i="8"/>
  <c r="D42" i="8"/>
  <c r="C42" i="8"/>
  <c r="B42" i="8"/>
  <c r="C41" i="8"/>
  <c r="B41" i="8"/>
  <c r="D40" i="8"/>
  <c r="C40" i="8"/>
  <c r="B40" i="8"/>
  <c r="D39" i="8"/>
  <c r="C39" i="8"/>
  <c r="B39" i="8"/>
  <c r="C38" i="8"/>
  <c r="B38" i="8"/>
  <c r="D37" i="8"/>
  <c r="C37" i="8"/>
  <c r="B37" i="8"/>
  <c r="D36" i="8"/>
  <c r="D58" i="8" s="1"/>
  <c r="C36" i="8"/>
  <c r="B36" i="8"/>
  <c r="D35" i="8"/>
  <c r="F16" i="8" s="1"/>
  <c r="K16" i="8" s="1"/>
  <c r="C35" i="8"/>
  <c r="B35" i="8"/>
  <c r="D34" i="8"/>
  <c r="C34" i="8"/>
  <c r="B34" i="8"/>
  <c r="D33" i="8"/>
  <c r="D7" i="8" s="1"/>
  <c r="C33" i="8"/>
  <c r="B33" i="8"/>
  <c r="D32" i="8"/>
  <c r="F82" i="8" s="1"/>
  <c r="K82" i="8" s="1"/>
  <c r="C32" i="8"/>
  <c r="B32" i="8"/>
  <c r="C70" i="7"/>
  <c r="B70" i="7"/>
  <c r="C69" i="7"/>
  <c r="B69" i="7"/>
  <c r="D68" i="7"/>
  <c r="C68" i="7"/>
  <c r="B68" i="7"/>
  <c r="C67" i="7"/>
  <c r="B67" i="7"/>
  <c r="C66" i="7"/>
  <c r="B66" i="7"/>
  <c r="D65" i="7"/>
  <c r="C65" i="7"/>
  <c r="B65" i="7"/>
  <c r="C64" i="7"/>
  <c r="B64" i="7"/>
  <c r="D63" i="7"/>
  <c r="B63" i="7"/>
  <c r="B62" i="7"/>
  <c r="D56" i="7"/>
  <c r="C56" i="7"/>
  <c r="B56" i="7"/>
  <c r="D55" i="7"/>
  <c r="C55" i="7"/>
  <c r="B55" i="7"/>
  <c r="D54" i="7"/>
  <c r="C54" i="7"/>
  <c r="B54" i="7"/>
  <c r="D52" i="7"/>
  <c r="C52" i="7"/>
  <c r="B52" i="7"/>
  <c r="D51" i="7"/>
  <c r="C51" i="7"/>
  <c r="B51" i="7"/>
  <c r="C50" i="7"/>
  <c r="B50" i="7"/>
  <c r="D49" i="7"/>
  <c r="C49" i="7"/>
  <c r="B49" i="7"/>
  <c r="C48" i="7"/>
  <c r="B48" i="7"/>
  <c r="D47" i="7"/>
  <c r="C47" i="7"/>
  <c r="B47" i="7"/>
  <c r="D44" i="7"/>
  <c r="C44" i="7"/>
  <c r="B44" i="7"/>
  <c r="D42" i="7"/>
  <c r="C42" i="7"/>
  <c r="B42" i="7"/>
  <c r="C41" i="7"/>
  <c r="B41" i="7"/>
  <c r="D40" i="7"/>
  <c r="D3" i="7" s="1"/>
  <c r="C40" i="7"/>
  <c r="B40" i="7"/>
  <c r="D39" i="7"/>
  <c r="C39" i="7"/>
  <c r="B39" i="7"/>
  <c r="C38" i="7"/>
  <c r="B38" i="7"/>
  <c r="D37" i="7"/>
  <c r="C37" i="7"/>
  <c r="B37" i="7"/>
  <c r="D36" i="7"/>
  <c r="C36" i="7"/>
  <c r="B36" i="7"/>
  <c r="D35" i="7"/>
  <c r="F16" i="7" s="1"/>
  <c r="K16" i="7" s="1"/>
  <c r="C35" i="7"/>
  <c r="B35" i="7"/>
  <c r="D34" i="7"/>
  <c r="C34" i="7"/>
  <c r="B34" i="7"/>
  <c r="D33" i="7"/>
  <c r="D7" i="7" s="1"/>
  <c r="C33" i="7"/>
  <c r="B33" i="7"/>
  <c r="D32" i="7"/>
  <c r="F32" i="7" s="1"/>
  <c r="C32" i="7"/>
  <c r="B16" i="9"/>
  <c r="B13" i="9"/>
  <c r="B12" i="9"/>
  <c r="B11" i="9"/>
  <c r="B10" i="9"/>
  <c r="B9" i="9"/>
  <c r="B8" i="9"/>
  <c r="B7" i="9"/>
  <c r="B6" i="9"/>
  <c r="B5" i="9"/>
  <c r="B4" i="9"/>
  <c r="B3" i="9"/>
  <c r="B2" i="9"/>
  <c r="B16" i="8"/>
  <c r="B13" i="8"/>
  <c r="B12" i="8"/>
  <c r="B11" i="8"/>
  <c r="B10" i="8"/>
  <c r="B9" i="8"/>
  <c r="B8" i="8"/>
  <c r="B7" i="8"/>
  <c r="B6" i="8"/>
  <c r="B5" i="8"/>
  <c r="B4" i="8"/>
  <c r="B3" i="8"/>
  <c r="B2" i="8"/>
  <c r="B16" i="7"/>
  <c r="B13" i="7"/>
  <c r="B12" i="7"/>
  <c r="B11" i="7"/>
  <c r="B10" i="7"/>
  <c r="B9" i="7"/>
  <c r="B8" i="7"/>
  <c r="B7" i="7"/>
  <c r="B6" i="7"/>
  <c r="B5" i="7"/>
  <c r="B4" i="7"/>
  <c r="B3" i="7"/>
  <c r="B2" i="7"/>
  <c r="C31" i="7"/>
  <c r="C31" i="8"/>
  <c r="C31" i="9"/>
  <c r="C13" i="9"/>
  <c r="C12" i="9"/>
  <c r="C11" i="9"/>
  <c r="C10" i="9"/>
  <c r="C9" i="9"/>
  <c r="C8" i="9"/>
  <c r="C7" i="9"/>
  <c r="C6" i="9"/>
  <c r="C5" i="9"/>
  <c r="C4" i="9"/>
  <c r="C3" i="9"/>
  <c r="C2" i="9"/>
  <c r="C1" i="9"/>
  <c r="C13" i="8"/>
  <c r="C12" i="8"/>
  <c r="C11" i="8"/>
  <c r="C10" i="8"/>
  <c r="C9" i="8"/>
  <c r="C8" i="8"/>
  <c r="C7" i="8"/>
  <c r="C6" i="8"/>
  <c r="C5" i="8"/>
  <c r="C4" i="8"/>
  <c r="C3" i="8"/>
  <c r="C2" i="8"/>
  <c r="C1" i="8"/>
  <c r="D2" i="8"/>
  <c r="F4" i="8" s="1"/>
  <c r="C13" i="7"/>
  <c r="C12" i="7"/>
  <c r="C11" i="7"/>
  <c r="C10" i="7"/>
  <c r="C9" i="7"/>
  <c r="C8" i="7"/>
  <c r="C7" i="7"/>
  <c r="C6" i="7"/>
  <c r="C5" i="7"/>
  <c r="C4" i="7"/>
  <c r="C3" i="7"/>
  <c r="C2" i="7"/>
  <c r="C1" i="7"/>
  <c r="D69" i="1"/>
  <c r="B32" i="7"/>
  <c r="D38" i="1"/>
  <c r="F80" i="9"/>
  <c r="K80" i="9" s="1"/>
  <c r="F79" i="9"/>
  <c r="K79" i="9" s="1"/>
  <c r="F78" i="9"/>
  <c r="K78" i="9" s="1"/>
  <c r="O31" i="9"/>
  <c r="F79" i="8"/>
  <c r="K79" i="8" s="1"/>
  <c r="F78" i="8"/>
  <c r="K78" i="8" s="1"/>
  <c r="F77" i="8"/>
  <c r="K77" i="8" s="1"/>
  <c r="O31" i="8"/>
  <c r="Q31" i="8" s="1"/>
  <c r="S31" i="8" s="1"/>
  <c r="F79" i="7"/>
  <c r="K79" i="7" s="1"/>
  <c r="F78" i="7"/>
  <c r="K78" i="7" s="1"/>
  <c r="F77" i="7"/>
  <c r="K77" i="7" s="1"/>
  <c r="O31" i="7"/>
  <c r="O31" i="1"/>
  <c r="F79" i="1"/>
  <c r="K79" i="1" s="1"/>
  <c r="M79" i="1" s="1"/>
  <c r="F74" i="1"/>
  <c r="K74" i="1" s="1"/>
  <c r="M74" i="1" s="1"/>
  <c r="K88" i="1"/>
  <c r="M88" i="1" s="1"/>
  <c r="F75" i="1"/>
  <c r="K75" i="1" s="1"/>
  <c r="M75" i="1" s="1"/>
  <c r="F73" i="1"/>
  <c r="K73" i="1" s="1"/>
  <c r="M73" i="1" s="1"/>
  <c r="F72" i="1"/>
  <c r="F82" i="1"/>
  <c r="K82" i="1" s="1"/>
  <c r="M82" i="1" s="1"/>
  <c r="F81" i="1"/>
  <c r="K81" i="1" s="1"/>
  <c r="M81" i="1" s="1"/>
  <c r="F80" i="1"/>
  <c r="K80" i="1" s="1"/>
  <c r="M80" i="1" s="1"/>
  <c r="F78" i="1"/>
  <c r="K78" i="1" s="1"/>
  <c r="M78" i="1" s="1"/>
  <c r="F77" i="1"/>
  <c r="K77" i="1" s="1"/>
  <c r="M77" i="1" s="1"/>
  <c r="F76" i="1"/>
  <c r="K76" i="1" s="1"/>
  <c r="M76" i="1" s="1"/>
  <c r="F32" i="1"/>
  <c r="K32" i="1" s="1"/>
  <c r="D12" i="1"/>
  <c r="F12" i="1" s="1"/>
  <c r="K12" i="1" s="1"/>
  <c r="D7" i="1"/>
  <c r="D3" i="1"/>
  <c r="D4" i="1" s="1"/>
  <c r="D50" i="1"/>
  <c r="D48" i="1"/>
  <c r="D64" i="24"/>
  <c r="F64" i="24" s="1"/>
  <c r="D27" i="12" l="1"/>
  <c r="D29" i="12" s="1"/>
  <c r="D30" i="12" s="1"/>
  <c r="S312" i="16"/>
  <c r="S304" i="16"/>
  <c r="S296" i="16"/>
  <c r="S288" i="16"/>
  <c r="S280" i="16"/>
  <c r="S272" i="16"/>
  <c r="S264" i="16"/>
  <c r="S256" i="16"/>
  <c r="S317" i="16"/>
  <c r="S309" i="16"/>
  <c r="S301" i="16"/>
  <c r="S293" i="16"/>
  <c r="S285" i="16"/>
  <c r="S277" i="16"/>
  <c r="S269" i="16"/>
  <c r="S261" i="16"/>
  <c r="S253" i="16"/>
  <c r="S311" i="16"/>
  <c r="S303" i="16"/>
  <c r="S295" i="16"/>
  <c r="S287" i="16"/>
  <c r="S279" i="16"/>
  <c r="S271" i="16"/>
  <c r="S263" i="16"/>
  <c r="S255" i="16"/>
  <c r="S316" i="16"/>
  <c r="S308" i="16"/>
  <c r="S300" i="16"/>
  <c r="S292" i="16"/>
  <c r="S284" i="16"/>
  <c r="S276" i="16"/>
  <c r="S268" i="16"/>
  <c r="S260" i="16"/>
  <c r="S310" i="16"/>
  <c r="S302" i="16"/>
  <c r="S294" i="16"/>
  <c r="S286" i="16"/>
  <c r="S278" i="16"/>
  <c r="S270" i="16"/>
  <c r="S262" i="16"/>
  <c r="S254" i="16"/>
  <c r="S314" i="16"/>
  <c r="S290" i="16"/>
  <c r="S298" i="16"/>
  <c r="S266" i="16"/>
  <c r="S246" i="16"/>
  <c r="S238" i="16"/>
  <c r="S230" i="16"/>
  <c r="S222" i="16"/>
  <c r="S313" i="16"/>
  <c r="S291" i="16"/>
  <c r="S281" i="16"/>
  <c r="S259" i="16"/>
  <c r="S243" i="16"/>
  <c r="S235" i="16"/>
  <c r="S227" i="16"/>
  <c r="S306" i="16"/>
  <c r="S274" i="16"/>
  <c r="S248" i="16"/>
  <c r="S240" i="16"/>
  <c r="S232" i="16"/>
  <c r="S224" i="16"/>
  <c r="S216" i="16"/>
  <c r="S299" i="16"/>
  <c r="S289" i="16"/>
  <c r="S257" i="16"/>
  <c r="S245" i="16"/>
  <c r="S244" i="16"/>
  <c r="S234" i="16"/>
  <c r="S233" i="16"/>
  <c r="S223" i="16"/>
  <c r="S220" i="16"/>
  <c r="S219" i="16"/>
  <c r="S283" i="16"/>
  <c r="S247" i="16"/>
  <c r="S237" i="16"/>
  <c r="S236" i="16"/>
  <c r="S226" i="16"/>
  <c r="S225" i="16"/>
  <c r="S218" i="16"/>
  <c r="S213" i="16"/>
  <c r="S315" i="16"/>
  <c r="S305" i="16"/>
  <c r="S273" i="16"/>
  <c r="S252" i="16"/>
  <c r="S250" i="16"/>
  <c r="S249" i="16"/>
  <c r="S239" i="16"/>
  <c r="S229" i="16"/>
  <c r="S228" i="16"/>
  <c r="S217" i="16"/>
  <c r="S212" i="16"/>
  <c r="S206" i="16"/>
  <c r="S198" i="16"/>
  <c r="S190" i="16"/>
  <c r="S282" i="16"/>
  <c r="S275" i="16"/>
  <c r="S203" i="16"/>
  <c r="S195" i="16"/>
  <c r="S251" i="16"/>
  <c r="S297" i="16"/>
  <c r="S267" i="16"/>
  <c r="S265" i="16"/>
  <c r="S258" i="16"/>
  <c r="S242" i="16"/>
  <c r="S241" i="16"/>
  <c r="S231" i="16"/>
  <c r="S211" i="16"/>
  <c r="S208" i="16"/>
  <c r="S200" i="16"/>
  <c r="S192" i="16"/>
  <c r="S307" i="16"/>
  <c r="S207" i="16"/>
  <c r="S197" i="16"/>
  <c r="S196" i="16"/>
  <c r="S221" i="16"/>
  <c r="S215" i="16"/>
  <c r="S210" i="16"/>
  <c r="S209" i="16"/>
  <c r="S199" i="16"/>
  <c r="S194" i="16"/>
  <c r="S202" i="16"/>
  <c r="S201" i="16"/>
  <c r="S191" i="16"/>
  <c r="S214" i="16"/>
  <c r="S204" i="16"/>
  <c r="S193" i="16"/>
  <c r="S205" i="16"/>
  <c r="P269" i="16"/>
  <c r="O269" i="16"/>
  <c r="F271" i="16"/>
  <c r="K271" i="16"/>
  <c r="H272" i="16"/>
  <c r="N270" i="16"/>
  <c r="M270" i="16"/>
  <c r="R268" i="16"/>
  <c r="T268" i="16" s="1"/>
  <c r="V268" i="16" s="1"/>
  <c r="X268" i="16" s="1"/>
  <c r="Z268" i="16" s="1"/>
  <c r="AB268" i="16" s="1"/>
  <c r="AD268" i="16" s="1"/>
  <c r="AF268" i="16" s="1"/>
  <c r="AH268" i="16" s="1"/>
  <c r="AJ268" i="16" s="1"/>
  <c r="Q268" i="16"/>
  <c r="D53" i="24"/>
  <c r="F53" i="24" s="1"/>
  <c r="J53" i="24" s="1"/>
  <c r="L53" i="24" s="1"/>
  <c r="D48" i="28"/>
  <c r="F48" i="28" s="1"/>
  <c r="H48" i="28" s="1"/>
  <c r="I48" i="28" s="1"/>
  <c r="D48" i="27"/>
  <c r="F48" i="27" s="1"/>
  <c r="I48" i="27" s="1"/>
  <c r="D53" i="26"/>
  <c r="D66" i="24"/>
  <c r="F66" i="24" s="1"/>
  <c r="J66" i="24" s="1"/>
  <c r="L66" i="24" s="1"/>
  <c r="D61" i="28"/>
  <c r="F61" i="28" s="1"/>
  <c r="H61" i="28" s="1"/>
  <c r="I61" i="28" s="1"/>
  <c r="D57" i="27"/>
  <c r="F57" i="27" s="1"/>
  <c r="I57" i="27" s="1"/>
  <c r="D66" i="26"/>
  <c r="D67" i="24"/>
  <c r="F67" i="24" s="1"/>
  <c r="J67" i="24" s="1"/>
  <c r="L67" i="24" s="1"/>
  <c r="D68" i="9"/>
  <c r="D67" i="9"/>
  <c r="D62" i="28"/>
  <c r="F62" i="28" s="1"/>
  <c r="H62" i="28" s="1"/>
  <c r="I62" i="28" s="1"/>
  <c r="D58" i="27"/>
  <c r="F58" i="27" s="1"/>
  <c r="I58" i="27" s="1"/>
  <c r="D67" i="26"/>
  <c r="F107" i="26"/>
  <c r="K107" i="26" s="1"/>
  <c r="G4" i="24"/>
  <c r="F6" i="10" s="1"/>
  <c r="D69" i="24"/>
  <c r="F69" i="24" s="1"/>
  <c r="D64" i="28"/>
  <c r="F64" i="28" s="1"/>
  <c r="H64" i="28" s="1"/>
  <c r="I64" i="28" s="1"/>
  <c r="D60" i="27"/>
  <c r="F60" i="27" s="1"/>
  <c r="I60" i="27" s="1"/>
  <c r="D69" i="26"/>
  <c r="F69" i="26" s="1"/>
  <c r="K69" i="26" s="1"/>
  <c r="N106" i="26"/>
  <c r="M106" i="26"/>
  <c r="D50" i="24"/>
  <c r="F50" i="24" s="1"/>
  <c r="J50" i="24" s="1"/>
  <c r="K50" i="24" s="1"/>
  <c r="D45" i="28"/>
  <c r="F45" i="28" s="1"/>
  <c r="H45" i="28" s="1"/>
  <c r="I45" i="28" s="1"/>
  <c r="D45" i="27"/>
  <c r="F45" i="27" s="1"/>
  <c r="I45" i="27" s="1"/>
  <c r="D50" i="26"/>
  <c r="D38" i="24"/>
  <c r="F38" i="24" s="1"/>
  <c r="D34" i="28"/>
  <c r="F34" i="28" s="1"/>
  <c r="H34" i="28" s="1"/>
  <c r="I34" i="28" s="1"/>
  <c r="D34" i="27"/>
  <c r="F34" i="27" s="1"/>
  <c r="I34" i="27" s="1"/>
  <c r="D38" i="26"/>
  <c r="D43" i="28"/>
  <c r="F43" i="28" s="1"/>
  <c r="H43" i="28" s="1"/>
  <c r="I43" i="28" s="1"/>
  <c r="D43" i="27"/>
  <c r="F43" i="27" s="1"/>
  <c r="I43" i="27" s="1"/>
  <c r="L71" i="24"/>
  <c r="L71" i="26"/>
  <c r="D48" i="24"/>
  <c r="F48" i="24" s="1"/>
  <c r="J48" i="24" s="1"/>
  <c r="L48" i="24" s="1"/>
  <c r="D48" i="26"/>
  <c r="O16" i="24"/>
  <c r="N16" i="24"/>
  <c r="L38" i="24"/>
  <c r="J64" i="24"/>
  <c r="L64" i="24" s="1"/>
  <c r="J69" i="24"/>
  <c r="L69" i="24" s="1"/>
  <c r="O84" i="1"/>
  <c r="Q84" i="8"/>
  <c r="O84" i="8"/>
  <c r="M84" i="8"/>
  <c r="S84" i="8"/>
  <c r="K72" i="1"/>
  <c r="M72" i="1" s="1"/>
  <c r="F85" i="1"/>
  <c r="M84" i="7"/>
  <c r="O84" i="7"/>
  <c r="M85" i="9"/>
  <c r="O85" i="9"/>
  <c r="D63" i="19"/>
  <c r="F63" i="19" s="1"/>
  <c r="H63" i="19" s="1"/>
  <c r="I63" i="19" s="1"/>
  <c r="D63" i="21"/>
  <c r="F63" i="21" s="1"/>
  <c r="D63" i="20"/>
  <c r="F63" i="20" s="1"/>
  <c r="H63" i="20" s="1"/>
  <c r="I63" i="20" s="1"/>
  <c r="D65" i="19"/>
  <c r="F65" i="19" s="1"/>
  <c r="H65" i="19" s="1"/>
  <c r="I65" i="19" s="1"/>
  <c r="D65" i="21"/>
  <c r="F65" i="21" s="1"/>
  <c r="D65" i="20"/>
  <c r="F65" i="20" s="1"/>
  <c r="H65" i="20" s="1"/>
  <c r="I65" i="20" s="1"/>
  <c r="K96" i="8"/>
  <c r="F95" i="21"/>
  <c r="K95" i="21" s="1"/>
  <c r="D66" i="19"/>
  <c r="F66" i="19" s="1"/>
  <c r="H66" i="19" s="1"/>
  <c r="I66" i="19" s="1"/>
  <c r="D66" i="21"/>
  <c r="F66" i="21" s="1"/>
  <c r="D66" i="20"/>
  <c r="F66" i="20" s="1"/>
  <c r="H66" i="20" s="1"/>
  <c r="I66" i="20" s="1"/>
  <c r="S185" i="16"/>
  <c r="S181" i="16"/>
  <c r="S177" i="16"/>
  <c r="S173" i="16"/>
  <c r="S169" i="16"/>
  <c r="S165" i="16"/>
  <c r="S161" i="16"/>
  <c r="S157" i="16"/>
  <c r="S186" i="16"/>
  <c r="S183" i="16"/>
  <c r="S182" i="16"/>
  <c r="S175" i="16"/>
  <c r="S174" i="16"/>
  <c r="S167" i="16"/>
  <c r="S166" i="16"/>
  <c r="S159" i="16"/>
  <c r="S158" i="16"/>
  <c r="S155" i="16"/>
  <c r="S151" i="16"/>
  <c r="S179" i="16"/>
  <c r="S178" i="16"/>
  <c r="S171" i="16"/>
  <c r="S170" i="16"/>
  <c r="S163" i="16"/>
  <c r="S162" i="16"/>
  <c r="S153" i="16"/>
  <c r="S149" i="16"/>
  <c r="S176" i="16"/>
  <c r="S164" i="16"/>
  <c r="S154" i="16"/>
  <c r="S152" i="16"/>
  <c r="S184" i="16"/>
  <c r="S168" i="16"/>
  <c r="S160" i="16"/>
  <c r="S180" i="16"/>
  <c r="S172" i="16"/>
  <c r="S156" i="16"/>
  <c r="S150" i="16"/>
  <c r="S148" i="16"/>
  <c r="U44" i="21"/>
  <c r="V44" i="21"/>
  <c r="D68" i="19"/>
  <c r="F68" i="19" s="1"/>
  <c r="H68" i="19" s="1"/>
  <c r="I68" i="19" s="1"/>
  <c r="D68" i="21"/>
  <c r="F68" i="21" s="1"/>
  <c r="D68" i="20"/>
  <c r="F68" i="20" s="1"/>
  <c r="H68" i="20" s="1"/>
  <c r="I68" i="20" s="1"/>
  <c r="F16" i="1"/>
  <c r="N16" i="1" s="1"/>
  <c r="P16" i="1" s="1"/>
  <c r="D47" i="19"/>
  <c r="F47" i="19" s="1"/>
  <c r="H47" i="19" s="1"/>
  <c r="I47" i="19" s="1"/>
  <c r="D47" i="21"/>
  <c r="F47" i="21" s="1"/>
  <c r="D47" i="20"/>
  <c r="F47" i="20" s="1"/>
  <c r="D38" i="19"/>
  <c r="F38" i="19" s="1"/>
  <c r="H38" i="19" s="1"/>
  <c r="I38" i="19" s="1"/>
  <c r="D38" i="21"/>
  <c r="F38" i="21" s="1"/>
  <c r="D38" i="20"/>
  <c r="F38" i="20" s="1"/>
  <c r="H38" i="20" s="1"/>
  <c r="I38" i="20" s="1"/>
  <c r="F96" i="21"/>
  <c r="K96" i="21" s="1"/>
  <c r="G4" i="21"/>
  <c r="V45" i="21"/>
  <c r="U45" i="21"/>
  <c r="D52" i="19"/>
  <c r="F52" i="19" s="1"/>
  <c r="H52" i="19" s="1"/>
  <c r="I52" i="19" s="1"/>
  <c r="D52" i="21"/>
  <c r="F52" i="21" s="1"/>
  <c r="D52" i="20"/>
  <c r="F52" i="20" s="1"/>
  <c r="H52" i="20" s="1"/>
  <c r="I52" i="20" s="1"/>
  <c r="D49" i="19"/>
  <c r="F49" i="19" s="1"/>
  <c r="H49" i="19" s="1"/>
  <c r="I49" i="19" s="1"/>
  <c r="D49" i="21"/>
  <c r="F49" i="21" s="1"/>
  <c r="D49" i="20"/>
  <c r="F49" i="20" s="1"/>
  <c r="L71" i="7"/>
  <c r="L70" i="21"/>
  <c r="M32" i="1"/>
  <c r="H32" i="1"/>
  <c r="D28" i="1"/>
  <c r="F28" i="1" s="1"/>
  <c r="N28" i="1" s="1"/>
  <c r="P28" i="1" s="1"/>
  <c r="D22" i="1"/>
  <c r="F22" i="1" s="1"/>
  <c r="D61" i="8"/>
  <c r="D61" i="9"/>
  <c r="D60" i="7"/>
  <c r="F7" i="9"/>
  <c r="M7" i="24" s="1"/>
  <c r="F7" i="8"/>
  <c r="F33" i="8" s="1"/>
  <c r="K33" i="8" s="1"/>
  <c r="H33" i="8" s="1"/>
  <c r="F7" i="7"/>
  <c r="N7" i="7" s="1"/>
  <c r="P7" i="7" s="1"/>
  <c r="F7" i="1"/>
  <c r="F33" i="1" s="1"/>
  <c r="K33" i="1" s="1"/>
  <c r="D27" i="1"/>
  <c r="F27" i="1" s="1"/>
  <c r="D64" i="9"/>
  <c r="D55" i="18"/>
  <c r="F55" i="18" s="1"/>
  <c r="I55" i="18" s="1"/>
  <c r="D66" i="9"/>
  <c r="D57" i="18"/>
  <c r="F57" i="18" s="1"/>
  <c r="I57" i="18" s="1"/>
  <c r="D70" i="1"/>
  <c r="D60" i="18"/>
  <c r="F60" i="18" s="1"/>
  <c r="I60" i="18" s="1"/>
  <c r="O87" i="1"/>
  <c r="O97" i="1"/>
  <c r="O96" i="1"/>
  <c r="O98" i="1"/>
  <c r="D48" i="7"/>
  <c r="D43" i="18"/>
  <c r="F43" i="18" s="1"/>
  <c r="I43" i="18" s="1"/>
  <c r="D38" i="7"/>
  <c r="D34" i="18"/>
  <c r="F34" i="18" s="1"/>
  <c r="I34" i="18" s="1"/>
  <c r="D53" i="9"/>
  <c r="D48" i="18"/>
  <c r="F48" i="18" s="1"/>
  <c r="I48" i="18" s="1"/>
  <c r="D58" i="18"/>
  <c r="F58" i="18" s="1"/>
  <c r="I58" i="18" s="1"/>
  <c r="D50" i="9"/>
  <c r="D45" i="18"/>
  <c r="F45" i="18" s="1"/>
  <c r="I45" i="18" s="1"/>
  <c r="D53" i="7"/>
  <c r="D12" i="9"/>
  <c r="F12" i="9" s="1"/>
  <c r="D58" i="9"/>
  <c r="D12" i="7"/>
  <c r="D15" i="7" s="1"/>
  <c r="F15" i="7" s="1"/>
  <c r="D58" i="7"/>
  <c r="D4" i="8"/>
  <c r="D27" i="8" s="1"/>
  <c r="F27" i="8" s="1"/>
  <c r="G31" i="18"/>
  <c r="M88" i="9"/>
  <c r="O88" i="9"/>
  <c r="S87" i="8"/>
  <c r="O87" i="8"/>
  <c r="Q87" i="8"/>
  <c r="M87" i="8"/>
  <c r="M87" i="7"/>
  <c r="O87" i="7"/>
  <c r="H158" i="16"/>
  <c r="K157" i="16"/>
  <c r="O155" i="16"/>
  <c r="P155" i="16"/>
  <c r="Q154" i="16"/>
  <c r="R154" i="16"/>
  <c r="T154" i="16" s="1"/>
  <c r="V154" i="16" s="1"/>
  <c r="X154" i="16" s="1"/>
  <c r="Z154" i="16" s="1"/>
  <c r="AB154" i="16" s="1"/>
  <c r="AD154" i="16" s="1"/>
  <c r="AF154" i="16" s="1"/>
  <c r="AH154" i="16" s="1"/>
  <c r="AJ154" i="16" s="1"/>
  <c r="N156" i="16"/>
  <c r="M156" i="16"/>
  <c r="S145" i="16"/>
  <c r="S141" i="16"/>
  <c r="S137" i="16"/>
  <c r="S147" i="16"/>
  <c r="S143" i="16"/>
  <c r="S139" i="16"/>
  <c r="S144" i="16"/>
  <c r="S140" i="16"/>
  <c r="S142" i="16"/>
  <c r="S146" i="16"/>
  <c r="S138" i="16"/>
  <c r="S136" i="16"/>
  <c r="O21" i="16"/>
  <c r="Q21" i="16"/>
  <c r="S187" i="16"/>
  <c r="S135" i="16"/>
  <c r="AH97" i="1"/>
  <c r="AH98" i="1"/>
  <c r="AH96" i="1"/>
  <c r="N86" i="1"/>
  <c r="P86" i="1" s="1"/>
  <c r="D21" i="1"/>
  <c r="F21" i="1" s="1"/>
  <c r="K21" i="1" s="1"/>
  <c r="Q31" i="9"/>
  <c r="Q85" i="9" s="1"/>
  <c r="M87" i="9"/>
  <c r="K16" i="9"/>
  <c r="E16" i="17"/>
  <c r="G16" i="17" s="1"/>
  <c r="P106" i="17"/>
  <c r="N107" i="17"/>
  <c r="P107" i="17" s="1"/>
  <c r="N83" i="17"/>
  <c r="P84" i="17"/>
  <c r="N68" i="17"/>
  <c r="P69" i="17"/>
  <c r="P78" i="17"/>
  <c r="N80" i="17"/>
  <c r="P36" i="17"/>
  <c r="P38" i="17"/>
  <c r="N24" i="17"/>
  <c r="P24" i="17" s="1"/>
  <c r="P25" i="17"/>
  <c r="AA23" i="17"/>
  <c r="Q19" i="16"/>
  <c r="Q23" i="16"/>
  <c r="R25" i="16"/>
  <c r="T25" i="16" s="1"/>
  <c r="O25" i="16"/>
  <c r="Q24" i="16"/>
  <c r="Q26" i="16"/>
  <c r="K30" i="16"/>
  <c r="N29" i="16"/>
  <c r="M29" i="16"/>
  <c r="K32" i="16"/>
  <c r="M31" i="16"/>
  <c r="N31" i="16"/>
  <c r="N27" i="16"/>
  <c r="M27" i="16"/>
  <c r="K34" i="16"/>
  <c r="T19" i="16"/>
  <c r="S19" i="16"/>
  <c r="T21" i="16"/>
  <c r="S21" i="16"/>
  <c r="T26" i="16"/>
  <c r="S26" i="16"/>
  <c r="S20" i="16"/>
  <c r="T20" i="16"/>
  <c r="T23" i="16"/>
  <c r="S23" i="16"/>
  <c r="S28" i="16"/>
  <c r="T28" i="16"/>
  <c r="S24" i="16"/>
  <c r="T24" i="16"/>
  <c r="T22" i="16"/>
  <c r="S22" i="16"/>
  <c r="S18" i="16"/>
  <c r="U17" i="16"/>
  <c r="R87" i="9"/>
  <c r="O87" i="9"/>
  <c r="O86" i="8"/>
  <c r="S86" i="8"/>
  <c r="M86" i="8"/>
  <c r="Q86" i="8"/>
  <c r="O86" i="7"/>
  <c r="M86" i="7"/>
  <c r="R86" i="1"/>
  <c r="D39" i="12"/>
  <c r="D40" i="12" s="1"/>
  <c r="D41" i="12"/>
  <c r="D42" i="12" s="1"/>
  <c r="N89" i="9"/>
  <c r="M89" i="9"/>
  <c r="M88" i="8"/>
  <c r="O88" i="8"/>
  <c r="Q88" i="8"/>
  <c r="S88" i="8"/>
  <c r="F107" i="9"/>
  <c r="K107" i="9" s="1"/>
  <c r="N107" i="9" s="1"/>
  <c r="M88" i="7"/>
  <c r="O88" i="7"/>
  <c r="D67" i="7"/>
  <c r="D69" i="7"/>
  <c r="D38" i="8"/>
  <c r="D48" i="8"/>
  <c r="D67" i="8"/>
  <c r="D69" i="8"/>
  <c r="F69" i="8" s="1"/>
  <c r="K69" i="8" s="1"/>
  <c r="D38" i="9"/>
  <c r="D48" i="9"/>
  <c r="D70" i="9"/>
  <c r="D53" i="8"/>
  <c r="D18" i="1"/>
  <c r="F18" i="1" s="1"/>
  <c r="D50" i="7"/>
  <c r="D64" i="7"/>
  <c r="D66" i="7"/>
  <c r="D70" i="7"/>
  <c r="F70" i="7" s="1"/>
  <c r="K70" i="7" s="1"/>
  <c r="D50" i="8"/>
  <c r="D64" i="8"/>
  <c r="D66" i="8"/>
  <c r="D70" i="8"/>
  <c r="F70" i="8" s="1"/>
  <c r="K70" i="8" s="1"/>
  <c r="N12" i="1"/>
  <c r="P12" i="1" s="1"/>
  <c r="D19" i="1"/>
  <c r="D15" i="1"/>
  <c r="F15" i="1" s="1"/>
  <c r="N15" i="1" s="1"/>
  <c r="P15" i="1" s="1"/>
  <c r="N83" i="1"/>
  <c r="M83" i="1"/>
  <c r="F32" i="8"/>
  <c r="K32" i="8" s="1"/>
  <c r="H32" i="8" s="1"/>
  <c r="D8" i="13"/>
  <c r="D10" i="13" s="1"/>
  <c r="D11" i="13" s="1"/>
  <c r="D13" i="13" s="1"/>
  <c r="F84" i="9"/>
  <c r="K84" i="9" s="1"/>
  <c r="M84" i="9" s="1"/>
  <c r="F82" i="7"/>
  <c r="K82" i="7" s="1"/>
  <c r="N82" i="7" s="1"/>
  <c r="P82" i="7" s="1"/>
  <c r="R82" i="7" s="1"/>
  <c r="T82" i="7" s="1"/>
  <c r="V82" i="7" s="1"/>
  <c r="X82" i="7" s="1"/>
  <c r="Z82" i="7" s="1"/>
  <c r="AB82" i="7" s="1"/>
  <c r="AD82" i="7" s="1"/>
  <c r="AF82" i="7" s="1"/>
  <c r="AH82" i="7" s="1"/>
  <c r="AJ82" i="7" s="1"/>
  <c r="N16" i="7"/>
  <c r="P16" i="7" s="1"/>
  <c r="N4" i="8"/>
  <c r="P4" i="8" s="1"/>
  <c r="N16" i="8"/>
  <c r="P16" i="8" s="1"/>
  <c r="N16" i="9"/>
  <c r="P16" i="9" s="1"/>
  <c r="F14" i="12"/>
  <c r="I14" i="12" s="1"/>
  <c r="L71" i="8"/>
  <c r="L72" i="9"/>
  <c r="D46" i="12"/>
  <c r="D21" i="12"/>
  <c r="D22" i="12" s="1"/>
  <c r="D38" i="12"/>
  <c r="D35" i="12"/>
  <c r="D36" i="12" s="1"/>
  <c r="D34" i="12"/>
  <c r="D32" i="12"/>
  <c r="D28" i="12"/>
  <c r="O16" i="12"/>
  <c r="N96" i="8"/>
  <c r="M96" i="8"/>
  <c r="D12" i="8"/>
  <c r="F73" i="7"/>
  <c r="K73" i="7" s="1"/>
  <c r="M73" i="7" s="1"/>
  <c r="F83" i="7"/>
  <c r="K83" i="7" s="1"/>
  <c r="N83" i="7" s="1"/>
  <c r="P83" i="7" s="1"/>
  <c r="R83" i="7" s="1"/>
  <c r="T83" i="7" s="1"/>
  <c r="V83" i="7" s="1"/>
  <c r="X83" i="7" s="1"/>
  <c r="Z83" i="7" s="1"/>
  <c r="AB83" i="7" s="1"/>
  <c r="AD83" i="7" s="1"/>
  <c r="AF83" i="7" s="1"/>
  <c r="AH83" i="7" s="1"/>
  <c r="AJ83" i="7" s="1"/>
  <c r="F75" i="8"/>
  <c r="K75" i="8" s="1"/>
  <c r="N75" i="8" s="1"/>
  <c r="P75" i="8" s="1"/>
  <c r="R75" i="8" s="1"/>
  <c r="T75" i="8" s="1"/>
  <c r="V75" i="8" s="1"/>
  <c r="X75" i="8" s="1"/>
  <c r="Z75" i="8" s="1"/>
  <c r="AB75" i="8" s="1"/>
  <c r="AD75" i="8" s="1"/>
  <c r="AF75" i="8" s="1"/>
  <c r="AH75" i="8" s="1"/>
  <c r="AJ75" i="8" s="1"/>
  <c r="F81" i="8"/>
  <c r="K81" i="8" s="1"/>
  <c r="N81" i="8" s="1"/>
  <c r="P81" i="8" s="1"/>
  <c r="R81" i="8" s="1"/>
  <c r="T81" i="8" s="1"/>
  <c r="V81" i="8" s="1"/>
  <c r="X81" i="8" s="1"/>
  <c r="Z81" i="8" s="1"/>
  <c r="AB81" i="8" s="1"/>
  <c r="AD81" i="8" s="1"/>
  <c r="AF81" i="8" s="1"/>
  <c r="AH81" i="8" s="1"/>
  <c r="AJ81" i="8" s="1"/>
  <c r="F75" i="9"/>
  <c r="K75" i="9" s="1"/>
  <c r="M75" i="9" s="1"/>
  <c r="F83" i="9"/>
  <c r="K83" i="9" s="1"/>
  <c r="M83" i="9" s="1"/>
  <c r="Q31" i="1"/>
  <c r="N73" i="1"/>
  <c r="P73" i="1" s="1"/>
  <c r="R73" i="1" s="1"/>
  <c r="T73" i="1" s="1"/>
  <c r="V73" i="1" s="1"/>
  <c r="X73" i="1" s="1"/>
  <c r="Z73" i="1" s="1"/>
  <c r="AB73" i="1" s="1"/>
  <c r="AD73" i="1" s="1"/>
  <c r="AF73" i="1" s="1"/>
  <c r="AH73" i="1" s="1"/>
  <c r="AJ73" i="1" s="1"/>
  <c r="N74" i="1"/>
  <c r="P74" i="1" s="1"/>
  <c r="R74" i="1" s="1"/>
  <c r="T74" i="1" s="1"/>
  <c r="V74" i="1" s="1"/>
  <c r="X74" i="1" s="1"/>
  <c r="Z74" i="1" s="1"/>
  <c r="AB74" i="1" s="1"/>
  <c r="AD74" i="1" s="1"/>
  <c r="AF74" i="1" s="1"/>
  <c r="AH74" i="1" s="1"/>
  <c r="AJ74" i="1" s="1"/>
  <c r="N75" i="1"/>
  <c r="P75" i="1" s="1"/>
  <c r="R75" i="1" s="1"/>
  <c r="T75" i="1" s="1"/>
  <c r="V75" i="1" s="1"/>
  <c r="X75" i="1" s="1"/>
  <c r="Z75" i="1" s="1"/>
  <c r="AB75" i="1" s="1"/>
  <c r="AD75" i="1" s="1"/>
  <c r="AF75" i="1" s="1"/>
  <c r="AH75" i="1" s="1"/>
  <c r="AJ75" i="1" s="1"/>
  <c r="N76" i="1"/>
  <c r="P76" i="1" s="1"/>
  <c r="R76" i="1" s="1"/>
  <c r="T76" i="1" s="1"/>
  <c r="V76" i="1" s="1"/>
  <c r="X76" i="1" s="1"/>
  <c r="Z76" i="1" s="1"/>
  <c r="AB76" i="1" s="1"/>
  <c r="AD76" i="1" s="1"/>
  <c r="AF76" i="1" s="1"/>
  <c r="AH76" i="1" s="1"/>
  <c r="AJ76" i="1" s="1"/>
  <c r="N77" i="1"/>
  <c r="P77" i="1" s="1"/>
  <c r="R77" i="1" s="1"/>
  <c r="T77" i="1" s="1"/>
  <c r="V77" i="1" s="1"/>
  <c r="X77" i="1" s="1"/>
  <c r="Z77" i="1" s="1"/>
  <c r="AB77" i="1" s="1"/>
  <c r="AD77" i="1" s="1"/>
  <c r="AF77" i="1" s="1"/>
  <c r="AH77" i="1" s="1"/>
  <c r="AJ77" i="1" s="1"/>
  <c r="N78" i="1"/>
  <c r="P78" i="1" s="1"/>
  <c r="R78" i="1" s="1"/>
  <c r="T78" i="1" s="1"/>
  <c r="V78" i="1" s="1"/>
  <c r="X78" i="1" s="1"/>
  <c r="Z78" i="1" s="1"/>
  <c r="AB78" i="1" s="1"/>
  <c r="AD78" i="1" s="1"/>
  <c r="AF78" i="1" s="1"/>
  <c r="AH78" i="1" s="1"/>
  <c r="AJ78" i="1" s="1"/>
  <c r="N79" i="1"/>
  <c r="P79" i="1" s="1"/>
  <c r="R79" i="1" s="1"/>
  <c r="T79" i="1" s="1"/>
  <c r="V79" i="1" s="1"/>
  <c r="X79" i="1" s="1"/>
  <c r="Z79" i="1" s="1"/>
  <c r="AB79" i="1" s="1"/>
  <c r="AD79" i="1" s="1"/>
  <c r="AF79" i="1" s="1"/>
  <c r="AH79" i="1" s="1"/>
  <c r="AJ79" i="1" s="1"/>
  <c r="N80" i="1"/>
  <c r="P80" i="1" s="1"/>
  <c r="R80" i="1" s="1"/>
  <c r="T80" i="1" s="1"/>
  <c r="V80" i="1" s="1"/>
  <c r="X80" i="1" s="1"/>
  <c r="Z80" i="1" s="1"/>
  <c r="AB80" i="1" s="1"/>
  <c r="AD80" i="1" s="1"/>
  <c r="AF80" i="1" s="1"/>
  <c r="AH80" i="1" s="1"/>
  <c r="AJ80" i="1" s="1"/>
  <c r="N81" i="1"/>
  <c r="P81" i="1" s="1"/>
  <c r="R81" i="1" s="1"/>
  <c r="T81" i="1" s="1"/>
  <c r="V81" i="1" s="1"/>
  <c r="X81" i="1" s="1"/>
  <c r="Z81" i="1" s="1"/>
  <c r="AB81" i="1" s="1"/>
  <c r="AD81" i="1" s="1"/>
  <c r="AF81" i="1" s="1"/>
  <c r="AH81" i="1" s="1"/>
  <c r="AJ81" i="1" s="1"/>
  <c r="N82" i="1"/>
  <c r="P82" i="1" s="1"/>
  <c r="R82" i="1" s="1"/>
  <c r="T82" i="1" s="1"/>
  <c r="V82" i="1" s="1"/>
  <c r="X82" i="1" s="1"/>
  <c r="Z82" i="1" s="1"/>
  <c r="AB82" i="1" s="1"/>
  <c r="AD82" i="1" s="1"/>
  <c r="AF82" i="1" s="1"/>
  <c r="AH82" i="1" s="1"/>
  <c r="AJ82" i="1" s="1"/>
  <c r="N88" i="1"/>
  <c r="P88" i="1" s="1"/>
  <c r="R88" i="1" s="1"/>
  <c r="T88" i="1" s="1"/>
  <c r="V88" i="1" s="1"/>
  <c r="X88" i="1" s="1"/>
  <c r="Z88" i="1" s="1"/>
  <c r="AB88" i="1" s="1"/>
  <c r="AD88" i="1" s="1"/>
  <c r="AF88" i="1" s="1"/>
  <c r="AH88" i="1" s="1"/>
  <c r="AJ88" i="1" s="1"/>
  <c r="D4" i="9"/>
  <c r="K32" i="7"/>
  <c r="H32" i="7" s="1"/>
  <c r="F75" i="7"/>
  <c r="K75" i="7" s="1"/>
  <c r="M75" i="7" s="1"/>
  <c r="F81" i="7"/>
  <c r="K81" i="7" s="1"/>
  <c r="N81" i="7" s="1"/>
  <c r="P81" i="7" s="1"/>
  <c r="R81" i="7" s="1"/>
  <c r="T81" i="7" s="1"/>
  <c r="V81" i="7" s="1"/>
  <c r="X81" i="7" s="1"/>
  <c r="Z81" i="7" s="1"/>
  <c r="AB81" i="7" s="1"/>
  <c r="AD81" i="7" s="1"/>
  <c r="AF81" i="7" s="1"/>
  <c r="AH81" i="7" s="1"/>
  <c r="AJ81" i="7" s="1"/>
  <c r="F72" i="7"/>
  <c r="F74" i="7"/>
  <c r="K74" i="7" s="1"/>
  <c r="N74" i="7" s="1"/>
  <c r="P74" i="7" s="1"/>
  <c r="R74" i="7" s="1"/>
  <c r="T74" i="7" s="1"/>
  <c r="V74" i="7" s="1"/>
  <c r="X74" i="7" s="1"/>
  <c r="Z74" i="7" s="1"/>
  <c r="AB74" i="7" s="1"/>
  <c r="AD74" i="7" s="1"/>
  <c r="AF74" i="7" s="1"/>
  <c r="AH74" i="7" s="1"/>
  <c r="AJ74" i="7" s="1"/>
  <c r="F76" i="7"/>
  <c r="K76" i="7" s="1"/>
  <c r="N76" i="7" s="1"/>
  <c r="P76" i="7" s="1"/>
  <c r="R76" i="7" s="1"/>
  <c r="T76" i="7" s="1"/>
  <c r="V76" i="7" s="1"/>
  <c r="X76" i="7" s="1"/>
  <c r="Z76" i="7" s="1"/>
  <c r="AB76" i="7" s="1"/>
  <c r="AD76" i="7" s="1"/>
  <c r="AF76" i="7" s="1"/>
  <c r="AH76" i="7" s="1"/>
  <c r="AJ76" i="7" s="1"/>
  <c r="F80" i="7"/>
  <c r="K80" i="7" s="1"/>
  <c r="N80" i="7" s="1"/>
  <c r="P80" i="7" s="1"/>
  <c r="R80" i="7" s="1"/>
  <c r="T80" i="7" s="1"/>
  <c r="V80" i="7" s="1"/>
  <c r="X80" i="7" s="1"/>
  <c r="Z80" i="7" s="1"/>
  <c r="AB80" i="7" s="1"/>
  <c r="AD80" i="7" s="1"/>
  <c r="AF80" i="7" s="1"/>
  <c r="AH80" i="7" s="1"/>
  <c r="AJ80" i="7" s="1"/>
  <c r="F73" i="8"/>
  <c r="K73" i="8" s="1"/>
  <c r="N73" i="8" s="1"/>
  <c r="P73" i="8" s="1"/>
  <c r="R73" i="8" s="1"/>
  <c r="T73" i="8" s="1"/>
  <c r="V73" i="8" s="1"/>
  <c r="X73" i="8" s="1"/>
  <c r="Z73" i="8" s="1"/>
  <c r="AB73" i="8" s="1"/>
  <c r="AD73" i="8" s="1"/>
  <c r="AF73" i="8" s="1"/>
  <c r="AH73" i="8" s="1"/>
  <c r="AJ73" i="8" s="1"/>
  <c r="F83" i="8"/>
  <c r="K83" i="8" s="1"/>
  <c r="M83" i="8" s="1"/>
  <c r="F73" i="9"/>
  <c r="F77" i="9"/>
  <c r="K77" i="9" s="1"/>
  <c r="M77" i="9" s="1"/>
  <c r="F81" i="9"/>
  <c r="K81" i="9" s="1"/>
  <c r="M81" i="9" s="1"/>
  <c r="F72" i="8"/>
  <c r="F74" i="8"/>
  <c r="K74" i="8" s="1"/>
  <c r="M74" i="8" s="1"/>
  <c r="F76" i="8"/>
  <c r="K76" i="8" s="1"/>
  <c r="N76" i="8" s="1"/>
  <c r="P76" i="8" s="1"/>
  <c r="R76" i="8" s="1"/>
  <c r="T76" i="8" s="1"/>
  <c r="V76" i="8" s="1"/>
  <c r="X76" i="8" s="1"/>
  <c r="Z76" i="8" s="1"/>
  <c r="AB76" i="8" s="1"/>
  <c r="AD76" i="8" s="1"/>
  <c r="AF76" i="8" s="1"/>
  <c r="AH76" i="8" s="1"/>
  <c r="AJ76" i="8" s="1"/>
  <c r="F80" i="8"/>
  <c r="K80" i="8" s="1"/>
  <c r="M80" i="8" s="1"/>
  <c r="K32" i="9"/>
  <c r="H32" i="9" s="1"/>
  <c r="F74" i="9"/>
  <c r="K74" i="9" s="1"/>
  <c r="M74" i="9" s="1"/>
  <c r="F76" i="9"/>
  <c r="K76" i="9" s="1"/>
  <c r="M76" i="9" s="1"/>
  <c r="F82" i="9"/>
  <c r="K82" i="9" s="1"/>
  <c r="M82" i="9" s="1"/>
  <c r="F3" i="7"/>
  <c r="D4" i="7"/>
  <c r="F3" i="9"/>
  <c r="N78" i="9"/>
  <c r="P78" i="9" s="1"/>
  <c r="R78" i="9" s="1"/>
  <c r="T78" i="9" s="1"/>
  <c r="V78" i="9" s="1"/>
  <c r="X78" i="9" s="1"/>
  <c r="Z78" i="9" s="1"/>
  <c r="AB78" i="9" s="1"/>
  <c r="AD78" i="9" s="1"/>
  <c r="AF78" i="9" s="1"/>
  <c r="AH78" i="9" s="1"/>
  <c r="AJ78" i="9" s="1"/>
  <c r="M78" i="9"/>
  <c r="N80" i="9"/>
  <c r="P80" i="9" s="1"/>
  <c r="R80" i="9" s="1"/>
  <c r="T80" i="9" s="1"/>
  <c r="V80" i="9" s="1"/>
  <c r="X80" i="9" s="1"/>
  <c r="Z80" i="9" s="1"/>
  <c r="AB80" i="9" s="1"/>
  <c r="AD80" i="9" s="1"/>
  <c r="AF80" i="9" s="1"/>
  <c r="AH80" i="9" s="1"/>
  <c r="AJ80" i="9" s="1"/>
  <c r="M80" i="9"/>
  <c r="N79" i="9"/>
  <c r="P79" i="9" s="1"/>
  <c r="R79" i="9" s="1"/>
  <c r="T79" i="9" s="1"/>
  <c r="V79" i="9" s="1"/>
  <c r="X79" i="9" s="1"/>
  <c r="Z79" i="9" s="1"/>
  <c r="AB79" i="9" s="1"/>
  <c r="AD79" i="9" s="1"/>
  <c r="AF79" i="9" s="1"/>
  <c r="AH79" i="9" s="1"/>
  <c r="AJ79" i="9" s="1"/>
  <c r="M79" i="9"/>
  <c r="U31" i="8"/>
  <c r="U88" i="8" s="1"/>
  <c r="K4" i="8"/>
  <c r="N77" i="8"/>
  <c r="P77" i="8" s="1"/>
  <c r="R77" i="8" s="1"/>
  <c r="T77" i="8" s="1"/>
  <c r="V77" i="8" s="1"/>
  <c r="X77" i="8" s="1"/>
  <c r="Z77" i="8" s="1"/>
  <c r="AB77" i="8" s="1"/>
  <c r="AD77" i="8" s="1"/>
  <c r="AF77" i="8" s="1"/>
  <c r="AH77" i="8" s="1"/>
  <c r="AJ77" i="8" s="1"/>
  <c r="M77" i="8"/>
  <c r="N79" i="8"/>
  <c r="P79" i="8" s="1"/>
  <c r="R79" i="8" s="1"/>
  <c r="T79" i="8" s="1"/>
  <c r="V79" i="8" s="1"/>
  <c r="X79" i="8" s="1"/>
  <c r="Z79" i="8" s="1"/>
  <c r="AB79" i="8" s="1"/>
  <c r="AD79" i="8" s="1"/>
  <c r="AF79" i="8" s="1"/>
  <c r="AH79" i="8" s="1"/>
  <c r="AJ79" i="8" s="1"/>
  <c r="M79" i="8"/>
  <c r="N78" i="8"/>
  <c r="P78" i="8" s="1"/>
  <c r="R78" i="8" s="1"/>
  <c r="T78" i="8" s="1"/>
  <c r="V78" i="8" s="1"/>
  <c r="X78" i="8" s="1"/>
  <c r="Z78" i="8" s="1"/>
  <c r="AB78" i="8" s="1"/>
  <c r="AD78" i="8" s="1"/>
  <c r="AF78" i="8" s="1"/>
  <c r="AH78" i="8" s="1"/>
  <c r="AJ78" i="8" s="1"/>
  <c r="M78" i="8"/>
  <c r="N82" i="8"/>
  <c r="P82" i="8" s="1"/>
  <c r="R82" i="8" s="1"/>
  <c r="T82" i="8" s="1"/>
  <c r="V82" i="8" s="1"/>
  <c r="X82" i="8" s="1"/>
  <c r="Z82" i="8" s="1"/>
  <c r="AB82" i="8" s="1"/>
  <c r="AD82" i="8" s="1"/>
  <c r="AF82" i="8" s="1"/>
  <c r="AH82" i="8" s="1"/>
  <c r="AJ82" i="8" s="1"/>
  <c r="M82" i="8"/>
  <c r="Q31" i="7"/>
  <c r="Q88" i="7" s="1"/>
  <c r="N77" i="7"/>
  <c r="P77" i="7" s="1"/>
  <c r="R77" i="7" s="1"/>
  <c r="T77" i="7" s="1"/>
  <c r="V77" i="7" s="1"/>
  <c r="X77" i="7" s="1"/>
  <c r="Z77" i="7" s="1"/>
  <c r="AB77" i="7" s="1"/>
  <c r="AD77" i="7" s="1"/>
  <c r="AF77" i="7" s="1"/>
  <c r="AH77" i="7" s="1"/>
  <c r="AJ77" i="7" s="1"/>
  <c r="M77" i="7"/>
  <c r="N79" i="7"/>
  <c r="P79" i="7" s="1"/>
  <c r="R79" i="7" s="1"/>
  <c r="T79" i="7" s="1"/>
  <c r="V79" i="7" s="1"/>
  <c r="X79" i="7" s="1"/>
  <c r="Z79" i="7" s="1"/>
  <c r="AB79" i="7" s="1"/>
  <c r="AD79" i="7" s="1"/>
  <c r="AF79" i="7" s="1"/>
  <c r="AH79" i="7" s="1"/>
  <c r="AJ79" i="7" s="1"/>
  <c r="M79" i="7"/>
  <c r="N78" i="7"/>
  <c r="P78" i="7" s="1"/>
  <c r="R78" i="7" s="1"/>
  <c r="T78" i="7" s="1"/>
  <c r="V78" i="7" s="1"/>
  <c r="X78" i="7" s="1"/>
  <c r="Z78" i="7" s="1"/>
  <c r="AB78" i="7" s="1"/>
  <c r="AD78" i="7" s="1"/>
  <c r="AF78" i="7" s="1"/>
  <c r="AH78" i="7" s="1"/>
  <c r="AJ78" i="7" s="1"/>
  <c r="M78" i="7"/>
  <c r="N32" i="1"/>
  <c r="P32" i="1" s="1"/>
  <c r="R32" i="1" s="1"/>
  <c r="T32" i="1" s="1"/>
  <c r="V32" i="1" s="1"/>
  <c r="X32" i="1" s="1"/>
  <c r="Z32" i="1" s="1"/>
  <c r="AB32" i="1" s="1"/>
  <c r="AD32" i="1" s="1"/>
  <c r="AF32" i="1" s="1"/>
  <c r="AH32" i="1" s="1"/>
  <c r="AJ32" i="1" s="1"/>
  <c r="F3" i="1"/>
  <c r="F61" i="1" s="1"/>
  <c r="K61" i="1" s="1"/>
  <c r="H61" i="1" s="1"/>
  <c r="D5" i="1"/>
  <c r="D13" i="1"/>
  <c r="F4" i="1"/>
  <c r="X45" i="21" l="1"/>
  <c r="Z45" i="21" s="1"/>
  <c r="AB45" i="21" s="1"/>
  <c r="AD45" i="21" s="1"/>
  <c r="AF45" i="21" s="1"/>
  <c r="AH45" i="21" s="1"/>
  <c r="AJ45" i="21" s="1"/>
  <c r="W45" i="21"/>
  <c r="G45" i="21" s="1"/>
  <c r="X44" i="21"/>
  <c r="Z44" i="21" s="1"/>
  <c r="AB44" i="21" s="1"/>
  <c r="AD44" i="21" s="1"/>
  <c r="AF44" i="21" s="1"/>
  <c r="AH44" i="21" s="1"/>
  <c r="AJ44" i="21" s="1"/>
  <c r="W44" i="21"/>
  <c r="G44" i="21" s="1"/>
  <c r="F34" i="10"/>
  <c r="U317" i="16"/>
  <c r="U309" i="16"/>
  <c r="U301" i="16"/>
  <c r="U293" i="16"/>
  <c r="U285" i="16"/>
  <c r="U277" i="16"/>
  <c r="U269" i="16"/>
  <c r="U261" i="16"/>
  <c r="U253" i="16"/>
  <c r="U314" i="16"/>
  <c r="U306" i="16"/>
  <c r="U298" i="16"/>
  <c r="U290" i="16"/>
  <c r="U282" i="16"/>
  <c r="U274" i="16"/>
  <c r="U266" i="16"/>
  <c r="U258" i="16"/>
  <c r="U316" i="16"/>
  <c r="U308" i="16"/>
  <c r="U300" i="16"/>
  <c r="U292" i="16"/>
  <c r="U284" i="16"/>
  <c r="U276" i="16"/>
  <c r="U268" i="16"/>
  <c r="U260" i="16"/>
  <c r="U252" i="16"/>
  <c r="U313" i="16"/>
  <c r="U305" i="16"/>
  <c r="U297" i="16"/>
  <c r="U289" i="16"/>
  <c r="U281" i="16"/>
  <c r="U273" i="16"/>
  <c r="U265" i="16"/>
  <c r="U257" i="16"/>
  <c r="U315" i="16"/>
  <c r="U307" i="16"/>
  <c r="U299" i="16"/>
  <c r="U291" i="16"/>
  <c r="U283" i="16"/>
  <c r="U275" i="16"/>
  <c r="U267" i="16"/>
  <c r="U259" i="16"/>
  <c r="U251" i="16"/>
  <c r="U304" i="16"/>
  <c r="U294" i="16"/>
  <c r="U312" i="16"/>
  <c r="U302" i="16"/>
  <c r="U310" i="16"/>
  <c r="U288" i="16"/>
  <c r="U278" i="16"/>
  <c r="U256" i="16"/>
  <c r="U243" i="16"/>
  <c r="U235" i="16"/>
  <c r="U227" i="16"/>
  <c r="U219" i="16"/>
  <c r="U303" i="16"/>
  <c r="U271" i="16"/>
  <c r="U248" i="16"/>
  <c r="U240" i="16"/>
  <c r="U232" i="16"/>
  <c r="U224" i="16"/>
  <c r="U296" i="16"/>
  <c r="U286" i="16"/>
  <c r="U264" i="16"/>
  <c r="U245" i="16"/>
  <c r="U237" i="16"/>
  <c r="U229" i="16"/>
  <c r="U221" i="16"/>
  <c r="U213" i="16"/>
  <c r="U262" i="16"/>
  <c r="U255" i="16"/>
  <c r="U214" i="16"/>
  <c r="U203" i="16"/>
  <c r="U195" i="16"/>
  <c r="U244" i="16"/>
  <c r="U311" i="16"/>
  <c r="U280" i="16"/>
  <c r="U263" i="16"/>
  <c r="U242" i="16"/>
  <c r="U241" i="16"/>
  <c r="U231" i="16"/>
  <c r="U230" i="16"/>
  <c r="U216" i="16"/>
  <c r="U211" i="16"/>
  <c r="U208" i="16"/>
  <c r="U200" i="16"/>
  <c r="U192" i="16"/>
  <c r="U279" i="16"/>
  <c r="U272" i="16"/>
  <c r="U270" i="16"/>
  <c r="U287" i="16"/>
  <c r="U215" i="16"/>
  <c r="U205" i="16"/>
  <c r="U197" i="16"/>
  <c r="U254" i="16"/>
  <c r="U250" i="16"/>
  <c r="U207" i="16"/>
  <c r="U206" i="16"/>
  <c r="U196" i="16"/>
  <c r="U246" i="16"/>
  <c r="U217" i="16"/>
  <c r="U295" i="16"/>
  <c r="U234" i="16"/>
  <c r="U210" i="16"/>
  <c r="U209" i="16"/>
  <c r="U199" i="16"/>
  <c r="U198" i="16"/>
  <c r="U249" i="16"/>
  <c r="U239" i="16"/>
  <c r="U226" i="16"/>
  <c r="U223" i="16"/>
  <c r="U202" i="16"/>
  <c r="U201" i="16"/>
  <c r="U191" i="16"/>
  <c r="U190" i="16"/>
  <c r="U236" i="16"/>
  <c r="U233" i="16"/>
  <c r="U228" i="16"/>
  <c r="U218" i="16"/>
  <c r="U204" i="16"/>
  <c r="U194" i="16"/>
  <c r="U247" i="16"/>
  <c r="U212" i="16"/>
  <c r="U225" i="16"/>
  <c r="U222" i="16"/>
  <c r="U220" i="16"/>
  <c r="U193" i="16"/>
  <c r="U238" i="16"/>
  <c r="H273" i="16"/>
  <c r="K272" i="16"/>
  <c r="F272" i="16"/>
  <c r="M271" i="16"/>
  <c r="N271" i="16"/>
  <c r="R269" i="16"/>
  <c r="T269" i="16" s="1"/>
  <c r="V269" i="16" s="1"/>
  <c r="X269" i="16" s="1"/>
  <c r="Z269" i="16" s="1"/>
  <c r="AB269" i="16" s="1"/>
  <c r="AD269" i="16" s="1"/>
  <c r="AF269" i="16" s="1"/>
  <c r="AH269" i="16" s="1"/>
  <c r="AJ269" i="16" s="1"/>
  <c r="Q269" i="16"/>
  <c r="P270" i="16"/>
  <c r="O270" i="16"/>
  <c r="D3" i="26"/>
  <c r="F3" i="26" s="1"/>
  <c r="F66" i="26" s="1"/>
  <c r="K66" i="26" s="1"/>
  <c r="D103" i="26"/>
  <c r="F103" i="26" s="1"/>
  <c r="K103" i="26" s="1"/>
  <c r="M107" i="26"/>
  <c r="N107" i="26"/>
  <c r="L57" i="27"/>
  <c r="K57" i="27"/>
  <c r="K16" i="1"/>
  <c r="F16" i="28"/>
  <c r="F16" i="27"/>
  <c r="Q84" i="7"/>
  <c r="P106" i="26"/>
  <c r="O106" i="26"/>
  <c r="L58" i="27"/>
  <c r="K58" i="27"/>
  <c r="N69" i="26"/>
  <c r="M69" i="26"/>
  <c r="U84" i="8"/>
  <c r="L60" i="27"/>
  <c r="K60" i="27"/>
  <c r="L48" i="27"/>
  <c r="K48" i="27"/>
  <c r="D69" i="21"/>
  <c r="D71" i="9"/>
  <c r="D61" i="27"/>
  <c r="F61" i="27" s="1"/>
  <c r="I61" i="27" s="1"/>
  <c r="D70" i="26"/>
  <c r="F70" i="26" s="1"/>
  <c r="K70" i="26" s="1"/>
  <c r="F112" i="9"/>
  <c r="K112" i="9" s="1"/>
  <c r="N112" i="9" s="1"/>
  <c r="P112" i="9" s="1"/>
  <c r="R112" i="9" s="1"/>
  <c r="T112" i="9" s="1"/>
  <c r="V112" i="9" s="1"/>
  <c r="X112" i="9" s="1"/>
  <c r="Z112" i="9" s="1"/>
  <c r="AB112" i="9" s="1"/>
  <c r="AD112" i="9" s="1"/>
  <c r="AF112" i="9" s="1"/>
  <c r="AH112" i="9" s="1"/>
  <c r="AJ112" i="9" s="1"/>
  <c r="F67" i="9"/>
  <c r="K67" i="9" s="1"/>
  <c r="L45" i="27"/>
  <c r="K45" i="27"/>
  <c r="L34" i="27"/>
  <c r="K34" i="27"/>
  <c r="D41" i="24"/>
  <c r="D59" i="24" s="1"/>
  <c r="F59" i="24" s="1"/>
  <c r="D37" i="28"/>
  <c r="D37" i="27"/>
  <c r="D41" i="26"/>
  <c r="L43" i="27"/>
  <c r="K43" i="27"/>
  <c r="B13" i="23"/>
  <c r="D13" i="23" s="1"/>
  <c r="M3" i="24"/>
  <c r="E12" i="17"/>
  <c r="G12" i="17" s="1"/>
  <c r="M12" i="24"/>
  <c r="D104" i="9"/>
  <c r="O7" i="24"/>
  <c r="N7" i="24"/>
  <c r="K66" i="24"/>
  <c r="N66" i="24" s="1"/>
  <c r="K48" i="24"/>
  <c r="M48" i="24" s="1"/>
  <c r="M50" i="24"/>
  <c r="H50" i="24"/>
  <c r="K53" i="24"/>
  <c r="M53" i="24" s="1"/>
  <c r="N50" i="24"/>
  <c r="P50" i="24" s="1"/>
  <c r="K67" i="24"/>
  <c r="K69" i="24"/>
  <c r="K64" i="24"/>
  <c r="K38" i="24"/>
  <c r="Q84" i="1"/>
  <c r="K73" i="9"/>
  <c r="M73" i="9" s="1"/>
  <c r="F86" i="9"/>
  <c r="K86" i="9" s="1"/>
  <c r="F69" i="21"/>
  <c r="J69" i="21" s="1"/>
  <c r="L69" i="21" s="1"/>
  <c r="D70" i="24"/>
  <c r="F70" i="24" s="1"/>
  <c r="K72" i="8"/>
  <c r="N72" i="8" s="1"/>
  <c r="P72" i="8" s="1"/>
  <c r="R72" i="8" s="1"/>
  <c r="T72" i="8" s="1"/>
  <c r="V72" i="8" s="1"/>
  <c r="X72" i="8" s="1"/>
  <c r="Z72" i="8" s="1"/>
  <c r="AB72" i="8" s="1"/>
  <c r="AD72" i="8" s="1"/>
  <c r="AF72" i="8" s="1"/>
  <c r="AH72" i="8" s="1"/>
  <c r="AJ72" i="8" s="1"/>
  <c r="F85" i="8"/>
  <c r="K85" i="8" s="1"/>
  <c r="K28" i="1"/>
  <c r="F41" i="1"/>
  <c r="K41" i="1" s="1"/>
  <c r="H41" i="1" s="1"/>
  <c r="K72" i="7"/>
  <c r="N72" i="7" s="1"/>
  <c r="P72" i="7" s="1"/>
  <c r="R72" i="7" s="1"/>
  <c r="T72" i="7" s="1"/>
  <c r="V72" i="7" s="1"/>
  <c r="X72" i="7" s="1"/>
  <c r="Z72" i="7" s="1"/>
  <c r="AB72" i="7" s="1"/>
  <c r="AD72" i="7" s="1"/>
  <c r="AF72" i="7" s="1"/>
  <c r="AH72" i="7" s="1"/>
  <c r="AJ72" i="7" s="1"/>
  <c r="F85" i="7"/>
  <c r="K85" i="7" s="1"/>
  <c r="N72" i="1"/>
  <c r="P72" i="1" s="1"/>
  <c r="R72" i="1" s="1"/>
  <c r="T72" i="1" s="1"/>
  <c r="V72" i="1" s="1"/>
  <c r="X72" i="1" s="1"/>
  <c r="Z72" i="1" s="1"/>
  <c r="AB72" i="1" s="1"/>
  <c r="AD72" i="1" s="1"/>
  <c r="AF72" i="1" s="1"/>
  <c r="AH72" i="1" s="1"/>
  <c r="AJ72" i="1" s="1"/>
  <c r="D61" i="18"/>
  <c r="F61" i="18" s="1"/>
  <c r="I61" i="18" s="1"/>
  <c r="D100" i="1"/>
  <c r="D44" i="10" s="1"/>
  <c r="K85" i="1"/>
  <c r="F93" i="1"/>
  <c r="K93" i="1" s="1"/>
  <c r="D94" i="1"/>
  <c r="H47" i="20"/>
  <c r="I47" i="20" s="1"/>
  <c r="N95" i="21"/>
  <c r="M95" i="21"/>
  <c r="J38" i="21"/>
  <c r="L38" i="21" s="1"/>
  <c r="J47" i="21"/>
  <c r="L47" i="21" s="1"/>
  <c r="J66" i="21"/>
  <c r="L66" i="21" s="1"/>
  <c r="U186" i="16"/>
  <c r="U182" i="16"/>
  <c r="U178" i="16"/>
  <c r="U174" i="16"/>
  <c r="U170" i="16"/>
  <c r="U166" i="16"/>
  <c r="U162" i="16"/>
  <c r="U158" i="16"/>
  <c r="U181" i="16"/>
  <c r="U180" i="16"/>
  <c r="U173" i="16"/>
  <c r="U172" i="16"/>
  <c r="U165" i="16"/>
  <c r="U164" i="16"/>
  <c r="U157" i="16"/>
  <c r="U156" i="16"/>
  <c r="U152" i="16"/>
  <c r="U148" i="16"/>
  <c r="U185" i="16"/>
  <c r="U184" i="16"/>
  <c r="U177" i="16"/>
  <c r="U176" i="16"/>
  <c r="U169" i="16"/>
  <c r="U168" i="16"/>
  <c r="U161" i="16"/>
  <c r="U160" i="16"/>
  <c r="U154" i="16"/>
  <c r="U150" i="16"/>
  <c r="U179" i="16"/>
  <c r="U171" i="16"/>
  <c r="U163" i="16"/>
  <c r="U151" i="16"/>
  <c r="U149" i="16"/>
  <c r="U155" i="16"/>
  <c r="U153" i="16"/>
  <c r="U183" i="16"/>
  <c r="U175" i="16"/>
  <c r="U167" i="16"/>
  <c r="U159" i="16"/>
  <c r="J52" i="21"/>
  <c r="L52" i="21" s="1"/>
  <c r="J68" i="21"/>
  <c r="L68" i="21" s="1"/>
  <c r="J63" i="21"/>
  <c r="L63" i="21" s="1"/>
  <c r="N7" i="1"/>
  <c r="P7" i="1" s="1"/>
  <c r="N96" i="21"/>
  <c r="M96" i="21"/>
  <c r="D41" i="21"/>
  <c r="D41" i="20"/>
  <c r="D41" i="19"/>
  <c r="D59" i="1"/>
  <c r="D37" i="18"/>
  <c r="F37" i="18" s="1"/>
  <c r="I37" i="18" s="1"/>
  <c r="D41" i="8"/>
  <c r="D59" i="8" s="1"/>
  <c r="D41" i="9"/>
  <c r="D41" i="7"/>
  <c r="D59" i="7" s="1"/>
  <c r="J65" i="21"/>
  <c r="L65" i="21" s="1"/>
  <c r="Q88" i="9"/>
  <c r="E7" i="17"/>
  <c r="G7" i="17" s="1"/>
  <c r="J49" i="21"/>
  <c r="L49" i="21" s="1"/>
  <c r="H49" i="20"/>
  <c r="I49" i="20" s="1"/>
  <c r="Q87" i="9"/>
  <c r="U87" i="8"/>
  <c r="Q87" i="7"/>
  <c r="N33" i="1"/>
  <c r="P33" i="1" s="1"/>
  <c r="H33" i="1"/>
  <c r="K7" i="1"/>
  <c r="N32" i="8"/>
  <c r="O32" i="8" s="1"/>
  <c r="N32" i="7"/>
  <c r="P32" i="7" s="1"/>
  <c r="R32" i="7" s="1"/>
  <c r="T32" i="7" s="1"/>
  <c r="V32" i="7" s="1"/>
  <c r="X32" i="7" s="1"/>
  <c r="Z32" i="7" s="1"/>
  <c r="AB32" i="7" s="1"/>
  <c r="AD32" i="7" s="1"/>
  <c r="AF32" i="7" s="1"/>
  <c r="AH32" i="7" s="1"/>
  <c r="AJ32" i="7" s="1"/>
  <c r="N61" i="1"/>
  <c r="M61" i="1"/>
  <c r="F70" i="1"/>
  <c r="K70" i="1" s="1"/>
  <c r="N22" i="1"/>
  <c r="P22" i="1" s="1"/>
  <c r="K22" i="1"/>
  <c r="M32" i="9"/>
  <c r="F61" i="9"/>
  <c r="K61" i="9" s="1"/>
  <c r="H61" i="9" s="1"/>
  <c r="D61" i="7"/>
  <c r="F61" i="7" s="1"/>
  <c r="K61" i="7" s="1"/>
  <c r="H61" i="7" s="1"/>
  <c r="N7" i="8"/>
  <c r="P7" i="8" s="1"/>
  <c r="K7" i="8"/>
  <c r="K7" i="7"/>
  <c r="D21" i="8"/>
  <c r="F21" i="8" s="1"/>
  <c r="N21" i="8" s="1"/>
  <c r="P21" i="8" s="1"/>
  <c r="D28" i="8"/>
  <c r="F28" i="8" s="1"/>
  <c r="D22" i="8"/>
  <c r="F22" i="8" s="1"/>
  <c r="K7" i="9"/>
  <c r="F33" i="9"/>
  <c r="K33" i="9" s="1"/>
  <c r="H33" i="9" s="1"/>
  <c r="F7" i="12"/>
  <c r="L7" i="12" s="1"/>
  <c r="N7" i="12" s="1"/>
  <c r="N7" i="9"/>
  <c r="P7" i="9" s="1"/>
  <c r="D15" i="9"/>
  <c r="F15" i="9" s="1"/>
  <c r="D28" i="9"/>
  <c r="F28" i="9" s="1"/>
  <c r="M28" i="24" s="1"/>
  <c r="D22" i="9"/>
  <c r="F22" i="9" s="1"/>
  <c r="M22" i="24" s="1"/>
  <c r="D27" i="9"/>
  <c r="F27" i="9" s="1"/>
  <c r="M27" i="24" s="1"/>
  <c r="N27" i="8"/>
  <c r="P27" i="8" s="1"/>
  <c r="K27" i="8"/>
  <c r="D28" i="7"/>
  <c r="F28" i="7" s="1"/>
  <c r="D22" i="7"/>
  <c r="F22" i="7" s="1"/>
  <c r="F33" i="7"/>
  <c r="K33" i="7" s="1"/>
  <c r="H33" i="7" s="1"/>
  <c r="D27" i="7"/>
  <c r="F27" i="7" s="1"/>
  <c r="N27" i="1"/>
  <c r="P27" i="1" s="1"/>
  <c r="K27" i="1"/>
  <c r="M33" i="1"/>
  <c r="O86" i="1"/>
  <c r="N21" i="1"/>
  <c r="P21" i="1" s="1"/>
  <c r="D19" i="9"/>
  <c r="D20" i="9" s="1"/>
  <c r="F20" i="9" s="1"/>
  <c r="D5" i="8"/>
  <c r="K48" i="18"/>
  <c r="L48" i="18"/>
  <c r="L43" i="18"/>
  <c r="K43" i="18"/>
  <c r="L60" i="18"/>
  <c r="K60" i="18"/>
  <c r="D18" i="8"/>
  <c r="F18" i="8" s="1"/>
  <c r="N18" i="8" s="1"/>
  <c r="P18" i="8" s="1"/>
  <c r="L45" i="18"/>
  <c r="K45" i="18"/>
  <c r="L58" i="18"/>
  <c r="K58" i="18"/>
  <c r="L34" i="18"/>
  <c r="K34" i="18"/>
  <c r="L57" i="18"/>
  <c r="K57" i="18"/>
  <c r="L55" i="18"/>
  <c r="K55" i="18"/>
  <c r="K12" i="9"/>
  <c r="Q86" i="1"/>
  <c r="Q87" i="1"/>
  <c r="Q97" i="1"/>
  <c r="Q96" i="1"/>
  <c r="Q98" i="1"/>
  <c r="N12" i="9"/>
  <c r="P12" i="9" s="1"/>
  <c r="K15" i="1"/>
  <c r="D3" i="8"/>
  <c r="D15" i="8" s="1"/>
  <c r="F15" i="8" s="1"/>
  <c r="F12" i="7"/>
  <c r="K12" i="7" s="1"/>
  <c r="K15" i="7"/>
  <c r="N15" i="7"/>
  <c r="P15" i="7" s="1"/>
  <c r="D19" i="7"/>
  <c r="D20" i="7" s="1"/>
  <c r="F20" i="7" s="1"/>
  <c r="N20" i="7" s="1"/>
  <c r="P20" i="7" s="1"/>
  <c r="L61" i="18"/>
  <c r="K61" i="18"/>
  <c r="O156" i="16"/>
  <c r="P156" i="16"/>
  <c r="N157" i="16"/>
  <c r="M157" i="16"/>
  <c r="Q155" i="16"/>
  <c r="R155" i="16"/>
  <c r="T155" i="16" s="1"/>
  <c r="V155" i="16" s="1"/>
  <c r="X155" i="16" s="1"/>
  <c r="Z155" i="16" s="1"/>
  <c r="AB155" i="16" s="1"/>
  <c r="AD155" i="16" s="1"/>
  <c r="AF155" i="16" s="1"/>
  <c r="AH155" i="16" s="1"/>
  <c r="AJ155" i="16" s="1"/>
  <c r="H159" i="16"/>
  <c r="K158" i="16"/>
  <c r="U146" i="16"/>
  <c r="U142" i="16"/>
  <c r="U138" i="16"/>
  <c r="U144" i="16"/>
  <c r="U140" i="16"/>
  <c r="U136" i="16"/>
  <c r="U145" i="16"/>
  <c r="U141" i="16"/>
  <c r="U137" i="16"/>
  <c r="U147" i="16"/>
  <c r="U143" i="16"/>
  <c r="U139" i="16"/>
  <c r="U135" i="16"/>
  <c r="U187" i="16"/>
  <c r="AJ97" i="1"/>
  <c r="AJ98" i="1"/>
  <c r="AJ96" i="1"/>
  <c r="F90" i="7"/>
  <c r="K90" i="7" s="1"/>
  <c r="M90" i="7" s="1"/>
  <c r="F46" i="7"/>
  <c r="K46" i="7" s="1"/>
  <c r="H46" i="7" s="1"/>
  <c r="F91" i="9"/>
  <c r="K91" i="9" s="1"/>
  <c r="N91" i="9" s="1"/>
  <c r="P91" i="9" s="1"/>
  <c r="R91" i="9" s="1"/>
  <c r="T91" i="9" s="1"/>
  <c r="V91" i="9" s="1"/>
  <c r="X91" i="9" s="1"/>
  <c r="Z91" i="9" s="1"/>
  <c r="AB91" i="9" s="1"/>
  <c r="AD91" i="9" s="1"/>
  <c r="AF91" i="9" s="1"/>
  <c r="AH91" i="9" s="1"/>
  <c r="AJ91" i="9" s="1"/>
  <c r="F46" i="9"/>
  <c r="K46" i="9" s="1"/>
  <c r="Q86" i="7"/>
  <c r="F53" i="1"/>
  <c r="K53" i="1" s="1"/>
  <c r="M53" i="1" s="1"/>
  <c r="F46" i="1"/>
  <c r="K46" i="1" s="1"/>
  <c r="H46" i="1" s="1"/>
  <c r="S31" i="1"/>
  <c r="S81" i="1" s="1"/>
  <c r="S31" i="9"/>
  <c r="S85" i="9" s="1"/>
  <c r="U86" i="8"/>
  <c r="E3" i="17"/>
  <c r="E130" i="17" s="1"/>
  <c r="I130" i="17" s="1"/>
  <c r="L130" i="17" s="1"/>
  <c r="P83" i="17"/>
  <c r="N82" i="17"/>
  <c r="P80" i="17"/>
  <c r="P81" i="17"/>
  <c r="P68" i="17"/>
  <c r="N67" i="17"/>
  <c r="P67" i="17" s="1"/>
  <c r="AC23" i="17"/>
  <c r="S25" i="16"/>
  <c r="P27" i="16"/>
  <c r="O27" i="16"/>
  <c r="K35" i="16"/>
  <c r="K33" i="16"/>
  <c r="M34" i="16"/>
  <c r="N34" i="16"/>
  <c r="P29" i="16"/>
  <c r="O29" i="16"/>
  <c r="M32" i="16"/>
  <c r="N32" i="16"/>
  <c r="K37" i="16"/>
  <c r="P31" i="16"/>
  <c r="O31" i="16"/>
  <c r="M30" i="16"/>
  <c r="N30" i="16"/>
  <c r="V28" i="16"/>
  <c r="U28" i="16"/>
  <c r="V26" i="16"/>
  <c r="U26" i="16"/>
  <c r="V19" i="16"/>
  <c r="U19" i="16"/>
  <c r="V22" i="16"/>
  <c r="U22" i="16"/>
  <c r="V24" i="16"/>
  <c r="U24" i="16"/>
  <c r="V21" i="16"/>
  <c r="U21" i="16"/>
  <c r="V25" i="16"/>
  <c r="U25" i="16"/>
  <c r="V23" i="16"/>
  <c r="U23" i="16"/>
  <c r="V20" i="16"/>
  <c r="U20" i="16"/>
  <c r="U18" i="16"/>
  <c r="W17" i="16"/>
  <c r="T87" i="9"/>
  <c r="N84" i="9"/>
  <c r="P84" i="9" s="1"/>
  <c r="R84" i="9" s="1"/>
  <c r="T84" i="9" s="1"/>
  <c r="V84" i="9" s="1"/>
  <c r="X84" i="9" s="1"/>
  <c r="Z84" i="9" s="1"/>
  <c r="AB84" i="9" s="1"/>
  <c r="AD84" i="9" s="1"/>
  <c r="AF84" i="9" s="1"/>
  <c r="AH84" i="9" s="1"/>
  <c r="AJ84" i="9" s="1"/>
  <c r="M107" i="9"/>
  <c r="T86" i="1"/>
  <c r="P89" i="9"/>
  <c r="O89" i="9"/>
  <c r="F19" i="1"/>
  <c r="D20" i="1"/>
  <c r="F20" i="1" s="1"/>
  <c r="F13" i="1"/>
  <c r="D17" i="1"/>
  <c r="F17" i="1" s="1"/>
  <c r="D14" i="1"/>
  <c r="F14" i="1" s="1"/>
  <c r="F68" i="1"/>
  <c r="K68" i="1" s="1"/>
  <c r="N68" i="1" s="1"/>
  <c r="C7" i="13"/>
  <c r="N3" i="1"/>
  <c r="P3" i="1" s="1"/>
  <c r="F52" i="1"/>
  <c r="K52" i="1" s="1"/>
  <c r="H52" i="1" s="1"/>
  <c r="B36" i="10"/>
  <c r="C36" i="10" s="1"/>
  <c r="C8" i="13"/>
  <c r="C10" i="13" s="1"/>
  <c r="C11" i="13" s="1"/>
  <c r="C13" i="13" s="1"/>
  <c r="N4" i="1"/>
  <c r="P4" i="1" s="1"/>
  <c r="N18" i="1"/>
  <c r="P18" i="1" s="1"/>
  <c r="K18" i="1"/>
  <c r="F90" i="1"/>
  <c r="K90" i="1" s="1"/>
  <c r="P83" i="1"/>
  <c r="O83" i="1"/>
  <c r="D19" i="8"/>
  <c r="M82" i="7"/>
  <c r="N3" i="9"/>
  <c r="P3" i="9" s="1"/>
  <c r="E7" i="13"/>
  <c r="D5" i="9"/>
  <c r="D21" i="9"/>
  <c r="F21" i="9" s="1"/>
  <c r="D18" i="9"/>
  <c r="F18" i="9" s="1"/>
  <c r="D5" i="7"/>
  <c r="D21" i="7"/>
  <c r="F21" i="7" s="1"/>
  <c r="D18" i="7"/>
  <c r="F18" i="7" s="1"/>
  <c r="L14" i="12"/>
  <c r="N14" i="12" s="1"/>
  <c r="F53" i="7"/>
  <c r="K53" i="7" s="1"/>
  <c r="M53" i="7" s="1"/>
  <c r="N3" i="7"/>
  <c r="P3" i="7" s="1"/>
  <c r="Q16" i="12"/>
  <c r="P107" i="9"/>
  <c r="O107" i="9"/>
  <c r="P96" i="8"/>
  <c r="O96" i="8"/>
  <c r="F53" i="9"/>
  <c r="K53" i="9" s="1"/>
  <c r="F69" i="9"/>
  <c r="K69" i="9" s="1"/>
  <c r="F66" i="9"/>
  <c r="K66" i="9" s="1"/>
  <c r="F64" i="9"/>
  <c r="K64" i="9" s="1"/>
  <c r="F52" i="9"/>
  <c r="K52" i="9" s="1"/>
  <c r="H52" i="9" s="1"/>
  <c r="F48" i="9"/>
  <c r="K48" i="9" s="1"/>
  <c r="H48" i="9" s="1"/>
  <c r="F40" i="9"/>
  <c r="K40" i="9" s="1"/>
  <c r="F34" i="9"/>
  <c r="K34" i="9" s="1"/>
  <c r="F68" i="9"/>
  <c r="K68" i="9" s="1"/>
  <c r="N68" i="9" s="1"/>
  <c r="F65" i="9"/>
  <c r="K65" i="9" s="1"/>
  <c r="F47" i="9"/>
  <c r="K47" i="9" s="1"/>
  <c r="F67" i="7"/>
  <c r="K67" i="7" s="1"/>
  <c r="M67" i="7" s="1"/>
  <c r="F47" i="7"/>
  <c r="K47" i="7" s="1"/>
  <c r="H47" i="7" s="1"/>
  <c r="F68" i="7"/>
  <c r="K68" i="7" s="1"/>
  <c r="M68" i="7" s="1"/>
  <c r="F66" i="7"/>
  <c r="K66" i="7" s="1"/>
  <c r="F64" i="7"/>
  <c r="K64" i="7" s="1"/>
  <c r="M64" i="7" s="1"/>
  <c r="F52" i="7"/>
  <c r="K52" i="7" s="1"/>
  <c r="H52" i="7" s="1"/>
  <c r="F48" i="7"/>
  <c r="K48" i="7" s="1"/>
  <c r="H48" i="7" s="1"/>
  <c r="F40" i="7"/>
  <c r="K40" i="7" s="1"/>
  <c r="H40" i="7" s="1"/>
  <c r="F34" i="7"/>
  <c r="K34" i="7" s="1"/>
  <c r="H34" i="7" s="1"/>
  <c r="F65" i="7"/>
  <c r="K65" i="7" s="1"/>
  <c r="N65" i="7" s="1"/>
  <c r="N73" i="7"/>
  <c r="P73" i="7" s="1"/>
  <c r="R73" i="7" s="1"/>
  <c r="T73" i="7" s="1"/>
  <c r="V73" i="7" s="1"/>
  <c r="X73" i="7" s="1"/>
  <c r="Z73" i="7" s="1"/>
  <c r="AB73" i="7" s="1"/>
  <c r="AD73" i="7" s="1"/>
  <c r="AF73" i="7" s="1"/>
  <c r="AH73" i="7" s="1"/>
  <c r="AJ73" i="7" s="1"/>
  <c r="D13" i="9"/>
  <c r="D14" i="9" s="1"/>
  <c r="F14" i="9" s="1"/>
  <c r="D13" i="8"/>
  <c r="F12" i="8"/>
  <c r="M83" i="7"/>
  <c r="M81" i="7"/>
  <c r="M32" i="7"/>
  <c r="M75" i="8"/>
  <c r="N75" i="9"/>
  <c r="P75" i="9" s="1"/>
  <c r="R75" i="9" s="1"/>
  <c r="T75" i="9" s="1"/>
  <c r="V75" i="9" s="1"/>
  <c r="X75" i="9" s="1"/>
  <c r="Z75" i="9" s="1"/>
  <c r="AB75" i="9" s="1"/>
  <c r="AD75" i="9" s="1"/>
  <c r="AF75" i="9" s="1"/>
  <c r="AH75" i="9" s="1"/>
  <c r="AJ75" i="9" s="1"/>
  <c r="N74" i="8"/>
  <c r="P74" i="8" s="1"/>
  <c r="R74" i="8" s="1"/>
  <c r="T74" i="8" s="1"/>
  <c r="V74" i="8" s="1"/>
  <c r="X74" i="8" s="1"/>
  <c r="Z74" i="8" s="1"/>
  <c r="AB74" i="8" s="1"/>
  <c r="AD74" i="8" s="1"/>
  <c r="AF74" i="8" s="1"/>
  <c r="AH74" i="8" s="1"/>
  <c r="AJ74" i="8" s="1"/>
  <c r="M81" i="8"/>
  <c r="M76" i="7"/>
  <c r="N80" i="8"/>
  <c r="P80" i="8" s="1"/>
  <c r="R80" i="8" s="1"/>
  <c r="T80" i="8" s="1"/>
  <c r="V80" i="8" s="1"/>
  <c r="X80" i="8" s="1"/>
  <c r="Z80" i="8" s="1"/>
  <c r="AB80" i="8" s="1"/>
  <c r="AD80" i="8" s="1"/>
  <c r="AF80" i="8" s="1"/>
  <c r="AH80" i="8" s="1"/>
  <c r="AJ80" i="8" s="1"/>
  <c r="M73" i="8"/>
  <c r="M32" i="8"/>
  <c r="N74" i="9"/>
  <c r="P74" i="9" s="1"/>
  <c r="R74" i="9" s="1"/>
  <c r="T74" i="9" s="1"/>
  <c r="V74" i="9" s="1"/>
  <c r="X74" i="9" s="1"/>
  <c r="Z74" i="9" s="1"/>
  <c r="AB74" i="9" s="1"/>
  <c r="AD74" i="9" s="1"/>
  <c r="AF74" i="9" s="1"/>
  <c r="AH74" i="9" s="1"/>
  <c r="AJ74" i="9" s="1"/>
  <c r="F4" i="9"/>
  <c r="F113" i="9" s="1"/>
  <c r="K113" i="9" s="1"/>
  <c r="F4" i="7"/>
  <c r="N83" i="8"/>
  <c r="P83" i="8" s="1"/>
  <c r="R83" i="8" s="1"/>
  <c r="T83" i="8" s="1"/>
  <c r="V83" i="8" s="1"/>
  <c r="X83" i="8" s="1"/>
  <c r="Z83" i="8" s="1"/>
  <c r="AB83" i="8" s="1"/>
  <c r="AD83" i="8" s="1"/>
  <c r="AF83" i="8" s="1"/>
  <c r="AH83" i="8" s="1"/>
  <c r="AJ83" i="8" s="1"/>
  <c r="N83" i="9"/>
  <c r="P83" i="9" s="1"/>
  <c r="R83" i="9" s="1"/>
  <c r="T83" i="9" s="1"/>
  <c r="V83" i="9" s="1"/>
  <c r="X83" i="9" s="1"/>
  <c r="Z83" i="9" s="1"/>
  <c r="AB83" i="9" s="1"/>
  <c r="AD83" i="9" s="1"/>
  <c r="AF83" i="9" s="1"/>
  <c r="AH83" i="9" s="1"/>
  <c r="AJ83" i="9" s="1"/>
  <c r="N81" i="9"/>
  <c r="P81" i="9" s="1"/>
  <c r="R81" i="9" s="1"/>
  <c r="T81" i="9" s="1"/>
  <c r="V81" i="9" s="1"/>
  <c r="X81" i="9" s="1"/>
  <c r="Z81" i="9" s="1"/>
  <c r="AB81" i="9" s="1"/>
  <c r="AD81" i="9" s="1"/>
  <c r="AF81" i="9" s="1"/>
  <c r="AH81" i="9" s="1"/>
  <c r="AJ81" i="9" s="1"/>
  <c r="N82" i="9"/>
  <c r="P82" i="9" s="1"/>
  <c r="R82" i="9" s="1"/>
  <c r="T82" i="9" s="1"/>
  <c r="V82" i="9" s="1"/>
  <c r="X82" i="9" s="1"/>
  <c r="Z82" i="9" s="1"/>
  <c r="AB82" i="9" s="1"/>
  <c r="AD82" i="9" s="1"/>
  <c r="AF82" i="9" s="1"/>
  <c r="AH82" i="9" s="1"/>
  <c r="AJ82" i="9" s="1"/>
  <c r="F47" i="1"/>
  <c r="K47" i="1" s="1"/>
  <c r="M80" i="7"/>
  <c r="N75" i="7"/>
  <c r="P75" i="7" s="1"/>
  <c r="R75" i="7" s="1"/>
  <c r="T75" i="7" s="1"/>
  <c r="V75" i="7" s="1"/>
  <c r="X75" i="7" s="1"/>
  <c r="Z75" i="7" s="1"/>
  <c r="AB75" i="7" s="1"/>
  <c r="AD75" i="7" s="1"/>
  <c r="AF75" i="7" s="1"/>
  <c r="AH75" i="7" s="1"/>
  <c r="AJ75" i="7" s="1"/>
  <c r="N76" i="9"/>
  <c r="P76" i="9" s="1"/>
  <c r="R76" i="9" s="1"/>
  <c r="T76" i="9" s="1"/>
  <c r="V76" i="9" s="1"/>
  <c r="X76" i="9" s="1"/>
  <c r="Z76" i="9" s="1"/>
  <c r="AB76" i="9" s="1"/>
  <c r="AD76" i="9" s="1"/>
  <c r="AF76" i="9" s="1"/>
  <c r="AH76" i="9" s="1"/>
  <c r="AJ76" i="9" s="1"/>
  <c r="M74" i="7"/>
  <c r="K3" i="7"/>
  <c r="N77" i="9"/>
  <c r="P77" i="9" s="1"/>
  <c r="R77" i="9" s="1"/>
  <c r="T77" i="9" s="1"/>
  <c r="V77" i="9" s="1"/>
  <c r="X77" i="9" s="1"/>
  <c r="Z77" i="9" s="1"/>
  <c r="AB77" i="9" s="1"/>
  <c r="AD77" i="9" s="1"/>
  <c r="AF77" i="9" s="1"/>
  <c r="AH77" i="9" s="1"/>
  <c r="AJ77" i="9" s="1"/>
  <c r="O32" i="1"/>
  <c r="F65" i="1"/>
  <c r="K65" i="1" s="1"/>
  <c r="K3" i="1"/>
  <c r="S88" i="1"/>
  <c r="S77" i="1"/>
  <c r="S75" i="1"/>
  <c r="F69" i="1"/>
  <c r="K69" i="1" s="1"/>
  <c r="K4" i="1"/>
  <c r="F35" i="1"/>
  <c r="K35" i="1" s="1"/>
  <c r="H35" i="1" s="1"/>
  <c r="F64" i="1"/>
  <c r="K64" i="1" s="1"/>
  <c r="Q32" i="1"/>
  <c r="O73" i="1"/>
  <c r="O75" i="1"/>
  <c r="O77" i="1"/>
  <c r="O79" i="1"/>
  <c r="O81" i="1"/>
  <c r="O88" i="1"/>
  <c r="Q88" i="1"/>
  <c r="Q82" i="1"/>
  <c r="Q81" i="1"/>
  <c r="Q80" i="1"/>
  <c r="Q79" i="1"/>
  <c r="Q78" i="1"/>
  <c r="Q77" i="1"/>
  <c r="Q76" i="1"/>
  <c r="Q75" i="1"/>
  <c r="Q74" i="1"/>
  <c r="Q73" i="1"/>
  <c r="O72" i="1"/>
  <c r="O74" i="1"/>
  <c r="O76" i="1"/>
  <c r="O78" i="1"/>
  <c r="O80" i="1"/>
  <c r="O82" i="1"/>
  <c r="M70" i="8"/>
  <c r="N70" i="8"/>
  <c r="N69" i="8"/>
  <c r="M69" i="8"/>
  <c r="M76" i="8"/>
  <c r="N70" i="7"/>
  <c r="M70" i="7"/>
  <c r="N32" i="9"/>
  <c r="D13" i="7"/>
  <c r="D14" i="7" s="1"/>
  <c r="F14" i="7" s="1"/>
  <c r="K3" i="9"/>
  <c r="Q78" i="9"/>
  <c r="Q80" i="9"/>
  <c r="O79" i="9"/>
  <c r="Q79" i="9"/>
  <c r="O78" i="9"/>
  <c r="O80" i="9"/>
  <c r="U82" i="8"/>
  <c r="U81" i="8"/>
  <c r="U79" i="8"/>
  <c r="U78" i="8"/>
  <c r="U77" i="8"/>
  <c r="U76" i="8"/>
  <c r="U75" i="8"/>
  <c r="U73" i="8"/>
  <c r="W31" i="8"/>
  <c r="W84" i="8" s="1"/>
  <c r="Q73" i="8"/>
  <c r="Q75" i="8"/>
  <c r="Q77" i="8"/>
  <c r="Q79" i="8"/>
  <c r="Q81" i="8"/>
  <c r="O76" i="8"/>
  <c r="O78" i="8"/>
  <c r="O82" i="8"/>
  <c r="S76" i="8"/>
  <c r="S78" i="8"/>
  <c r="S82" i="8"/>
  <c r="M33" i="8"/>
  <c r="N33" i="8"/>
  <c r="Q76" i="8"/>
  <c r="Q78" i="8"/>
  <c r="Q82" i="8"/>
  <c r="O73" i="8"/>
  <c r="O75" i="8"/>
  <c r="O77" i="8"/>
  <c r="O79" i="8"/>
  <c r="O81" i="8"/>
  <c r="S73" i="8"/>
  <c r="S75" i="8"/>
  <c r="S77" i="8"/>
  <c r="S79" i="8"/>
  <c r="S81" i="8"/>
  <c r="O72" i="7"/>
  <c r="O74" i="7"/>
  <c r="O76" i="7"/>
  <c r="O78" i="7"/>
  <c r="O80" i="7"/>
  <c r="O82" i="7"/>
  <c r="Q83" i="7"/>
  <c r="Q82" i="7"/>
  <c r="Q81" i="7"/>
  <c r="Q80" i="7"/>
  <c r="Q79" i="7"/>
  <c r="Q78" i="7"/>
  <c r="Q77" i="7"/>
  <c r="Q76" i="7"/>
  <c r="Q74" i="7"/>
  <c r="Q72" i="7"/>
  <c r="S31" i="7"/>
  <c r="O77" i="7"/>
  <c r="O79" i="7"/>
  <c r="O81" i="7"/>
  <c r="O83" i="7"/>
  <c r="F40" i="1"/>
  <c r="K40" i="1" s="1"/>
  <c r="H40" i="1" s="1"/>
  <c r="F34" i="1"/>
  <c r="F66" i="1"/>
  <c r="K66" i="1" s="1"/>
  <c r="H66" i="1" s="1"/>
  <c r="F48" i="1"/>
  <c r="K48" i="1" s="1"/>
  <c r="H48" i="1" s="1"/>
  <c r="F67" i="1"/>
  <c r="K67" i="1" s="1"/>
  <c r="F63" i="1"/>
  <c r="K63" i="1" s="1"/>
  <c r="H63" i="1" s="1"/>
  <c r="D11" i="1"/>
  <c r="F11" i="1" s="1"/>
  <c r="F60" i="1" s="1"/>
  <c r="K60" i="1" s="1"/>
  <c r="H60" i="1" s="1"/>
  <c r="D9" i="1"/>
  <c r="D8" i="1"/>
  <c r="F8" i="1" s="1"/>
  <c r="F43" i="1" s="1"/>
  <c r="K43" i="1" s="1"/>
  <c r="D6" i="1"/>
  <c r="F6" i="1" s="1"/>
  <c r="D10" i="1"/>
  <c r="F10" i="1" s="1"/>
  <c r="F45" i="1" s="1"/>
  <c r="K45" i="1" s="1"/>
  <c r="H45" i="1" s="1"/>
  <c r="F5" i="1"/>
  <c r="F58" i="1" s="1"/>
  <c r="K58" i="1" s="1"/>
  <c r="F48" i="26" l="1"/>
  <c r="K48" i="26" s="1"/>
  <c r="F67" i="26"/>
  <c r="K67" i="26" s="1"/>
  <c r="N67" i="26" s="1"/>
  <c r="F41" i="24"/>
  <c r="H48" i="26"/>
  <c r="W314" i="16"/>
  <c r="W306" i="16"/>
  <c r="W298" i="16"/>
  <c r="W290" i="16"/>
  <c r="W282" i="16"/>
  <c r="W274" i="16"/>
  <c r="W266" i="16"/>
  <c r="W258" i="16"/>
  <c r="W311" i="16"/>
  <c r="W303" i="16"/>
  <c r="W295" i="16"/>
  <c r="W287" i="16"/>
  <c r="W279" i="16"/>
  <c r="W271" i="16"/>
  <c r="W263" i="16"/>
  <c r="W255" i="16"/>
  <c r="W313" i="16"/>
  <c r="W305" i="16"/>
  <c r="W297" i="16"/>
  <c r="W289" i="16"/>
  <c r="W281" i="16"/>
  <c r="W273" i="16"/>
  <c r="W265" i="16"/>
  <c r="W257" i="16"/>
  <c r="W310" i="16"/>
  <c r="W302" i="16"/>
  <c r="W294" i="16"/>
  <c r="W286" i="16"/>
  <c r="W278" i="16"/>
  <c r="W270" i="16"/>
  <c r="W262" i="16"/>
  <c r="W312" i="16"/>
  <c r="W304" i="16"/>
  <c r="W296" i="16"/>
  <c r="W288" i="16"/>
  <c r="W280" i="16"/>
  <c r="W272" i="16"/>
  <c r="W264" i="16"/>
  <c r="W256" i="16"/>
  <c r="W309" i="16"/>
  <c r="W307" i="16"/>
  <c r="W292" i="16"/>
  <c r="W317" i="16"/>
  <c r="W315" i="16"/>
  <c r="W300" i="16"/>
  <c r="W308" i="16"/>
  <c r="W293" i="16"/>
  <c r="W291" i="16"/>
  <c r="W276" i="16"/>
  <c r="W261" i="16"/>
  <c r="W259" i="16"/>
  <c r="W253" i="16"/>
  <c r="W248" i="16"/>
  <c r="W240" i="16"/>
  <c r="W232" i="16"/>
  <c r="W224" i="16"/>
  <c r="W245" i="16"/>
  <c r="W237" i="16"/>
  <c r="W229" i="16"/>
  <c r="W316" i="16"/>
  <c r="W301" i="16"/>
  <c r="W299" i="16"/>
  <c r="W284" i="16"/>
  <c r="W269" i="16"/>
  <c r="W267" i="16"/>
  <c r="W254" i="16"/>
  <c r="W250" i="16"/>
  <c r="W242" i="16"/>
  <c r="W234" i="16"/>
  <c r="W226" i="16"/>
  <c r="W218" i="16"/>
  <c r="W210" i="16"/>
  <c r="W247" i="16"/>
  <c r="W246" i="16"/>
  <c r="W236" i="16"/>
  <c r="W235" i="16"/>
  <c r="W225" i="16"/>
  <c r="W249" i="16"/>
  <c r="W239" i="16"/>
  <c r="W238" i="16"/>
  <c r="W228" i="16"/>
  <c r="W227" i="16"/>
  <c r="W217" i="16"/>
  <c r="W212" i="16"/>
  <c r="W285" i="16"/>
  <c r="W275" i="16"/>
  <c r="W268" i="16"/>
  <c r="W241" i="16"/>
  <c r="W231" i="16"/>
  <c r="W230" i="16"/>
  <c r="W216" i="16"/>
  <c r="W211" i="16"/>
  <c r="W208" i="16"/>
  <c r="W200" i="16"/>
  <c r="W192" i="16"/>
  <c r="W215" i="16"/>
  <c r="W205" i="16"/>
  <c r="W197" i="16"/>
  <c r="W277" i="16"/>
  <c r="W260" i="16"/>
  <c r="W251" i="16"/>
  <c r="W244" i="16"/>
  <c r="W243" i="16"/>
  <c r="W233" i="16"/>
  <c r="W223" i="16"/>
  <c r="W222" i="16"/>
  <c r="W221" i="16"/>
  <c r="W220" i="16"/>
  <c r="W202" i="16"/>
  <c r="W194" i="16"/>
  <c r="W219" i="16"/>
  <c r="W209" i="16"/>
  <c r="W199" i="16"/>
  <c r="W198" i="16"/>
  <c r="W201" i="16"/>
  <c r="W191" i="16"/>
  <c r="W283" i="16"/>
  <c r="W213" i="16"/>
  <c r="W252" i="16"/>
  <c r="W190" i="16"/>
  <c r="W204" i="16"/>
  <c r="W203" i="16"/>
  <c r="W193" i="16"/>
  <c r="W207" i="16"/>
  <c r="W206" i="16"/>
  <c r="W196" i="16"/>
  <c r="W214" i="16"/>
  <c r="W195" i="16"/>
  <c r="R270" i="16"/>
  <c r="T270" i="16" s="1"/>
  <c r="V270" i="16" s="1"/>
  <c r="X270" i="16" s="1"/>
  <c r="Z270" i="16" s="1"/>
  <c r="AB270" i="16" s="1"/>
  <c r="AD270" i="16" s="1"/>
  <c r="AF270" i="16" s="1"/>
  <c r="AH270" i="16" s="1"/>
  <c r="AJ270" i="16" s="1"/>
  <c r="Q270" i="16"/>
  <c r="P271" i="16"/>
  <c r="O271" i="16"/>
  <c r="N272" i="16"/>
  <c r="M272" i="16"/>
  <c r="F273" i="16"/>
  <c r="H274" i="16"/>
  <c r="K273" i="16"/>
  <c r="N66" i="26"/>
  <c r="H66" i="26"/>
  <c r="M66" i="26"/>
  <c r="N58" i="27"/>
  <c r="M58" i="27"/>
  <c r="N60" i="27"/>
  <c r="M60" i="27"/>
  <c r="N70" i="26"/>
  <c r="M70" i="26"/>
  <c r="R106" i="26"/>
  <c r="Q106" i="26"/>
  <c r="M57" i="27"/>
  <c r="N57" i="27"/>
  <c r="L61" i="27"/>
  <c r="K61" i="27"/>
  <c r="P107" i="26"/>
  <c r="O107" i="26"/>
  <c r="S87" i="7"/>
  <c r="S84" i="7"/>
  <c r="F18" i="27"/>
  <c r="I16" i="27"/>
  <c r="F21" i="27"/>
  <c r="L16" i="27"/>
  <c r="N16" i="27" s="1"/>
  <c r="F13" i="27"/>
  <c r="F12" i="27" s="1"/>
  <c r="K34" i="1"/>
  <c r="H34" i="1" s="1"/>
  <c r="O112" i="9"/>
  <c r="M112" i="9"/>
  <c r="P69" i="26"/>
  <c r="O69" i="26"/>
  <c r="I16" i="28"/>
  <c r="F18" i="28"/>
  <c r="I18" i="28" s="1"/>
  <c r="F21" i="28"/>
  <c r="I21" i="28" s="1"/>
  <c r="F13" i="28"/>
  <c r="N103" i="26"/>
  <c r="M103" i="26"/>
  <c r="J70" i="24"/>
  <c r="L70" i="24" s="1"/>
  <c r="Q112" i="9"/>
  <c r="N48" i="27"/>
  <c r="M48" i="27"/>
  <c r="M67" i="26"/>
  <c r="F34" i="26"/>
  <c r="K34" i="26" s="1"/>
  <c r="N3" i="26"/>
  <c r="P3" i="26" s="1"/>
  <c r="D8" i="26"/>
  <c r="D7" i="26" s="1"/>
  <c r="F90" i="26"/>
  <c r="K90" i="26" s="1"/>
  <c r="K3" i="26"/>
  <c r="F40" i="26"/>
  <c r="K40" i="26" s="1"/>
  <c r="F65" i="26"/>
  <c r="K65" i="26" s="1"/>
  <c r="F68" i="26"/>
  <c r="K68" i="26" s="1"/>
  <c r="F61" i="26"/>
  <c r="K61" i="26" s="1"/>
  <c r="F35" i="26"/>
  <c r="K35" i="26" s="1"/>
  <c r="F63" i="26"/>
  <c r="K63" i="26" s="1"/>
  <c r="F64" i="26"/>
  <c r="K64" i="26" s="1"/>
  <c r="F47" i="26"/>
  <c r="K47" i="26" s="1"/>
  <c r="F46" i="26"/>
  <c r="K46" i="26" s="1"/>
  <c r="N67" i="9"/>
  <c r="M67" i="9"/>
  <c r="S112" i="9"/>
  <c r="M66" i="7"/>
  <c r="H66" i="7"/>
  <c r="N45" i="27"/>
  <c r="M45" i="27"/>
  <c r="M113" i="9"/>
  <c r="N113" i="9"/>
  <c r="M34" i="27"/>
  <c r="N34" i="27"/>
  <c r="Q72" i="1"/>
  <c r="N41" i="1"/>
  <c r="P41" i="1" s="1"/>
  <c r="M72" i="8"/>
  <c r="D54" i="28"/>
  <c r="D12" i="26"/>
  <c r="D59" i="26"/>
  <c r="S72" i="8"/>
  <c r="O72" i="8"/>
  <c r="F41" i="9"/>
  <c r="K41" i="9" s="1"/>
  <c r="H41" i="9" s="1"/>
  <c r="D114" i="9"/>
  <c r="F114" i="9" s="1"/>
  <c r="K114" i="9" s="1"/>
  <c r="M41" i="1"/>
  <c r="F59" i="1"/>
  <c r="K59" i="1" s="1"/>
  <c r="H59" i="1" s="1"/>
  <c r="M43" i="27"/>
  <c r="N43" i="27"/>
  <c r="E13" i="23"/>
  <c r="C13" i="23"/>
  <c r="H47" i="9"/>
  <c r="H47" i="25"/>
  <c r="M66" i="9"/>
  <c r="H66" i="9"/>
  <c r="E20" i="17"/>
  <c r="G20" i="17" s="1"/>
  <c r="M20" i="24"/>
  <c r="F63" i="9"/>
  <c r="K63" i="9" s="1"/>
  <c r="H63" i="9" s="1"/>
  <c r="H27" i="25"/>
  <c r="H13" i="25" s="1"/>
  <c r="M4" i="24"/>
  <c r="O22" i="24"/>
  <c r="N22" i="24"/>
  <c r="E18" i="17"/>
  <c r="G18" i="17" s="1"/>
  <c r="M18" i="24"/>
  <c r="H46" i="9"/>
  <c r="H43" i="25"/>
  <c r="O28" i="24"/>
  <c r="N28" i="24"/>
  <c r="O3" i="24"/>
  <c r="N3" i="24"/>
  <c r="E14" i="17"/>
  <c r="G14" i="17" s="1"/>
  <c r="M14" i="24"/>
  <c r="H40" i="9"/>
  <c r="H37" i="25"/>
  <c r="O27" i="24"/>
  <c r="N27" i="24"/>
  <c r="O12" i="24"/>
  <c r="N12" i="24"/>
  <c r="N73" i="9"/>
  <c r="P73" i="9" s="1"/>
  <c r="R73" i="9" s="1"/>
  <c r="T73" i="9" s="1"/>
  <c r="V73" i="9" s="1"/>
  <c r="X73" i="9" s="1"/>
  <c r="Z73" i="9" s="1"/>
  <c r="AB73" i="9" s="1"/>
  <c r="AD73" i="9" s="1"/>
  <c r="AF73" i="9" s="1"/>
  <c r="AH73" i="9" s="1"/>
  <c r="AJ73" i="9" s="1"/>
  <c r="H34" i="9"/>
  <c r="H33" i="25"/>
  <c r="E21" i="17"/>
  <c r="G21" i="17" s="1"/>
  <c r="M21" i="24"/>
  <c r="E15" i="17"/>
  <c r="G15" i="17" s="1"/>
  <c r="M15" i="24"/>
  <c r="F104" i="9"/>
  <c r="K104" i="9" s="1"/>
  <c r="M66" i="24"/>
  <c r="N53" i="24"/>
  <c r="P53" i="24" s="1"/>
  <c r="Q53" i="24" s="1"/>
  <c r="H66" i="24"/>
  <c r="O66" i="24"/>
  <c r="P66" i="24"/>
  <c r="R66" i="24" s="1"/>
  <c r="H48" i="24"/>
  <c r="N48" i="24"/>
  <c r="N69" i="24"/>
  <c r="M69" i="24"/>
  <c r="M67" i="24"/>
  <c r="N67" i="24"/>
  <c r="O50" i="24"/>
  <c r="J41" i="24"/>
  <c r="N64" i="24"/>
  <c r="M64" i="24"/>
  <c r="N38" i="24"/>
  <c r="H38" i="24"/>
  <c r="M38" i="24"/>
  <c r="J59" i="24"/>
  <c r="K59" i="24" s="1"/>
  <c r="N85" i="1"/>
  <c r="M85" i="1"/>
  <c r="N86" i="9"/>
  <c r="M86" i="9"/>
  <c r="U31" i="1"/>
  <c r="U97" i="1" s="1"/>
  <c r="U72" i="8"/>
  <c r="S73" i="1"/>
  <c r="M72" i="7"/>
  <c r="N85" i="7"/>
  <c r="M85" i="7"/>
  <c r="N85" i="8"/>
  <c r="M85" i="8"/>
  <c r="S84" i="1"/>
  <c r="R50" i="24"/>
  <c r="Q50" i="24"/>
  <c r="N43" i="1"/>
  <c r="M43" i="1"/>
  <c r="H43" i="1"/>
  <c r="Q72" i="8"/>
  <c r="S79" i="1"/>
  <c r="S86" i="1"/>
  <c r="K65" i="21"/>
  <c r="M65" i="21" s="1"/>
  <c r="K52" i="21"/>
  <c r="M52" i="21" s="1"/>
  <c r="K63" i="21"/>
  <c r="M63" i="21" s="1"/>
  <c r="K66" i="21"/>
  <c r="M66" i="21" s="1"/>
  <c r="K68" i="21"/>
  <c r="M68" i="21" s="1"/>
  <c r="D59" i="9"/>
  <c r="K38" i="21"/>
  <c r="N38" i="21" s="1"/>
  <c r="F93" i="7"/>
  <c r="K93" i="7" s="1"/>
  <c r="M93" i="7" s="1"/>
  <c r="D94" i="7"/>
  <c r="F93" i="8"/>
  <c r="K93" i="8" s="1"/>
  <c r="N93" i="8" s="1"/>
  <c r="D94" i="8"/>
  <c r="K37" i="18"/>
  <c r="L37" i="18"/>
  <c r="D30" i="1"/>
  <c r="D58" i="19"/>
  <c r="D12" i="19"/>
  <c r="O96" i="21"/>
  <c r="P96" i="21"/>
  <c r="N93" i="1"/>
  <c r="M93" i="1"/>
  <c r="D58" i="21"/>
  <c r="F58" i="21" s="1"/>
  <c r="J58" i="21" s="1"/>
  <c r="K58" i="21" s="1"/>
  <c r="F41" i="21"/>
  <c r="D58" i="20"/>
  <c r="D12" i="20"/>
  <c r="K47" i="21"/>
  <c r="K69" i="21"/>
  <c r="W186" i="16"/>
  <c r="W183" i="16"/>
  <c r="W179" i="16"/>
  <c r="W175" i="16"/>
  <c r="W171" i="16"/>
  <c r="W167" i="16"/>
  <c r="W163" i="16"/>
  <c r="W159" i="16"/>
  <c r="W153" i="16"/>
  <c r="W149" i="16"/>
  <c r="W155" i="16"/>
  <c r="W151" i="16"/>
  <c r="W185" i="16"/>
  <c r="W184" i="16"/>
  <c r="W178" i="16"/>
  <c r="W177" i="16"/>
  <c r="W176" i="16"/>
  <c r="W170" i="16"/>
  <c r="W169" i="16"/>
  <c r="W168" i="16"/>
  <c r="W162" i="16"/>
  <c r="W161" i="16"/>
  <c r="W160" i="16"/>
  <c r="W150" i="16"/>
  <c r="W148" i="16"/>
  <c r="W182" i="16"/>
  <c r="W181" i="16"/>
  <c r="W180" i="16"/>
  <c r="W174" i="16"/>
  <c r="W173" i="16"/>
  <c r="W172" i="16"/>
  <c r="W166" i="16"/>
  <c r="W165" i="16"/>
  <c r="W164" i="16"/>
  <c r="W158" i="16"/>
  <c r="W157" i="16"/>
  <c r="W156" i="16"/>
  <c r="W154" i="16"/>
  <c r="W152" i="16"/>
  <c r="P95" i="21"/>
  <c r="O95" i="21"/>
  <c r="S88" i="9"/>
  <c r="N15" i="9"/>
  <c r="P15" i="9" s="1"/>
  <c r="F94" i="9"/>
  <c r="K94" i="9" s="1"/>
  <c r="M94" i="9" s="1"/>
  <c r="D95" i="9"/>
  <c r="K49" i="21"/>
  <c r="L35" i="17"/>
  <c r="O35" i="17" s="1"/>
  <c r="E59" i="17"/>
  <c r="E45" i="17"/>
  <c r="P32" i="8"/>
  <c r="R32" i="8" s="1"/>
  <c r="W87" i="8"/>
  <c r="R33" i="1"/>
  <c r="Q33" i="1"/>
  <c r="R23" i="1"/>
  <c r="D92" i="1" s="1"/>
  <c r="F92" i="1" s="1"/>
  <c r="K92" i="1" s="1"/>
  <c r="M92" i="1" s="1"/>
  <c r="H58" i="1"/>
  <c r="O33" i="1"/>
  <c r="M47" i="1"/>
  <c r="H47" i="1"/>
  <c r="Q32" i="7"/>
  <c r="O32" i="7"/>
  <c r="M48" i="7"/>
  <c r="N33" i="7"/>
  <c r="O33" i="7" s="1"/>
  <c r="N47" i="7"/>
  <c r="O47" i="7" s="1"/>
  <c r="N34" i="7"/>
  <c r="P34" i="7" s="1"/>
  <c r="R34" i="7" s="1"/>
  <c r="T34" i="7" s="1"/>
  <c r="V34" i="7" s="1"/>
  <c r="X34" i="7" s="1"/>
  <c r="Z34" i="7" s="1"/>
  <c r="AB34" i="7" s="1"/>
  <c r="AD34" i="7" s="1"/>
  <c r="AF34" i="7" s="1"/>
  <c r="AH34" i="7" s="1"/>
  <c r="AJ34" i="7" s="1"/>
  <c r="M40" i="7"/>
  <c r="P61" i="1"/>
  <c r="O61" i="1"/>
  <c r="M70" i="1"/>
  <c r="N70" i="1"/>
  <c r="N60" i="1"/>
  <c r="M60" i="1"/>
  <c r="M48" i="9"/>
  <c r="M33" i="9"/>
  <c r="K15" i="9"/>
  <c r="N61" i="9"/>
  <c r="M61" i="9"/>
  <c r="N33" i="9"/>
  <c r="O33" i="9" s="1"/>
  <c r="N61" i="7"/>
  <c r="M61" i="7"/>
  <c r="I7" i="12"/>
  <c r="F19" i="9"/>
  <c r="K21" i="8"/>
  <c r="N22" i="8"/>
  <c r="P22" i="8" s="1"/>
  <c r="K22" i="8"/>
  <c r="K28" i="8"/>
  <c r="N28" i="8"/>
  <c r="P28" i="8" s="1"/>
  <c r="N28" i="9"/>
  <c r="P28" i="9" s="1"/>
  <c r="K28" i="9"/>
  <c r="D9" i="9"/>
  <c r="N27" i="9"/>
  <c r="P27" i="9" s="1"/>
  <c r="K27" i="9"/>
  <c r="N22" i="9"/>
  <c r="P22" i="9" s="1"/>
  <c r="K22" i="9"/>
  <c r="D9" i="8"/>
  <c r="M33" i="7"/>
  <c r="D8" i="7"/>
  <c r="F8" i="7" s="1"/>
  <c r="K27" i="7"/>
  <c r="N27" i="7"/>
  <c r="P27" i="7" s="1"/>
  <c r="N22" i="7"/>
  <c r="P22" i="7" s="1"/>
  <c r="K22" i="7"/>
  <c r="N28" i="7"/>
  <c r="P28" i="7" s="1"/>
  <c r="K28" i="7"/>
  <c r="D8" i="8"/>
  <c r="D29" i="8" s="1"/>
  <c r="F29" i="8" s="1"/>
  <c r="D29" i="1"/>
  <c r="F29" i="1" s="1"/>
  <c r="F30" i="1"/>
  <c r="K18" i="8"/>
  <c r="D20" i="8"/>
  <c r="F20" i="8" s="1"/>
  <c r="K20" i="8" s="1"/>
  <c r="D11" i="8"/>
  <c r="D10" i="8"/>
  <c r="N60" i="18"/>
  <c r="M60" i="18"/>
  <c r="N55" i="18"/>
  <c r="M55" i="18"/>
  <c r="N34" i="18"/>
  <c r="M34" i="18"/>
  <c r="M45" i="18"/>
  <c r="N45" i="18"/>
  <c r="D6" i="8"/>
  <c r="S80" i="1"/>
  <c r="S87" i="1"/>
  <c r="S98" i="1"/>
  <c r="S96" i="1"/>
  <c r="S97" i="1"/>
  <c r="N43" i="18"/>
  <c r="M43" i="18"/>
  <c r="N58" i="1"/>
  <c r="M58" i="1"/>
  <c r="F9" i="1"/>
  <c r="N9" i="1" s="1"/>
  <c r="P9" i="1" s="1"/>
  <c r="M68" i="1"/>
  <c r="N57" i="18"/>
  <c r="M57" i="18"/>
  <c r="N58" i="18"/>
  <c r="M58" i="18"/>
  <c r="N48" i="18"/>
  <c r="M48" i="18"/>
  <c r="N12" i="7"/>
  <c r="P12" i="7" s="1"/>
  <c r="F41" i="7"/>
  <c r="K41" i="7" s="1"/>
  <c r="H41" i="7" s="1"/>
  <c r="K20" i="7"/>
  <c r="F19" i="7"/>
  <c r="K19" i="7" s="1"/>
  <c r="N61" i="18"/>
  <c r="M61" i="18"/>
  <c r="O91" i="9"/>
  <c r="Q156" i="16"/>
  <c r="R156" i="16"/>
  <c r="T156" i="16" s="1"/>
  <c r="V156" i="16" s="1"/>
  <c r="X156" i="16" s="1"/>
  <c r="Z156" i="16" s="1"/>
  <c r="AB156" i="16" s="1"/>
  <c r="AD156" i="16" s="1"/>
  <c r="AF156" i="16" s="1"/>
  <c r="AH156" i="16" s="1"/>
  <c r="AJ156" i="16" s="1"/>
  <c r="H160" i="16"/>
  <c r="K159" i="16"/>
  <c r="O157" i="16"/>
  <c r="P157" i="16"/>
  <c r="N158" i="16"/>
  <c r="M158" i="16"/>
  <c r="W147" i="16"/>
  <c r="W143" i="16"/>
  <c r="W139" i="16"/>
  <c r="W145" i="16"/>
  <c r="W141" i="16"/>
  <c r="W137" i="16"/>
  <c r="W146" i="16"/>
  <c r="W142" i="16"/>
  <c r="W138" i="16"/>
  <c r="W144" i="16"/>
  <c r="W136" i="16"/>
  <c r="W140" i="16"/>
  <c r="W187" i="16"/>
  <c r="W135" i="16"/>
  <c r="S91" i="9"/>
  <c r="N90" i="7"/>
  <c r="P90" i="7" s="1"/>
  <c r="Q90" i="7" s="1"/>
  <c r="M91" i="9"/>
  <c r="M46" i="7"/>
  <c r="N46" i="7"/>
  <c r="Q91" i="9"/>
  <c r="N46" i="9"/>
  <c r="M46" i="9"/>
  <c r="N53" i="1"/>
  <c r="O53" i="1" s="1"/>
  <c r="S88" i="7"/>
  <c r="S86" i="7"/>
  <c r="N45" i="1"/>
  <c r="M45" i="1"/>
  <c r="S72" i="1"/>
  <c r="S76" i="1"/>
  <c r="S32" i="1"/>
  <c r="S74" i="1"/>
  <c r="S78" i="1"/>
  <c r="S82" i="1"/>
  <c r="N46" i="1"/>
  <c r="M46" i="1"/>
  <c r="S80" i="9"/>
  <c r="S78" i="9"/>
  <c r="S79" i="9"/>
  <c r="S87" i="9"/>
  <c r="U31" i="9"/>
  <c r="U85" i="9" s="1"/>
  <c r="W88" i="8"/>
  <c r="W86" i="8"/>
  <c r="O84" i="9"/>
  <c r="S84" i="9"/>
  <c r="L127" i="17"/>
  <c r="E30" i="17"/>
  <c r="G3" i="17"/>
  <c r="L126" i="17"/>
  <c r="E110" i="17"/>
  <c r="Q84" i="9"/>
  <c r="E4" i="17"/>
  <c r="D3" i="16"/>
  <c r="D2" i="16" s="1"/>
  <c r="P82" i="17"/>
  <c r="AE23" i="17"/>
  <c r="Q31" i="16"/>
  <c r="R31" i="16"/>
  <c r="K38" i="16"/>
  <c r="P30" i="16"/>
  <c r="O30" i="16"/>
  <c r="M37" i="16"/>
  <c r="N37" i="16"/>
  <c r="M33" i="16"/>
  <c r="N33" i="16"/>
  <c r="K40" i="16"/>
  <c r="Q29" i="16"/>
  <c r="R29" i="16"/>
  <c r="K36" i="16"/>
  <c r="R27" i="16"/>
  <c r="Q27" i="16"/>
  <c r="P32" i="16"/>
  <c r="O32" i="16"/>
  <c r="O34" i="16"/>
  <c r="P34" i="16"/>
  <c r="M35" i="16"/>
  <c r="N35" i="16"/>
  <c r="X26" i="16"/>
  <c r="W26" i="16"/>
  <c r="X21" i="16"/>
  <c r="W21" i="16"/>
  <c r="W22" i="16"/>
  <c r="X22" i="16"/>
  <c r="W25" i="16"/>
  <c r="X25" i="16"/>
  <c r="X24" i="16"/>
  <c r="W24" i="16"/>
  <c r="X28" i="16"/>
  <c r="W28" i="16"/>
  <c r="X20" i="16"/>
  <c r="W20" i="16"/>
  <c r="X23" i="16"/>
  <c r="W23" i="16"/>
  <c r="W19" i="16"/>
  <c r="X19" i="16"/>
  <c r="W18" i="16"/>
  <c r="Y17" i="16"/>
  <c r="U87" i="9"/>
  <c r="V87" i="9"/>
  <c r="V86" i="1"/>
  <c r="D11" i="9"/>
  <c r="F11" i="9" s="1"/>
  <c r="M11" i="24" s="1"/>
  <c r="F19" i="8"/>
  <c r="N19" i="8" s="1"/>
  <c r="P19" i="8" s="1"/>
  <c r="R89" i="9"/>
  <c r="Q89" i="9"/>
  <c r="D6" i="9"/>
  <c r="F6" i="9" s="1"/>
  <c r="K10" i="1"/>
  <c r="N10" i="1"/>
  <c r="P10" i="1" s="1"/>
  <c r="F57" i="1"/>
  <c r="K57" i="1" s="1"/>
  <c r="H57" i="1" s="1"/>
  <c r="B2" i="10"/>
  <c r="C2" i="10" s="1"/>
  <c r="D2" i="10" s="1"/>
  <c r="E2" i="10" s="1"/>
  <c r="C9" i="13"/>
  <c r="N8" i="1"/>
  <c r="P8" i="1" s="1"/>
  <c r="K11" i="1"/>
  <c r="F62" i="1"/>
  <c r="K62" i="1" s="1"/>
  <c r="H62" i="1" s="1"/>
  <c r="N11" i="1"/>
  <c r="P11" i="1" s="1"/>
  <c r="K17" i="1"/>
  <c r="N17" i="1"/>
  <c r="P17" i="1" s="1"/>
  <c r="K20" i="1"/>
  <c r="N20" i="1"/>
  <c r="P20" i="1" s="1"/>
  <c r="K5" i="1"/>
  <c r="N5" i="1"/>
  <c r="P5" i="1" s="1"/>
  <c r="M90" i="1"/>
  <c r="N90" i="1"/>
  <c r="M52" i="1"/>
  <c r="N52" i="1"/>
  <c r="K14" i="1"/>
  <c r="N14" i="1"/>
  <c r="P14" i="1" s="1"/>
  <c r="K13" i="1"/>
  <c r="N13" i="1"/>
  <c r="P13" i="1" s="1"/>
  <c r="K19" i="1"/>
  <c r="N19" i="1"/>
  <c r="P19" i="1" s="1"/>
  <c r="D10" i="9"/>
  <c r="F10" i="9" s="1"/>
  <c r="M10" i="24" s="1"/>
  <c r="R83" i="1"/>
  <c r="Q83" i="1"/>
  <c r="K14" i="7"/>
  <c r="N14" i="7"/>
  <c r="P14" i="7" s="1"/>
  <c r="D17" i="8"/>
  <c r="F17" i="8" s="1"/>
  <c r="D14" i="8"/>
  <c r="F14" i="8" s="1"/>
  <c r="K15" i="8"/>
  <c r="N15" i="8"/>
  <c r="P15" i="8" s="1"/>
  <c r="F5" i="7"/>
  <c r="D11" i="7"/>
  <c r="F11" i="7" s="1"/>
  <c r="N14" i="9"/>
  <c r="P14" i="9" s="1"/>
  <c r="K14" i="9"/>
  <c r="F5" i="9"/>
  <c r="D8" i="9"/>
  <c r="F8" i="9" s="1"/>
  <c r="F115" i="9" s="1"/>
  <c r="K115" i="9" s="1"/>
  <c r="N53" i="7"/>
  <c r="K6" i="1"/>
  <c r="N6" i="1"/>
  <c r="P6" i="1" s="1"/>
  <c r="F51" i="1"/>
  <c r="K51" i="1" s="1"/>
  <c r="M51" i="1" s="1"/>
  <c r="D9" i="7"/>
  <c r="D10" i="7"/>
  <c r="F10" i="7" s="1"/>
  <c r="N10" i="7" s="1"/>
  <c r="P10" i="7" s="1"/>
  <c r="D6" i="7"/>
  <c r="F6" i="7" s="1"/>
  <c r="N6" i="7" s="1"/>
  <c r="P6" i="7" s="1"/>
  <c r="E8" i="13"/>
  <c r="E10" i="13" s="1"/>
  <c r="E11" i="13" s="1"/>
  <c r="E13" i="13" s="1"/>
  <c r="F4" i="12"/>
  <c r="N20" i="9"/>
  <c r="P20" i="9" s="1"/>
  <c r="K20" i="9"/>
  <c r="N21" i="9"/>
  <c r="P21" i="9" s="1"/>
  <c r="K21" i="9"/>
  <c r="N18" i="9"/>
  <c r="P18" i="9" s="1"/>
  <c r="K18" i="9"/>
  <c r="K21" i="7"/>
  <c r="N21" i="7"/>
  <c r="P21" i="7" s="1"/>
  <c r="N18" i="7"/>
  <c r="P18" i="7" s="1"/>
  <c r="K18" i="7"/>
  <c r="M34" i="7"/>
  <c r="N4" i="9"/>
  <c r="P4" i="9" s="1"/>
  <c r="F108" i="9"/>
  <c r="K108" i="9" s="1"/>
  <c r="F71" i="9"/>
  <c r="K71" i="9" s="1"/>
  <c r="F63" i="7"/>
  <c r="K63" i="7" s="1"/>
  <c r="H63" i="7" s="1"/>
  <c r="N4" i="7"/>
  <c r="P4" i="7" s="1"/>
  <c r="F41" i="8"/>
  <c r="K41" i="8" s="1"/>
  <c r="H41" i="8" s="1"/>
  <c r="F12" i="12"/>
  <c r="N12" i="8"/>
  <c r="P12" i="8" s="1"/>
  <c r="S16" i="12"/>
  <c r="R107" i="9"/>
  <c r="Q107" i="9"/>
  <c r="W57" i="8"/>
  <c r="R96" i="8"/>
  <c r="Q96" i="8"/>
  <c r="M53" i="9"/>
  <c r="N53" i="9"/>
  <c r="P53" i="9" s="1"/>
  <c r="M52" i="7"/>
  <c r="N52" i="7"/>
  <c r="O52" i="7" s="1"/>
  <c r="N52" i="9"/>
  <c r="P52" i="9" s="1"/>
  <c r="M52" i="9"/>
  <c r="B39" i="10"/>
  <c r="C39" i="10" s="1"/>
  <c r="F70" i="9"/>
  <c r="K70" i="9" s="1"/>
  <c r="F35" i="9"/>
  <c r="K4" i="7"/>
  <c r="F69" i="7"/>
  <c r="K69" i="7" s="1"/>
  <c r="M69" i="7" s="1"/>
  <c r="F35" i="7"/>
  <c r="K35" i="7" s="1"/>
  <c r="H35" i="7" s="1"/>
  <c r="N48" i="9"/>
  <c r="O48" i="9" s="1"/>
  <c r="B37" i="10"/>
  <c r="C37" i="10" s="1"/>
  <c r="G4" i="9"/>
  <c r="F13" i="9"/>
  <c r="D17" i="9"/>
  <c r="F17" i="9" s="1"/>
  <c r="M17" i="24" s="1"/>
  <c r="F13" i="7"/>
  <c r="D17" i="7"/>
  <c r="F17" i="7" s="1"/>
  <c r="F59" i="7" s="1"/>
  <c r="K59" i="7" s="1"/>
  <c r="H59" i="7" s="1"/>
  <c r="Q73" i="7"/>
  <c r="O73" i="7"/>
  <c r="O80" i="8"/>
  <c r="Q75" i="9"/>
  <c r="O75" i="9"/>
  <c r="K12" i="8"/>
  <c r="S75" i="9"/>
  <c r="Q80" i="8"/>
  <c r="S80" i="8"/>
  <c r="Q74" i="8"/>
  <c r="S74" i="8"/>
  <c r="O74" i="8"/>
  <c r="U80" i="8"/>
  <c r="N40" i="7"/>
  <c r="O40" i="7" s="1"/>
  <c r="U74" i="8"/>
  <c r="K4" i="9"/>
  <c r="S83" i="8"/>
  <c r="O83" i="8"/>
  <c r="N66" i="9"/>
  <c r="O66" i="9" s="1"/>
  <c r="N67" i="7"/>
  <c r="P67" i="7" s="1"/>
  <c r="O82" i="9"/>
  <c r="Q74" i="9"/>
  <c r="O75" i="7"/>
  <c r="Q75" i="7"/>
  <c r="N68" i="7"/>
  <c r="O68" i="7" s="1"/>
  <c r="M65" i="7"/>
  <c r="O74" i="9"/>
  <c r="S76" i="9"/>
  <c r="Q82" i="9"/>
  <c r="N47" i="1"/>
  <c r="P47" i="1" s="1"/>
  <c r="S83" i="9"/>
  <c r="O76" i="9"/>
  <c r="Q83" i="9"/>
  <c r="S82" i="9"/>
  <c r="S74" i="9"/>
  <c r="O83" i="9"/>
  <c r="Q76" i="9"/>
  <c r="N64" i="7"/>
  <c r="O64" i="7" s="1"/>
  <c r="Q83" i="8"/>
  <c r="U83" i="8"/>
  <c r="Q81" i="9"/>
  <c r="O81" i="9"/>
  <c r="N48" i="7"/>
  <c r="O48" i="7" s="1"/>
  <c r="N66" i="7"/>
  <c r="P66" i="7" s="1"/>
  <c r="S81" i="9"/>
  <c r="U81" i="9"/>
  <c r="M47" i="7"/>
  <c r="M68" i="9"/>
  <c r="O77" i="9"/>
  <c r="S77" i="9"/>
  <c r="Q77" i="9"/>
  <c r="F42" i="1"/>
  <c r="K42" i="1" s="1"/>
  <c r="H42" i="1" s="1"/>
  <c r="K8" i="1"/>
  <c r="M67" i="1"/>
  <c r="N67" i="1"/>
  <c r="M40" i="1"/>
  <c r="N40" i="1"/>
  <c r="M64" i="1"/>
  <c r="N64" i="1"/>
  <c r="M65" i="1"/>
  <c r="N65" i="1"/>
  <c r="M66" i="1"/>
  <c r="N66" i="1"/>
  <c r="M63" i="1"/>
  <c r="N63" i="1"/>
  <c r="M48" i="1"/>
  <c r="N48" i="1"/>
  <c r="N34" i="1"/>
  <c r="M34" i="1"/>
  <c r="U88" i="1"/>
  <c r="U82" i="1"/>
  <c r="U81" i="1"/>
  <c r="U80" i="1"/>
  <c r="U79" i="1"/>
  <c r="U78" i="1"/>
  <c r="U77" i="1"/>
  <c r="U76" i="1"/>
  <c r="U75" i="1"/>
  <c r="U74" i="1"/>
  <c r="U73" i="1"/>
  <c r="U72" i="1"/>
  <c r="N47" i="9"/>
  <c r="M47" i="9"/>
  <c r="N35" i="1"/>
  <c r="M35" i="1"/>
  <c r="N69" i="1"/>
  <c r="M69" i="1"/>
  <c r="P68" i="1"/>
  <c r="O68" i="1"/>
  <c r="P69" i="8"/>
  <c r="O69" i="8"/>
  <c r="O70" i="8"/>
  <c r="P70" i="8"/>
  <c r="P70" i="7"/>
  <c r="O70" i="7"/>
  <c r="P32" i="9"/>
  <c r="O32" i="9"/>
  <c r="P68" i="9"/>
  <c r="O68" i="9"/>
  <c r="M34" i="9"/>
  <c r="N34" i="9"/>
  <c r="M40" i="9"/>
  <c r="N40" i="9"/>
  <c r="N65" i="9"/>
  <c r="M65" i="9"/>
  <c r="N64" i="9"/>
  <c r="M64" i="9"/>
  <c r="N69" i="9"/>
  <c r="M69" i="9"/>
  <c r="W83" i="8"/>
  <c r="W82" i="8"/>
  <c r="W81" i="8"/>
  <c r="W80" i="8"/>
  <c r="W79" i="8"/>
  <c r="W78" i="8"/>
  <c r="W77" i="8"/>
  <c r="W76" i="8"/>
  <c r="W75" i="8"/>
  <c r="W74" i="8"/>
  <c r="W73" i="8"/>
  <c r="W72" i="8"/>
  <c r="W56" i="8"/>
  <c r="W55" i="8"/>
  <c r="Y31" i="8"/>
  <c r="Y84" i="8" s="1"/>
  <c r="P33" i="8"/>
  <c r="O33" i="8"/>
  <c r="S83" i="7"/>
  <c r="S82" i="7"/>
  <c r="S81" i="7"/>
  <c r="S80" i="7"/>
  <c r="S79" i="7"/>
  <c r="S78" i="7"/>
  <c r="S77" i="7"/>
  <c r="S76" i="7"/>
  <c r="S75" i="7"/>
  <c r="S74" i="7"/>
  <c r="S73" i="7"/>
  <c r="S72" i="7"/>
  <c r="S32" i="7"/>
  <c r="U31" i="7"/>
  <c r="P65" i="7"/>
  <c r="O65" i="7"/>
  <c r="W31" i="1"/>
  <c r="U32" i="1"/>
  <c r="F38" i="1"/>
  <c r="K38" i="1" s="1"/>
  <c r="H38" i="1" s="1"/>
  <c r="F37" i="1"/>
  <c r="K37" i="1" s="1"/>
  <c r="H37" i="1" s="1"/>
  <c r="F56" i="1"/>
  <c r="K56" i="1" s="1"/>
  <c r="H56" i="1" s="1"/>
  <c r="F36" i="1"/>
  <c r="K36" i="1" s="1"/>
  <c r="H36" i="1" s="1"/>
  <c r="F44" i="1"/>
  <c r="K44" i="1" s="1"/>
  <c r="H44" i="1" s="1"/>
  <c r="F55" i="1"/>
  <c r="K55" i="1" s="1"/>
  <c r="H55" i="1" s="1"/>
  <c r="F54" i="1"/>
  <c r="K54" i="1" s="1"/>
  <c r="H54" i="1" s="1"/>
  <c r="F39" i="1"/>
  <c r="K39" i="1" s="1"/>
  <c r="M48" i="26" l="1"/>
  <c r="N48" i="26"/>
  <c r="U86" i="1"/>
  <c r="U98" i="1"/>
  <c r="U87" i="1"/>
  <c r="M5" i="24"/>
  <c r="F38" i="9"/>
  <c r="N92" i="1"/>
  <c r="L59" i="1"/>
  <c r="Y311" i="16"/>
  <c r="Y303" i="16"/>
  <c r="Y295" i="16"/>
  <c r="Y287" i="16"/>
  <c r="Y279" i="16"/>
  <c r="Y271" i="16"/>
  <c r="Y263" i="16"/>
  <c r="Y255" i="16"/>
  <c r="Y316" i="16"/>
  <c r="Y308" i="16"/>
  <c r="Y300" i="16"/>
  <c r="Y292" i="16"/>
  <c r="Y284" i="16"/>
  <c r="Y276" i="16"/>
  <c r="Y268" i="16"/>
  <c r="Y260" i="16"/>
  <c r="Y252" i="16"/>
  <c r="Y310" i="16"/>
  <c r="Y302" i="16"/>
  <c r="Y294" i="16"/>
  <c r="Y286" i="16"/>
  <c r="Y278" i="16"/>
  <c r="Y270" i="16"/>
  <c r="Y262" i="16"/>
  <c r="Y254" i="16"/>
  <c r="Y315" i="16"/>
  <c r="Y307" i="16"/>
  <c r="Y299" i="16"/>
  <c r="Y291" i="16"/>
  <c r="Y283" i="16"/>
  <c r="Y275" i="16"/>
  <c r="Y267" i="16"/>
  <c r="Y259" i="16"/>
  <c r="Y317" i="16"/>
  <c r="Y309" i="16"/>
  <c r="Y301" i="16"/>
  <c r="Y293" i="16"/>
  <c r="Y285" i="16"/>
  <c r="Y277" i="16"/>
  <c r="Y269" i="16"/>
  <c r="Y261" i="16"/>
  <c r="Y253" i="16"/>
  <c r="Y297" i="16"/>
  <c r="Y305" i="16"/>
  <c r="Y313" i="16"/>
  <c r="Y281" i="16"/>
  <c r="Y245" i="16"/>
  <c r="Y237" i="16"/>
  <c r="Y229" i="16"/>
  <c r="Y221" i="16"/>
  <c r="Y306" i="16"/>
  <c r="Y296" i="16"/>
  <c r="Y274" i="16"/>
  <c r="Y264" i="16"/>
  <c r="Y250" i="16"/>
  <c r="Y242" i="16"/>
  <c r="Y234" i="16"/>
  <c r="Y226" i="16"/>
  <c r="Y289" i="16"/>
  <c r="Y257" i="16"/>
  <c r="Y251" i="16"/>
  <c r="Y247" i="16"/>
  <c r="Y239" i="16"/>
  <c r="Y231" i="16"/>
  <c r="Y223" i="16"/>
  <c r="Y215" i="16"/>
  <c r="Y224" i="16"/>
  <c r="Y218" i="16"/>
  <c r="Y213" i="16"/>
  <c r="Y266" i="16"/>
  <c r="Y248" i="16"/>
  <c r="Y312" i="16"/>
  <c r="Y282" i="16"/>
  <c r="Y280" i="16"/>
  <c r="Y256" i="16"/>
  <c r="Y240" i="16"/>
  <c r="Y205" i="16"/>
  <c r="Y197" i="16"/>
  <c r="Y265" i="16"/>
  <c r="Y258" i="16"/>
  <c r="Y244" i="16"/>
  <c r="Y243" i="16"/>
  <c r="Y233" i="16"/>
  <c r="Y222" i="16"/>
  <c r="Y220" i="16"/>
  <c r="Y202" i="16"/>
  <c r="Y194" i="16"/>
  <c r="Y314" i="16"/>
  <c r="Y304" i="16"/>
  <c r="Y290" i="16"/>
  <c r="Y272" i="16"/>
  <c r="Y232" i="16"/>
  <c r="Y219" i="16"/>
  <c r="Y214" i="16"/>
  <c r="Y210" i="16"/>
  <c r="Y207" i="16"/>
  <c r="Y199" i="16"/>
  <c r="Y191" i="16"/>
  <c r="Y246" i="16"/>
  <c r="Y227" i="16"/>
  <c r="Y217" i="16"/>
  <c r="Y209" i="16"/>
  <c r="Y198" i="16"/>
  <c r="Y208" i="16"/>
  <c r="Y249" i="16"/>
  <c r="Y201" i="16"/>
  <c r="Y190" i="16"/>
  <c r="Y200" i="16"/>
  <c r="Y288" i="16"/>
  <c r="Y273" i="16"/>
  <c r="Y236" i="16"/>
  <c r="Y228" i="16"/>
  <c r="Y211" i="16"/>
  <c r="Y204" i="16"/>
  <c r="Y203" i="16"/>
  <c r="Y193" i="16"/>
  <c r="Y241" i="16"/>
  <c r="Y230" i="16"/>
  <c r="Y225" i="16"/>
  <c r="Y216" i="16"/>
  <c r="Y192" i="16"/>
  <c r="Y196" i="16"/>
  <c r="Y195" i="16"/>
  <c r="Y235" i="16"/>
  <c r="Y298" i="16"/>
  <c r="Y238" i="16"/>
  <c r="Y212" i="16"/>
  <c r="Y206" i="16"/>
  <c r="R271" i="16"/>
  <c r="T271" i="16" s="1"/>
  <c r="V271" i="16" s="1"/>
  <c r="X271" i="16" s="1"/>
  <c r="Z271" i="16" s="1"/>
  <c r="AB271" i="16" s="1"/>
  <c r="AD271" i="16" s="1"/>
  <c r="AF271" i="16" s="1"/>
  <c r="AH271" i="16" s="1"/>
  <c r="AJ271" i="16" s="1"/>
  <c r="Q271" i="16"/>
  <c r="N273" i="16"/>
  <c r="M273" i="16"/>
  <c r="K274" i="16"/>
  <c r="H275" i="16"/>
  <c r="F274" i="16"/>
  <c r="O272" i="16"/>
  <c r="P272" i="16"/>
  <c r="P58" i="27"/>
  <c r="O58" i="27"/>
  <c r="U96" i="1"/>
  <c r="H47" i="26"/>
  <c r="N47" i="26"/>
  <c r="M47" i="26"/>
  <c r="M40" i="26"/>
  <c r="N40" i="26"/>
  <c r="H40" i="26"/>
  <c r="F14" i="28"/>
  <c r="I14" i="28" s="1"/>
  <c r="F12" i="28"/>
  <c r="I13" i="28"/>
  <c r="F17" i="28"/>
  <c r="F54" i="28" s="1"/>
  <c r="H54" i="28" s="1"/>
  <c r="I54" i="28" s="1"/>
  <c r="T106" i="26"/>
  <c r="S106" i="26"/>
  <c r="M46" i="26"/>
  <c r="N46" i="26"/>
  <c r="H46" i="26"/>
  <c r="U112" i="9"/>
  <c r="N64" i="26"/>
  <c r="M64" i="26"/>
  <c r="P67" i="26"/>
  <c r="O67" i="26"/>
  <c r="N63" i="26"/>
  <c r="H63" i="26"/>
  <c r="M63" i="26"/>
  <c r="N90" i="26"/>
  <c r="M90" i="26"/>
  <c r="O48" i="27"/>
  <c r="P48" i="27"/>
  <c r="Q107" i="26"/>
  <c r="R107" i="26"/>
  <c r="P70" i="26"/>
  <c r="O70" i="26"/>
  <c r="P103" i="26"/>
  <c r="O103" i="26"/>
  <c r="O41" i="1"/>
  <c r="U87" i="7"/>
  <c r="U84" i="7"/>
  <c r="H35" i="26"/>
  <c r="N35" i="26"/>
  <c r="M35" i="26"/>
  <c r="F7" i="26"/>
  <c r="D27" i="26"/>
  <c r="F27" i="26" s="1"/>
  <c r="P66" i="26"/>
  <c r="O66" i="26"/>
  <c r="M61" i="26"/>
  <c r="N61" i="26"/>
  <c r="H61" i="26"/>
  <c r="L21" i="27"/>
  <c r="N21" i="27" s="1"/>
  <c r="I21" i="27"/>
  <c r="N61" i="27"/>
  <c r="M61" i="27"/>
  <c r="O53" i="24"/>
  <c r="N68" i="26"/>
  <c r="M68" i="26"/>
  <c r="N34" i="26"/>
  <c r="H34" i="26"/>
  <c r="M34" i="26"/>
  <c r="K70" i="24"/>
  <c r="R69" i="26"/>
  <c r="Q69" i="26"/>
  <c r="O57" i="27"/>
  <c r="P57" i="27"/>
  <c r="P60" i="27"/>
  <c r="O60" i="27"/>
  <c r="N65" i="26"/>
  <c r="M65" i="26"/>
  <c r="I18" i="27"/>
  <c r="L18" i="27"/>
  <c r="N18" i="27" s="1"/>
  <c r="K35" i="9"/>
  <c r="H35" i="9" s="1"/>
  <c r="P67" i="9"/>
  <c r="O67" i="9"/>
  <c r="P45" i="27"/>
  <c r="O45" i="27"/>
  <c r="M115" i="9"/>
  <c r="N115" i="9"/>
  <c r="N59" i="1"/>
  <c r="P59" i="1" s="1"/>
  <c r="M59" i="1"/>
  <c r="O113" i="9"/>
  <c r="P113" i="9"/>
  <c r="P34" i="27"/>
  <c r="O34" i="27"/>
  <c r="D16" i="26"/>
  <c r="D19" i="26" s="1"/>
  <c r="D15" i="26"/>
  <c r="F15" i="26" s="1"/>
  <c r="D13" i="26"/>
  <c r="F12" i="26"/>
  <c r="M114" i="9"/>
  <c r="N114" i="9"/>
  <c r="M41" i="9"/>
  <c r="N41" i="9"/>
  <c r="P41" i="9" s="1"/>
  <c r="R41" i="9" s="1"/>
  <c r="T41" i="9" s="1"/>
  <c r="V41" i="9" s="1"/>
  <c r="X41" i="9" s="1"/>
  <c r="Z41" i="9" s="1"/>
  <c r="AB41" i="9" s="1"/>
  <c r="AD41" i="9" s="1"/>
  <c r="AF41" i="9" s="1"/>
  <c r="AH41" i="9" s="1"/>
  <c r="AJ41" i="9" s="1"/>
  <c r="P43" i="27"/>
  <c r="O43" i="27"/>
  <c r="R53" i="24"/>
  <c r="T53" i="24" s="1"/>
  <c r="N63" i="9"/>
  <c r="O63" i="9" s="1"/>
  <c r="S73" i="9"/>
  <c r="E19" i="17"/>
  <c r="G19" i="17" s="1"/>
  <c r="M19" i="24"/>
  <c r="U73" i="9"/>
  <c r="O10" i="24"/>
  <c r="N10" i="24"/>
  <c r="N104" i="9"/>
  <c r="M104" i="9"/>
  <c r="Q73" i="9"/>
  <c r="N15" i="24"/>
  <c r="O15" i="24"/>
  <c r="O20" i="24"/>
  <c r="N20" i="24"/>
  <c r="N17" i="24"/>
  <c r="O17" i="24"/>
  <c r="N5" i="24"/>
  <c r="O5" i="24"/>
  <c r="O21" i="24"/>
  <c r="N21" i="24"/>
  <c r="E13" i="17"/>
  <c r="G13" i="17" s="1"/>
  <c r="M13" i="24"/>
  <c r="O73" i="9"/>
  <c r="F43" i="9"/>
  <c r="K43" i="9" s="1"/>
  <c r="N43" i="9" s="1"/>
  <c r="M8" i="24"/>
  <c r="D145" i="9"/>
  <c r="M6" i="24"/>
  <c r="N11" i="24"/>
  <c r="O11" i="24"/>
  <c r="M63" i="9"/>
  <c r="O14" i="24"/>
  <c r="N14" i="24"/>
  <c r="O18" i="24"/>
  <c r="N18" i="24"/>
  <c r="N4" i="24"/>
  <c r="O4" i="24"/>
  <c r="Q66" i="24"/>
  <c r="O48" i="24"/>
  <c r="P48" i="24"/>
  <c r="D4" i="16"/>
  <c r="D5" i="16" s="1"/>
  <c r="D7" i="16" s="1"/>
  <c r="D8" i="16" s="1"/>
  <c r="D10" i="16" s="1"/>
  <c r="D11" i="16" s="1"/>
  <c r="D12" i="16" s="1"/>
  <c r="D6" i="16"/>
  <c r="H59" i="24"/>
  <c r="L59" i="24"/>
  <c r="P64" i="24"/>
  <c r="O64" i="24"/>
  <c r="P67" i="24"/>
  <c r="O67" i="24"/>
  <c r="D118" i="24"/>
  <c r="H118" i="24" s="1"/>
  <c r="L41" i="24"/>
  <c r="P38" i="24"/>
  <c r="O38" i="24"/>
  <c r="K41" i="24"/>
  <c r="P69" i="24"/>
  <c r="O69" i="24"/>
  <c r="M59" i="24"/>
  <c r="N59" i="24"/>
  <c r="O59" i="24" s="1"/>
  <c r="I70" i="12"/>
  <c r="I78" i="12"/>
  <c r="W84" i="1"/>
  <c r="P86" i="9"/>
  <c r="O86" i="9"/>
  <c r="N52" i="21"/>
  <c r="P52" i="21" s="1"/>
  <c r="P85" i="7"/>
  <c r="O85" i="7"/>
  <c r="U84" i="1"/>
  <c r="P85" i="1"/>
  <c r="O85" i="1"/>
  <c r="P85" i="8"/>
  <c r="O85" i="8"/>
  <c r="S53" i="24"/>
  <c r="T66" i="24"/>
  <c r="S66" i="24"/>
  <c r="P43" i="1"/>
  <c r="O43" i="1"/>
  <c r="T50" i="24"/>
  <c r="S50" i="24"/>
  <c r="N66" i="21"/>
  <c r="O66" i="21" s="1"/>
  <c r="F59" i="9"/>
  <c r="K59" i="9" s="1"/>
  <c r="H59" i="9" s="1"/>
  <c r="N65" i="21"/>
  <c r="O65" i="21" s="1"/>
  <c r="N63" i="21"/>
  <c r="O63" i="21" s="1"/>
  <c r="N8" i="7"/>
  <c r="P8" i="7" s="1"/>
  <c r="F43" i="7"/>
  <c r="K43" i="7" s="1"/>
  <c r="N68" i="21"/>
  <c r="P68" i="21" s="1"/>
  <c r="M38" i="21"/>
  <c r="N93" i="7"/>
  <c r="P93" i="7" s="1"/>
  <c r="Q32" i="8"/>
  <c r="P33" i="7"/>
  <c r="Q33" i="7" s="1"/>
  <c r="H38" i="21"/>
  <c r="H39" i="1"/>
  <c r="M3" i="22"/>
  <c r="M93" i="8"/>
  <c r="R95" i="21"/>
  <c r="Q95" i="21"/>
  <c r="P93" i="1"/>
  <c r="O93" i="1"/>
  <c r="D13" i="19"/>
  <c r="D15" i="19"/>
  <c r="F15" i="19" s="1"/>
  <c r="I15" i="19" s="1"/>
  <c r="G12" i="19"/>
  <c r="F12" i="19"/>
  <c r="D16" i="19"/>
  <c r="M37" i="18"/>
  <c r="N37" i="18"/>
  <c r="U76" i="9"/>
  <c r="D23" i="1"/>
  <c r="F23" i="1" s="1"/>
  <c r="N23" i="1" s="1"/>
  <c r="P23" i="1" s="1"/>
  <c r="O38" i="21"/>
  <c r="P38" i="21"/>
  <c r="M69" i="21"/>
  <c r="N69" i="21"/>
  <c r="F12" i="20"/>
  <c r="D13" i="20"/>
  <c r="D16" i="20"/>
  <c r="D19" i="20" s="1"/>
  <c r="D15" i="20"/>
  <c r="F15" i="20" s="1"/>
  <c r="I15" i="20" s="1"/>
  <c r="G12" i="20"/>
  <c r="J41" i="21"/>
  <c r="L41" i="21" s="1"/>
  <c r="R96" i="21"/>
  <c r="Q96" i="21"/>
  <c r="Y184" i="16"/>
  <c r="Y180" i="16"/>
  <c r="Y176" i="16"/>
  <c r="Y172" i="16"/>
  <c r="Y168" i="16"/>
  <c r="Y164" i="16"/>
  <c r="Y160" i="16"/>
  <c r="Y156" i="16"/>
  <c r="Y185" i="16"/>
  <c r="Y179" i="16"/>
  <c r="Y178" i="16"/>
  <c r="Y177" i="16"/>
  <c r="Y171" i="16"/>
  <c r="Y170" i="16"/>
  <c r="Y169" i="16"/>
  <c r="Y163" i="16"/>
  <c r="Y162" i="16"/>
  <c r="Y161" i="16"/>
  <c r="Y154" i="16"/>
  <c r="Y150" i="16"/>
  <c r="Y183" i="16"/>
  <c r="Y182" i="16"/>
  <c r="Y181" i="16"/>
  <c r="Y175" i="16"/>
  <c r="Y174" i="16"/>
  <c r="Y173" i="16"/>
  <c r="Y167" i="16"/>
  <c r="Y166" i="16"/>
  <c r="Y165" i="16"/>
  <c r="Y159" i="16"/>
  <c r="Y158" i="16"/>
  <c r="Y157" i="16"/>
  <c r="Y152" i="16"/>
  <c r="Y148" i="16"/>
  <c r="Y155" i="16"/>
  <c r="Y153" i="16"/>
  <c r="Y151" i="16"/>
  <c r="Y149" i="16"/>
  <c r="Y186" i="16"/>
  <c r="H47" i="21"/>
  <c r="M47" i="21"/>
  <c r="N47" i="21"/>
  <c r="N58" i="21"/>
  <c r="H58" i="21"/>
  <c r="L58" i="21"/>
  <c r="M58" i="21"/>
  <c r="U77" i="9"/>
  <c r="N94" i="9"/>
  <c r="P94" i="9" s="1"/>
  <c r="P33" i="9"/>
  <c r="R33" i="9" s="1"/>
  <c r="N49" i="21"/>
  <c r="M49" i="21"/>
  <c r="H49" i="21"/>
  <c r="G130" i="17"/>
  <c r="O130" i="17"/>
  <c r="E131" i="17"/>
  <c r="I131" i="17" s="1"/>
  <c r="L131" i="17" s="1"/>
  <c r="Q35" i="17"/>
  <c r="R35" i="17"/>
  <c r="L3" i="17"/>
  <c r="O3" i="17" s="1"/>
  <c r="U75" i="9"/>
  <c r="U88" i="9"/>
  <c r="Y45" i="8"/>
  <c r="Y46" i="8"/>
  <c r="Y87" i="8"/>
  <c r="P93" i="8"/>
  <c r="O93" i="8"/>
  <c r="P47" i="7"/>
  <c r="R47" i="7" s="1"/>
  <c r="T33" i="1"/>
  <c r="S33" i="1"/>
  <c r="O34" i="7"/>
  <c r="Q41" i="9"/>
  <c r="Q34" i="7"/>
  <c r="S34" i="7"/>
  <c r="L59" i="7"/>
  <c r="M41" i="7"/>
  <c r="N63" i="7"/>
  <c r="O63" i="7" s="1"/>
  <c r="K19" i="9"/>
  <c r="P92" i="1"/>
  <c r="O92" i="1"/>
  <c r="F42" i="7"/>
  <c r="K42" i="7" s="1"/>
  <c r="H42" i="7" s="1"/>
  <c r="O41" i="9"/>
  <c r="R61" i="1"/>
  <c r="Q61" i="1"/>
  <c r="F50" i="1"/>
  <c r="K50" i="1" s="1"/>
  <c r="H50" i="1" s="1"/>
  <c r="F54" i="7"/>
  <c r="K54" i="7" s="1"/>
  <c r="H54" i="7" s="1"/>
  <c r="F39" i="7"/>
  <c r="K39" i="7" s="1"/>
  <c r="P60" i="1"/>
  <c r="O60" i="1"/>
  <c r="O70" i="1"/>
  <c r="P70" i="1"/>
  <c r="N19" i="9"/>
  <c r="P19" i="9" s="1"/>
  <c r="M35" i="9"/>
  <c r="F62" i="9"/>
  <c r="K62" i="9" s="1"/>
  <c r="H62" i="9" s="1"/>
  <c r="F60" i="9"/>
  <c r="K60" i="9" s="1"/>
  <c r="H60" i="9" s="1"/>
  <c r="P61" i="9"/>
  <c r="O61" i="9"/>
  <c r="N11" i="7"/>
  <c r="P11" i="7" s="1"/>
  <c r="F60" i="7"/>
  <c r="K60" i="7" s="1"/>
  <c r="H60" i="7" s="1"/>
  <c r="P61" i="7"/>
  <c r="O61" i="7"/>
  <c r="D29" i="7"/>
  <c r="F29" i="7" s="1"/>
  <c r="K29" i="7" s="1"/>
  <c r="F55" i="7"/>
  <c r="K55" i="7" s="1"/>
  <c r="H55" i="7" s="1"/>
  <c r="K8" i="7"/>
  <c r="D30" i="7"/>
  <c r="F30" i="7" s="1"/>
  <c r="N30" i="7" s="1"/>
  <c r="P30" i="7" s="1"/>
  <c r="D30" i="9"/>
  <c r="F30" i="9" s="1"/>
  <c r="M30" i="24" s="1"/>
  <c r="F9" i="9"/>
  <c r="M9" i="24" s="1"/>
  <c r="D29" i="9"/>
  <c r="F29" i="9" s="1"/>
  <c r="M29" i="24" s="1"/>
  <c r="N29" i="8"/>
  <c r="P29" i="8" s="1"/>
  <c r="K29" i="8"/>
  <c r="D30" i="8"/>
  <c r="F30" i="8" s="1"/>
  <c r="F9" i="7"/>
  <c r="N9" i="7" s="1"/>
  <c r="P9" i="7" s="1"/>
  <c r="K29" i="1"/>
  <c r="N29" i="1"/>
  <c r="P29" i="1" s="1"/>
  <c r="F49" i="1"/>
  <c r="K49" i="1" s="1"/>
  <c r="N49" i="1" s="1"/>
  <c r="N51" i="1"/>
  <c r="O51" i="1" s="1"/>
  <c r="K30" i="1"/>
  <c r="N30" i="1"/>
  <c r="P30" i="1" s="1"/>
  <c r="N20" i="8"/>
  <c r="P20" i="8" s="1"/>
  <c r="N41" i="7"/>
  <c r="P41" i="7" s="1"/>
  <c r="O90" i="7"/>
  <c r="N19" i="7"/>
  <c r="P19" i="7" s="1"/>
  <c r="P60" i="18"/>
  <c r="O60" i="18"/>
  <c r="W87" i="1"/>
  <c r="W98" i="1"/>
  <c r="W97" i="1"/>
  <c r="W96" i="1"/>
  <c r="K9" i="1"/>
  <c r="P48" i="18"/>
  <c r="O48" i="18"/>
  <c r="P57" i="18"/>
  <c r="O57" i="18"/>
  <c r="P58" i="1"/>
  <c r="O58" i="1"/>
  <c r="O34" i="18"/>
  <c r="P34" i="18"/>
  <c r="P53" i="1"/>
  <c r="Q53" i="1" s="1"/>
  <c r="P58" i="18"/>
  <c r="O58" i="18"/>
  <c r="O45" i="18"/>
  <c r="P45" i="18"/>
  <c r="O43" i="18"/>
  <c r="P43" i="18"/>
  <c r="P55" i="18"/>
  <c r="O55" i="18"/>
  <c r="F36" i="9"/>
  <c r="K36" i="9" s="1"/>
  <c r="H36" i="9" s="1"/>
  <c r="F58" i="9"/>
  <c r="K58" i="9" s="1"/>
  <c r="H58" i="9" s="1"/>
  <c r="K17" i="8"/>
  <c r="F59" i="8"/>
  <c r="K59" i="8" s="1"/>
  <c r="H59" i="8" s="1"/>
  <c r="N59" i="7"/>
  <c r="M59" i="7"/>
  <c r="N5" i="7"/>
  <c r="P5" i="7" s="1"/>
  <c r="F58" i="7"/>
  <c r="K58" i="7" s="1"/>
  <c r="H58" i="7" s="1"/>
  <c r="O61" i="18"/>
  <c r="P61" i="18"/>
  <c r="P158" i="16"/>
  <c r="O158" i="16"/>
  <c r="Q157" i="16"/>
  <c r="R157" i="16"/>
  <c r="T157" i="16" s="1"/>
  <c r="V157" i="16" s="1"/>
  <c r="X157" i="16" s="1"/>
  <c r="Z157" i="16" s="1"/>
  <c r="AB157" i="16" s="1"/>
  <c r="AD157" i="16" s="1"/>
  <c r="AF157" i="16" s="1"/>
  <c r="AH157" i="16" s="1"/>
  <c r="AJ157" i="16" s="1"/>
  <c r="H161" i="16"/>
  <c r="K160" i="16"/>
  <c r="N159" i="16"/>
  <c r="M159" i="16"/>
  <c r="Y144" i="16"/>
  <c r="Y140" i="16"/>
  <c r="Y136" i="16"/>
  <c r="Y146" i="16"/>
  <c r="Y142" i="16"/>
  <c r="Y138" i="16"/>
  <c r="Y147" i="16"/>
  <c r="Y143" i="16"/>
  <c r="Y139" i="16"/>
  <c r="Y145" i="16"/>
  <c r="Y137" i="16"/>
  <c r="Y141" i="16"/>
  <c r="Y135" i="16"/>
  <c r="Y187" i="16"/>
  <c r="R90" i="7"/>
  <c r="T90" i="7" s="1"/>
  <c r="P46" i="7"/>
  <c r="O46" i="7"/>
  <c r="P46" i="9"/>
  <c r="O46" i="9"/>
  <c r="F57" i="9"/>
  <c r="K57" i="9" s="1"/>
  <c r="H57" i="9" s="1"/>
  <c r="F45" i="9"/>
  <c r="K45" i="9" s="1"/>
  <c r="H45" i="9" s="1"/>
  <c r="E128" i="17"/>
  <c r="E129" i="17" s="1"/>
  <c r="L129" i="17" s="1"/>
  <c r="O129" i="17" s="1"/>
  <c r="U88" i="7"/>
  <c r="U86" i="7"/>
  <c r="P46" i="1"/>
  <c r="O46" i="1"/>
  <c r="P45" i="1"/>
  <c r="O45" i="1"/>
  <c r="K11" i="7"/>
  <c r="F57" i="7"/>
  <c r="K57" i="7" s="1"/>
  <c r="H57" i="7" s="1"/>
  <c r="F45" i="7"/>
  <c r="K45" i="7" s="1"/>
  <c r="H45" i="7" s="1"/>
  <c r="AM126" i="9"/>
  <c r="AM130" i="9"/>
  <c r="B3" i="10"/>
  <c r="C3" i="10" s="1"/>
  <c r="D3" i="10" s="1"/>
  <c r="E3" i="10" s="1"/>
  <c r="U84" i="9"/>
  <c r="U82" i="9"/>
  <c r="U78" i="9"/>
  <c r="U80" i="9"/>
  <c r="W31" i="9"/>
  <c r="U79" i="9"/>
  <c r="U41" i="9"/>
  <c r="U91" i="9"/>
  <c r="U83" i="9"/>
  <c r="U74" i="9"/>
  <c r="AM132" i="9"/>
  <c r="AM125" i="9"/>
  <c r="AM127" i="9"/>
  <c r="AM118" i="9"/>
  <c r="AM140" i="9"/>
  <c r="AM138" i="9"/>
  <c r="AM139" i="9"/>
  <c r="K6" i="9"/>
  <c r="Y88" i="8"/>
  <c r="Y86" i="8"/>
  <c r="N11" i="9"/>
  <c r="P11" i="9" s="1"/>
  <c r="E11" i="17"/>
  <c r="G11" i="17" s="1"/>
  <c r="L110" i="17"/>
  <c r="E111" i="17"/>
  <c r="G110" i="17"/>
  <c r="E109" i="17"/>
  <c r="E73" i="17"/>
  <c r="G4" i="17"/>
  <c r="E126" i="17"/>
  <c r="G126" i="17" s="1"/>
  <c r="O126" i="17"/>
  <c r="N8" i="9"/>
  <c r="P8" i="9" s="1"/>
  <c r="E8" i="17"/>
  <c r="E127" i="17"/>
  <c r="G127" i="17" s="1"/>
  <c r="O127" i="17"/>
  <c r="F15" i="12"/>
  <c r="L15" i="12" s="1"/>
  <c r="N15" i="12" s="1"/>
  <c r="E17" i="17"/>
  <c r="K11" i="9"/>
  <c r="K38" i="9"/>
  <c r="H38" i="9" s="1"/>
  <c r="E5" i="17"/>
  <c r="G5" i="17" s="1"/>
  <c r="N10" i="9"/>
  <c r="P10" i="9" s="1"/>
  <c r="E10" i="17"/>
  <c r="E6" i="17"/>
  <c r="L30" i="17"/>
  <c r="G30" i="17"/>
  <c r="E29" i="17"/>
  <c r="E31" i="17"/>
  <c r="AG23" i="17"/>
  <c r="R32" i="16"/>
  <c r="Q32" i="16"/>
  <c r="K39" i="16"/>
  <c r="K43" i="16"/>
  <c r="N38" i="16"/>
  <c r="M38" i="16"/>
  <c r="R34" i="16"/>
  <c r="Q34" i="16"/>
  <c r="T29" i="16"/>
  <c r="S29" i="16"/>
  <c r="P33" i="16"/>
  <c r="O33" i="16"/>
  <c r="S31" i="16"/>
  <c r="T31" i="16"/>
  <c r="S27" i="16"/>
  <c r="T27" i="16"/>
  <c r="R30" i="16"/>
  <c r="Q30" i="16"/>
  <c r="O35" i="16"/>
  <c r="P35" i="16"/>
  <c r="N36" i="16"/>
  <c r="M36" i="16"/>
  <c r="N40" i="16"/>
  <c r="M40" i="16"/>
  <c r="O37" i="16"/>
  <c r="P37" i="16"/>
  <c r="K41" i="16"/>
  <c r="Z28" i="16"/>
  <c r="Y28" i="16"/>
  <c r="Z20" i="16"/>
  <c r="Y20" i="16"/>
  <c r="Z24" i="16"/>
  <c r="Y24" i="16"/>
  <c r="Z26" i="16"/>
  <c r="Y26" i="16"/>
  <c r="Z19" i="16"/>
  <c r="Y19" i="16"/>
  <c r="Z22" i="16"/>
  <c r="Y22" i="16"/>
  <c r="Z21" i="16"/>
  <c r="Y21" i="16"/>
  <c r="Z23" i="16"/>
  <c r="Y23" i="16"/>
  <c r="Z25" i="16"/>
  <c r="Y25" i="16"/>
  <c r="AA17" i="16"/>
  <c r="Y18" i="16"/>
  <c r="X87" i="9"/>
  <c r="K8" i="9"/>
  <c r="K5" i="9"/>
  <c r="N17" i="8"/>
  <c r="P17" i="8" s="1"/>
  <c r="F44" i="7"/>
  <c r="K44" i="7" s="1"/>
  <c r="H44" i="7" s="1"/>
  <c r="X86" i="1"/>
  <c r="W86" i="1"/>
  <c r="F62" i="7"/>
  <c r="K62" i="7" s="1"/>
  <c r="H62" i="7" s="1"/>
  <c r="K19" i="8"/>
  <c r="F37" i="9"/>
  <c r="K37" i="9" s="1"/>
  <c r="H37" i="9" s="1"/>
  <c r="F51" i="9"/>
  <c r="K51" i="9" s="1"/>
  <c r="N5" i="9"/>
  <c r="P5" i="9" s="1"/>
  <c r="N6" i="9"/>
  <c r="P6" i="9" s="1"/>
  <c r="K10" i="9"/>
  <c r="O52" i="9"/>
  <c r="T89" i="9"/>
  <c r="S89" i="9"/>
  <c r="F39" i="9"/>
  <c r="K39" i="9" s="1"/>
  <c r="W57" i="1"/>
  <c r="W53" i="1"/>
  <c r="M62" i="1"/>
  <c r="N62" i="1"/>
  <c r="O52" i="1"/>
  <c r="P52" i="1"/>
  <c r="O90" i="1"/>
  <c r="P90" i="1"/>
  <c r="N57" i="1"/>
  <c r="M57" i="1"/>
  <c r="F37" i="7"/>
  <c r="K37" i="7" s="1"/>
  <c r="H37" i="7" s="1"/>
  <c r="F44" i="9"/>
  <c r="K44" i="9" s="1"/>
  <c r="H44" i="9" s="1"/>
  <c r="B5" i="10"/>
  <c r="C5" i="10" s="1"/>
  <c r="D5" i="10" s="1"/>
  <c r="E5" i="10" s="1"/>
  <c r="I5" i="10" s="1"/>
  <c r="J5" i="10" s="1"/>
  <c r="K14" i="8"/>
  <c r="N14" i="8"/>
  <c r="P14" i="8" s="1"/>
  <c r="T83" i="1"/>
  <c r="S83" i="1"/>
  <c r="K5" i="7"/>
  <c r="K6" i="7"/>
  <c r="F38" i="7"/>
  <c r="K38" i="7" s="1"/>
  <c r="H38" i="7" s="1"/>
  <c r="P52" i="7"/>
  <c r="R52" i="7" s="1"/>
  <c r="F51" i="7"/>
  <c r="K51" i="7" s="1"/>
  <c r="N51" i="7" s="1"/>
  <c r="O51" i="7" s="1"/>
  <c r="F36" i="7"/>
  <c r="K36" i="7" s="1"/>
  <c r="H36" i="7" s="1"/>
  <c r="F56" i="7"/>
  <c r="K56" i="7" s="1"/>
  <c r="H56" i="7" s="1"/>
  <c r="N70" i="9"/>
  <c r="P70" i="9" s="1"/>
  <c r="R70" i="9" s="1"/>
  <c r="M70" i="9"/>
  <c r="F42" i="9"/>
  <c r="K42" i="9" s="1"/>
  <c r="H42" i="9" s="1"/>
  <c r="E9" i="13"/>
  <c r="F54" i="9"/>
  <c r="K54" i="9" s="1"/>
  <c r="H54" i="9" s="1"/>
  <c r="F55" i="9"/>
  <c r="K55" i="9" s="1"/>
  <c r="H55" i="9" s="1"/>
  <c r="F56" i="9"/>
  <c r="K56" i="9" s="1"/>
  <c r="H56" i="9" s="1"/>
  <c r="O53" i="7"/>
  <c r="P53" i="7"/>
  <c r="K10" i="7"/>
  <c r="P48" i="9"/>
  <c r="R48" i="9" s="1"/>
  <c r="I4" i="12"/>
  <c r="L4" i="12"/>
  <c r="N4" i="12" s="1"/>
  <c r="O53" i="9"/>
  <c r="K13" i="7"/>
  <c r="N13" i="7"/>
  <c r="P13" i="7" s="1"/>
  <c r="K13" i="9"/>
  <c r="N13" i="9"/>
  <c r="P13" i="9" s="1"/>
  <c r="L12" i="12"/>
  <c r="N12" i="12" s="1"/>
  <c r="I12" i="12"/>
  <c r="N108" i="9"/>
  <c r="M108" i="9"/>
  <c r="K17" i="7"/>
  <c r="N17" i="7"/>
  <c r="P17" i="7" s="1"/>
  <c r="K17" i="9"/>
  <c r="N17" i="9"/>
  <c r="P17" i="9" s="1"/>
  <c r="N71" i="9"/>
  <c r="M71" i="9"/>
  <c r="U16" i="12"/>
  <c r="T107" i="9"/>
  <c r="S107" i="9"/>
  <c r="Y57" i="8"/>
  <c r="Y53" i="8"/>
  <c r="T96" i="8"/>
  <c r="S96" i="8"/>
  <c r="R53" i="9"/>
  <c r="Q53" i="9"/>
  <c r="M63" i="7"/>
  <c r="R33" i="7"/>
  <c r="R52" i="9"/>
  <c r="Q52" i="9"/>
  <c r="N41" i="8"/>
  <c r="M41" i="8"/>
  <c r="O67" i="7"/>
  <c r="P64" i="7"/>
  <c r="Q64" i="7" s="1"/>
  <c r="P40" i="7"/>
  <c r="R40" i="7" s="1"/>
  <c r="N69" i="7"/>
  <c r="P69" i="7" s="1"/>
  <c r="P68" i="7"/>
  <c r="Q68" i="7" s="1"/>
  <c r="O47" i="1"/>
  <c r="N35" i="9"/>
  <c r="O35" i="9" s="1"/>
  <c r="P66" i="9"/>
  <c r="R66" i="9" s="1"/>
  <c r="O66" i="7"/>
  <c r="P48" i="7"/>
  <c r="Q48" i="7" s="1"/>
  <c r="N35" i="7"/>
  <c r="M35" i="7"/>
  <c r="M39" i="1"/>
  <c r="N39" i="1"/>
  <c r="M55" i="1"/>
  <c r="N55" i="1"/>
  <c r="N36" i="1"/>
  <c r="M36" i="1"/>
  <c r="M37" i="1"/>
  <c r="N37" i="1"/>
  <c r="R47" i="1"/>
  <c r="Q47" i="1"/>
  <c r="R68" i="1"/>
  <c r="Q68" i="1"/>
  <c r="P69" i="1"/>
  <c r="O69" i="1"/>
  <c r="P35" i="1"/>
  <c r="O35" i="1"/>
  <c r="P47" i="9"/>
  <c r="O47" i="9"/>
  <c r="R41" i="1"/>
  <c r="Q41" i="1"/>
  <c r="P34" i="1"/>
  <c r="O34" i="1"/>
  <c r="M42" i="1"/>
  <c r="N42" i="1"/>
  <c r="M54" i="1"/>
  <c r="N54" i="1"/>
  <c r="M44" i="1"/>
  <c r="N44" i="1"/>
  <c r="M56" i="1"/>
  <c r="N56" i="1"/>
  <c r="W88" i="1"/>
  <c r="W82" i="1"/>
  <c r="W81" i="1"/>
  <c r="W80" i="1"/>
  <c r="W79" i="1"/>
  <c r="W78" i="1"/>
  <c r="W77" i="1"/>
  <c r="W76" i="1"/>
  <c r="W75" i="1"/>
  <c r="W74" i="1"/>
  <c r="W73" i="1"/>
  <c r="W72" i="1"/>
  <c r="W56" i="1"/>
  <c r="W55" i="1"/>
  <c r="P48" i="1"/>
  <c r="O48" i="1"/>
  <c r="P63" i="1"/>
  <c r="O63" i="1"/>
  <c r="P66" i="1"/>
  <c r="O66" i="1"/>
  <c r="P65" i="1"/>
  <c r="O65" i="1"/>
  <c r="P64" i="1"/>
  <c r="O64" i="1"/>
  <c r="P40" i="1"/>
  <c r="O40" i="1"/>
  <c r="P67" i="1"/>
  <c r="O67" i="1"/>
  <c r="Q70" i="8"/>
  <c r="R70" i="8"/>
  <c r="R69" i="8"/>
  <c r="Q69" i="8"/>
  <c r="R70" i="7"/>
  <c r="Q70" i="7"/>
  <c r="R32" i="9"/>
  <c r="Q32" i="9"/>
  <c r="N38" i="1"/>
  <c r="M38" i="1"/>
  <c r="P65" i="9"/>
  <c r="O65" i="9"/>
  <c r="P69" i="9"/>
  <c r="O69" i="9"/>
  <c r="P64" i="9"/>
  <c r="O64" i="9"/>
  <c r="P40" i="9"/>
  <c r="O40" i="9"/>
  <c r="P34" i="9"/>
  <c r="O34" i="9"/>
  <c r="R68" i="9"/>
  <c r="Q68" i="9"/>
  <c r="T32" i="8"/>
  <c r="S32" i="8"/>
  <c r="R33" i="8"/>
  <c r="Q33" i="8"/>
  <c r="Y83" i="8"/>
  <c r="Y82" i="8"/>
  <c r="Y81" i="8"/>
  <c r="Y80" i="8"/>
  <c r="Y79" i="8"/>
  <c r="Y78" i="8"/>
  <c r="Y77" i="8"/>
  <c r="Y76" i="8"/>
  <c r="Y75" i="8"/>
  <c r="Y74" i="8"/>
  <c r="Y73" i="8"/>
  <c r="Y72" i="8"/>
  <c r="Y48" i="8"/>
  <c r="Y56" i="8"/>
  <c r="Y55" i="8"/>
  <c r="Y47" i="8"/>
  <c r="Y44" i="8"/>
  <c r="AA31" i="8"/>
  <c r="AA84" i="8" s="1"/>
  <c r="U83" i="7"/>
  <c r="U82" i="7"/>
  <c r="U81" i="7"/>
  <c r="U80" i="7"/>
  <c r="U79" i="7"/>
  <c r="U78" i="7"/>
  <c r="U77" i="7"/>
  <c r="U76" i="7"/>
  <c r="U75" i="7"/>
  <c r="U74" i="7"/>
  <c r="U73" i="7"/>
  <c r="U72" i="7"/>
  <c r="U34" i="7"/>
  <c r="W31" i="7"/>
  <c r="W84" i="7" s="1"/>
  <c r="U32" i="7"/>
  <c r="R66" i="7"/>
  <c r="Q66" i="7"/>
  <c r="R65" i="7"/>
  <c r="Q65" i="7"/>
  <c r="R67" i="7"/>
  <c r="Q67" i="7"/>
  <c r="Y31" i="1"/>
  <c r="W32" i="1"/>
  <c r="P48" i="26" l="1"/>
  <c r="O48" i="26"/>
  <c r="P63" i="7"/>
  <c r="R63" i="7" s="1"/>
  <c r="D26" i="1"/>
  <c r="F26" i="1" s="1"/>
  <c r="O59" i="1"/>
  <c r="AA316" i="16"/>
  <c r="AA308" i="16"/>
  <c r="AA300" i="16"/>
  <c r="AA292" i="16"/>
  <c r="AA284" i="16"/>
  <c r="AA276" i="16"/>
  <c r="AA268" i="16"/>
  <c r="AA260" i="16"/>
  <c r="AA252" i="16"/>
  <c r="AA313" i="16"/>
  <c r="AA305" i="16"/>
  <c r="AA297" i="16"/>
  <c r="AA289" i="16"/>
  <c r="AA281" i="16"/>
  <c r="AA273" i="16"/>
  <c r="AA265" i="16"/>
  <c r="AA257" i="16"/>
  <c r="AA315" i="16"/>
  <c r="AA307" i="16"/>
  <c r="AA299" i="16"/>
  <c r="AA291" i="16"/>
  <c r="AA283" i="16"/>
  <c r="AA275" i="16"/>
  <c r="AA267" i="16"/>
  <c r="AA259" i="16"/>
  <c r="AA251" i="16"/>
  <c r="AA312" i="16"/>
  <c r="AA304" i="16"/>
  <c r="AA296" i="16"/>
  <c r="AA288" i="16"/>
  <c r="AA280" i="16"/>
  <c r="AA272" i="16"/>
  <c r="AA264" i="16"/>
  <c r="AA256" i="16"/>
  <c r="AA314" i="16"/>
  <c r="AA306" i="16"/>
  <c r="AA298" i="16"/>
  <c r="AA290" i="16"/>
  <c r="AA282" i="16"/>
  <c r="AA274" i="16"/>
  <c r="AA266" i="16"/>
  <c r="AA258" i="16"/>
  <c r="AA250" i="16"/>
  <c r="AA287" i="16"/>
  <c r="AA295" i="16"/>
  <c r="AA303" i="16"/>
  <c r="AA271" i="16"/>
  <c r="AA242" i="16"/>
  <c r="AA234" i="16"/>
  <c r="AA226" i="16"/>
  <c r="AA301" i="16"/>
  <c r="AA286" i="16"/>
  <c r="AA269" i="16"/>
  <c r="AA254" i="16"/>
  <c r="AA247" i="16"/>
  <c r="AA239" i="16"/>
  <c r="AA231" i="16"/>
  <c r="AA223" i="16"/>
  <c r="AA311" i="16"/>
  <c r="AA279" i="16"/>
  <c r="AA244" i="16"/>
  <c r="AA236" i="16"/>
  <c r="AA228" i="16"/>
  <c r="AA220" i="16"/>
  <c r="AA212" i="16"/>
  <c r="AA317" i="16"/>
  <c r="AA310" i="16"/>
  <c r="AA249" i="16"/>
  <c r="AA238" i="16"/>
  <c r="AA227" i="16"/>
  <c r="AA217" i="16"/>
  <c r="AA309" i="16"/>
  <c r="AA241" i="16"/>
  <c r="AA230" i="16"/>
  <c r="AA216" i="16"/>
  <c r="AA211" i="16"/>
  <c r="AA263" i="16"/>
  <c r="AA243" i="16"/>
  <c r="AA233" i="16"/>
  <c r="AA222" i="16"/>
  <c r="AA215" i="16"/>
  <c r="AA202" i="16"/>
  <c r="AA194" i="16"/>
  <c r="AA293" i="16"/>
  <c r="AA253" i="16"/>
  <c r="AA294" i="16"/>
  <c r="AA277" i="16"/>
  <c r="AA232" i="16"/>
  <c r="AA221" i="16"/>
  <c r="AA219" i="16"/>
  <c r="AA214" i="16"/>
  <c r="AA210" i="16"/>
  <c r="AA207" i="16"/>
  <c r="AA199" i="16"/>
  <c r="AA191" i="16"/>
  <c r="AA262" i="16"/>
  <c r="AA255" i="16"/>
  <c r="AA245" i="16"/>
  <c r="AA270" i="16"/>
  <c r="AA246" i="16"/>
  <c r="AA235" i="16"/>
  <c r="AA225" i="16"/>
  <c r="AA204" i="16"/>
  <c r="AA196" i="16"/>
  <c r="AA285" i="16"/>
  <c r="AA240" i="16"/>
  <c r="AA224" i="16"/>
  <c r="AA208" i="16"/>
  <c r="AA197" i="16"/>
  <c r="AA302" i="16"/>
  <c r="AA229" i="16"/>
  <c r="AA201" i="16"/>
  <c r="AA190" i="16"/>
  <c r="AA237" i="16"/>
  <c r="AA213" i="16"/>
  <c r="AA200" i="16"/>
  <c r="AA278" i="16"/>
  <c r="AA203" i="16"/>
  <c r="AA218" i="16"/>
  <c r="AA192" i="16"/>
  <c r="AA261" i="16"/>
  <c r="AA248" i="16"/>
  <c r="AA206" i="16"/>
  <c r="AA195" i="16"/>
  <c r="AA209" i="16"/>
  <c r="AA198" i="16"/>
  <c r="AA193" i="16"/>
  <c r="AA205" i="16"/>
  <c r="K275" i="16"/>
  <c r="F275" i="16"/>
  <c r="H276" i="16"/>
  <c r="P273" i="16"/>
  <c r="O273" i="16"/>
  <c r="R272" i="16"/>
  <c r="T272" i="16" s="1"/>
  <c r="V272" i="16" s="1"/>
  <c r="X272" i="16" s="1"/>
  <c r="Z272" i="16" s="1"/>
  <c r="AB272" i="16" s="1"/>
  <c r="AD272" i="16" s="1"/>
  <c r="AF272" i="16" s="1"/>
  <c r="AH272" i="16" s="1"/>
  <c r="AJ272" i="16" s="1"/>
  <c r="Q272" i="16"/>
  <c r="N274" i="16"/>
  <c r="M274" i="16"/>
  <c r="S107" i="26"/>
  <c r="T107" i="26"/>
  <c r="P63" i="26"/>
  <c r="O63" i="26"/>
  <c r="P46" i="26"/>
  <c r="O46" i="26"/>
  <c r="R58" i="27"/>
  <c r="Q58" i="27"/>
  <c r="T69" i="26"/>
  <c r="S69" i="26"/>
  <c r="P40" i="26"/>
  <c r="O40" i="26"/>
  <c r="N70" i="24"/>
  <c r="M70" i="24"/>
  <c r="R66" i="26"/>
  <c r="Q66" i="26"/>
  <c r="R48" i="27"/>
  <c r="Q48" i="27"/>
  <c r="R67" i="26"/>
  <c r="Q67" i="26"/>
  <c r="P65" i="26"/>
  <c r="O65" i="26"/>
  <c r="P61" i="27"/>
  <c r="O61" i="27"/>
  <c r="V106" i="26"/>
  <c r="U106" i="26"/>
  <c r="N27" i="26"/>
  <c r="P27" i="26" s="1"/>
  <c r="K27" i="26"/>
  <c r="F19" i="28"/>
  <c r="I17" i="28"/>
  <c r="O47" i="26"/>
  <c r="P47" i="26"/>
  <c r="R60" i="27"/>
  <c r="Q60" i="27"/>
  <c r="P34" i="26"/>
  <c r="O34" i="26"/>
  <c r="N7" i="26"/>
  <c r="P7" i="26" s="1"/>
  <c r="K7" i="26"/>
  <c r="F33" i="26"/>
  <c r="K33" i="26" s="1"/>
  <c r="F53" i="26"/>
  <c r="K53" i="26" s="1"/>
  <c r="F52" i="26"/>
  <c r="K52" i="26" s="1"/>
  <c r="R103" i="26"/>
  <c r="Q103" i="26"/>
  <c r="P90" i="26"/>
  <c r="O90" i="26"/>
  <c r="P64" i="26"/>
  <c r="O64" i="26"/>
  <c r="W85" i="9"/>
  <c r="W112" i="9"/>
  <c r="R57" i="27"/>
  <c r="Q57" i="27"/>
  <c r="I12" i="28"/>
  <c r="F15" i="28"/>
  <c r="I15" i="28" s="1"/>
  <c r="F37" i="28"/>
  <c r="H37" i="28" s="1"/>
  <c r="I37" i="28" s="1"/>
  <c r="P68" i="26"/>
  <c r="O68" i="26"/>
  <c r="P61" i="26"/>
  <c r="O61" i="26"/>
  <c r="P35" i="26"/>
  <c r="O35" i="26"/>
  <c r="Q70" i="26"/>
  <c r="R70" i="26"/>
  <c r="R67" i="9"/>
  <c r="Q67" i="9"/>
  <c r="S41" i="9"/>
  <c r="R45" i="27"/>
  <c r="Q45" i="27"/>
  <c r="K23" i="1"/>
  <c r="D25" i="1"/>
  <c r="F25" i="1" s="1"/>
  <c r="N25" i="1" s="1"/>
  <c r="P25" i="1" s="1"/>
  <c r="O52" i="21"/>
  <c r="R113" i="9"/>
  <c r="Q113" i="9"/>
  <c r="P115" i="9"/>
  <c r="O115" i="9"/>
  <c r="D24" i="1"/>
  <c r="F24" i="1" s="1"/>
  <c r="N24" i="1" s="1"/>
  <c r="P24" i="1" s="1"/>
  <c r="R34" i="27"/>
  <c r="Q34" i="27"/>
  <c r="F19" i="26"/>
  <c r="D20" i="26"/>
  <c r="F20" i="26" s="1"/>
  <c r="D17" i="26"/>
  <c r="F17" i="26" s="1"/>
  <c r="D14" i="26"/>
  <c r="F14" i="26" s="1"/>
  <c r="F13" i="26"/>
  <c r="K15" i="26"/>
  <c r="N15" i="26"/>
  <c r="P15" i="26" s="1"/>
  <c r="O114" i="9"/>
  <c r="P114" i="9"/>
  <c r="K12" i="26"/>
  <c r="N12" i="26"/>
  <c r="P12" i="26" s="1"/>
  <c r="F41" i="26"/>
  <c r="K41" i="26" s="1"/>
  <c r="F16" i="26"/>
  <c r="D21" i="26"/>
  <c r="F21" i="26" s="1"/>
  <c r="D18" i="26"/>
  <c r="F18" i="26" s="1"/>
  <c r="R43" i="27"/>
  <c r="Q43" i="27"/>
  <c r="P63" i="9"/>
  <c r="R63" i="9" s="1"/>
  <c r="M43" i="9"/>
  <c r="H43" i="9"/>
  <c r="M59" i="9"/>
  <c r="N30" i="24"/>
  <c r="O30" i="24"/>
  <c r="O13" i="24"/>
  <c r="N13" i="24"/>
  <c r="N29" i="24"/>
  <c r="O29" i="24"/>
  <c r="N8" i="24"/>
  <c r="O8" i="24"/>
  <c r="O6" i="24"/>
  <c r="N6" i="24"/>
  <c r="O9" i="24"/>
  <c r="N9" i="24"/>
  <c r="P104" i="9"/>
  <c r="O104" i="9"/>
  <c r="N19" i="24"/>
  <c r="O19" i="24"/>
  <c r="P59" i="24"/>
  <c r="Q59" i="24" s="1"/>
  <c r="Q48" i="24"/>
  <c r="R48" i="24"/>
  <c r="D15" i="16"/>
  <c r="D14" i="16"/>
  <c r="D9" i="16"/>
  <c r="D13" i="16"/>
  <c r="C118" i="24"/>
  <c r="N41" i="24"/>
  <c r="H41" i="24"/>
  <c r="M41" i="24"/>
  <c r="Q69" i="24"/>
  <c r="R69" i="24"/>
  <c r="R64" i="24"/>
  <c r="Q64" i="24"/>
  <c r="R38" i="24"/>
  <c r="Q38" i="24"/>
  <c r="R67" i="24"/>
  <c r="Q67" i="24"/>
  <c r="R86" i="9"/>
  <c r="Q86" i="9"/>
  <c r="N59" i="9"/>
  <c r="P59" i="9" s="1"/>
  <c r="V50" i="24"/>
  <c r="X50" i="24" s="1"/>
  <c r="Z50" i="24" s="1"/>
  <c r="AB50" i="24" s="1"/>
  <c r="AD50" i="24" s="1"/>
  <c r="AF50" i="24" s="1"/>
  <c r="AH50" i="24" s="1"/>
  <c r="AJ50" i="24" s="1"/>
  <c r="U50" i="24"/>
  <c r="G50" i="24" s="1"/>
  <c r="R85" i="7"/>
  <c r="Q85" i="7"/>
  <c r="Y84" i="1"/>
  <c r="P66" i="21"/>
  <c r="Q66" i="21" s="1"/>
  <c r="R43" i="1"/>
  <c r="Q43" i="1"/>
  <c r="U53" i="24"/>
  <c r="G53" i="24" s="1"/>
  <c r="V53" i="24"/>
  <c r="X53" i="24" s="1"/>
  <c r="Z53" i="24" s="1"/>
  <c r="AB53" i="24" s="1"/>
  <c r="AD53" i="24" s="1"/>
  <c r="AF53" i="24" s="1"/>
  <c r="AH53" i="24" s="1"/>
  <c r="AJ53" i="24" s="1"/>
  <c r="R85" i="1"/>
  <c r="Q85" i="1"/>
  <c r="L59" i="9"/>
  <c r="M50" i="1"/>
  <c r="V66" i="24"/>
  <c r="X66" i="24" s="1"/>
  <c r="Z66" i="24" s="1"/>
  <c r="AB66" i="24" s="1"/>
  <c r="AD66" i="24" s="1"/>
  <c r="AF66" i="24" s="1"/>
  <c r="AH66" i="24" s="1"/>
  <c r="AJ66" i="24" s="1"/>
  <c r="U66" i="24"/>
  <c r="G66" i="24" s="1"/>
  <c r="R85" i="8"/>
  <c r="Q85" i="8"/>
  <c r="O93" i="7"/>
  <c r="O68" i="21"/>
  <c r="P63" i="21"/>
  <c r="Q63" i="21" s="1"/>
  <c r="P65" i="21"/>
  <c r="R65" i="21" s="1"/>
  <c r="Q47" i="7"/>
  <c r="P43" i="9"/>
  <c r="O43" i="9"/>
  <c r="K41" i="21"/>
  <c r="N41" i="21" s="1"/>
  <c r="N43" i="7"/>
  <c r="H43" i="7"/>
  <c r="M43" i="7"/>
  <c r="AA185" i="16"/>
  <c r="AA181" i="16"/>
  <c r="AA177" i="16"/>
  <c r="AA173" i="16"/>
  <c r="AA169" i="16"/>
  <c r="AA165" i="16"/>
  <c r="AA161" i="16"/>
  <c r="AA157" i="16"/>
  <c r="AA186" i="16"/>
  <c r="AA184" i="16"/>
  <c r="AA176" i="16"/>
  <c r="AA168" i="16"/>
  <c r="AA160" i="16"/>
  <c r="AA155" i="16"/>
  <c r="AA151" i="16"/>
  <c r="AA180" i="16"/>
  <c r="AA172" i="16"/>
  <c r="AA164" i="16"/>
  <c r="AA156" i="16"/>
  <c r="AA153" i="16"/>
  <c r="AA149" i="16"/>
  <c r="AA182" i="16"/>
  <c r="AA175" i="16"/>
  <c r="AA174" i="16"/>
  <c r="AA166" i="16"/>
  <c r="AA159" i="16"/>
  <c r="AA158" i="16"/>
  <c r="AA154" i="16"/>
  <c r="AA152" i="16"/>
  <c r="AA150" i="16"/>
  <c r="AA163" i="16"/>
  <c r="AA183" i="16"/>
  <c r="AA167" i="16"/>
  <c r="AA148" i="16"/>
  <c r="AA178" i="16"/>
  <c r="AA171" i="16"/>
  <c r="AA162" i="16"/>
  <c r="AA179" i="16"/>
  <c r="AA170" i="16"/>
  <c r="P47" i="21"/>
  <c r="O47" i="21"/>
  <c r="Q68" i="21"/>
  <c r="R68" i="21"/>
  <c r="S96" i="21"/>
  <c r="T96" i="21"/>
  <c r="D18" i="20"/>
  <c r="F18" i="20" s="1"/>
  <c r="I18" i="20" s="1"/>
  <c r="F16" i="20"/>
  <c r="D21" i="20"/>
  <c r="F21" i="20" s="1"/>
  <c r="I21" i="20" s="1"/>
  <c r="D19" i="19"/>
  <c r="D21" i="19"/>
  <c r="F21" i="19" s="1"/>
  <c r="I21" i="19" s="1"/>
  <c r="D18" i="19"/>
  <c r="F18" i="19" s="1"/>
  <c r="I18" i="19" s="1"/>
  <c r="F16" i="19"/>
  <c r="D14" i="19"/>
  <c r="F14" i="19" s="1"/>
  <c r="F13" i="19"/>
  <c r="D17" i="19"/>
  <c r="F17" i="19" s="1"/>
  <c r="R93" i="1"/>
  <c r="Q93" i="1"/>
  <c r="H39" i="7"/>
  <c r="M4" i="22"/>
  <c r="F19" i="20"/>
  <c r="I19" i="20" s="1"/>
  <c r="D20" i="20"/>
  <c r="F20" i="20" s="1"/>
  <c r="D14" i="20"/>
  <c r="F14" i="20" s="1"/>
  <c r="I14" i="20" s="1"/>
  <c r="D17" i="20"/>
  <c r="F17" i="20" s="1"/>
  <c r="F13" i="20"/>
  <c r="R38" i="21"/>
  <c r="Q38" i="21"/>
  <c r="I12" i="19"/>
  <c r="L12" i="19"/>
  <c r="F41" i="19"/>
  <c r="H41" i="19" s="1"/>
  <c r="I41" i="19" s="1"/>
  <c r="F49" i="9"/>
  <c r="K49" i="9" s="1"/>
  <c r="H49" i="9" s="1"/>
  <c r="D1" i="23"/>
  <c r="D2" i="23"/>
  <c r="O58" i="21"/>
  <c r="P58" i="21"/>
  <c r="R52" i="21"/>
  <c r="Q52" i="21"/>
  <c r="G15" i="20"/>
  <c r="L15" i="20" s="1"/>
  <c r="G13" i="20"/>
  <c r="I12" i="20"/>
  <c r="L12" i="20"/>
  <c r="F41" i="20"/>
  <c r="H41" i="20" s="1"/>
  <c r="I41" i="20" s="1"/>
  <c r="O37" i="18"/>
  <c r="P37" i="18"/>
  <c r="G15" i="19"/>
  <c r="L15" i="19" s="1"/>
  <c r="G13" i="19"/>
  <c r="T95" i="21"/>
  <c r="S95" i="21"/>
  <c r="P69" i="21"/>
  <c r="O69" i="21"/>
  <c r="Q33" i="9"/>
  <c r="O94" i="9"/>
  <c r="H39" i="9"/>
  <c r="M6" i="22"/>
  <c r="P49" i="21"/>
  <c r="O49" i="21"/>
  <c r="O131" i="17"/>
  <c r="G131" i="17"/>
  <c r="R3" i="17"/>
  <c r="Q3" i="17"/>
  <c r="R130" i="17"/>
  <c r="Q130" i="17"/>
  <c r="S35" i="17"/>
  <c r="T35" i="17"/>
  <c r="G59" i="17"/>
  <c r="E60" i="17"/>
  <c r="L59" i="17"/>
  <c r="E58" i="17"/>
  <c r="W87" i="9"/>
  <c r="W88" i="9"/>
  <c r="R94" i="9"/>
  <c r="Q94" i="9"/>
  <c r="R93" i="8"/>
  <c r="Q93" i="8"/>
  <c r="AA61" i="8"/>
  <c r="AA60" i="8"/>
  <c r="AA46" i="8"/>
  <c r="AA45" i="8"/>
  <c r="AA87" i="8"/>
  <c r="W87" i="7"/>
  <c r="R93" i="7"/>
  <c r="Q93" i="7"/>
  <c r="N50" i="1"/>
  <c r="O50" i="1" s="1"/>
  <c r="M49" i="1"/>
  <c r="H49" i="1"/>
  <c r="P51" i="1"/>
  <c r="Q51" i="1" s="1"/>
  <c r="V33" i="1"/>
  <c r="U33" i="1"/>
  <c r="L59" i="8"/>
  <c r="M36" i="7"/>
  <c r="N44" i="7"/>
  <c r="O44" i="7" s="1"/>
  <c r="N42" i="7"/>
  <c r="M62" i="7"/>
  <c r="M42" i="7"/>
  <c r="R23" i="7"/>
  <c r="D92" i="7" s="1"/>
  <c r="F92" i="7" s="1"/>
  <c r="K92" i="7" s="1"/>
  <c r="N55" i="7"/>
  <c r="P55" i="7" s="1"/>
  <c r="R55" i="7" s="1"/>
  <c r="M57" i="7"/>
  <c r="N39" i="7"/>
  <c r="O39" i="7" s="1"/>
  <c r="M37" i="7"/>
  <c r="M56" i="7"/>
  <c r="M38" i="7"/>
  <c r="M54" i="7"/>
  <c r="O41" i="7"/>
  <c r="Q70" i="1"/>
  <c r="R70" i="1"/>
  <c r="M39" i="7"/>
  <c r="N29" i="7"/>
  <c r="P29" i="7" s="1"/>
  <c r="T61" i="1"/>
  <c r="S61" i="1"/>
  <c r="R92" i="1"/>
  <c r="Q92" i="1"/>
  <c r="N54" i="7"/>
  <c r="O54" i="7" s="1"/>
  <c r="R60" i="1"/>
  <c r="Q60" i="1"/>
  <c r="M55" i="9"/>
  <c r="R23" i="9"/>
  <c r="D93" i="9" s="1"/>
  <c r="F93" i="9" s="1"/>
  <c r="K93" i="9" s="1"/>
  <c r="M93" i="9" s="1"/>
  <c r="M54" i="9"/>
  <c r="N38" i="9"/>
  <c r="O38" i="9" s="1"/>
  <c r="M36" i="9"/>
  <c r="M57" i="9"/>
  <c r="M56" i="9"/>
  <c r="N42" i="9"/>
  <c r="P42" i="9" s="1"/>
  <c r="N44" i="9"/>
  <c r="P44" i="9" s="1"/>
  <c r="N39" i="9"/>
  <c r="P39" i="9" s="1"/>
  <c r="M37" i="9"/>
  <c r="N60" i="9"/>
  <c r="M60" i="9"/>
  <c r="R61" i="9"/>
  <c r="Q61" i="9"/>
  <c r="N62" i="9"/>
  <c r="M62" i="9"/>
  <c r="N60" i="7"/>
  <c r="M60" i="7"/>
  <c r="R61" i="7"/>
  <c r="Q61" i="7"/>
  <c r="K30" i="7"/>
  <c r="G17" i="17"/>
  <c r="K9" i="7"/>
  <c r="F50" i="7"/>
  <c r="K50" i="7" s="1"/>
  <c r="H50" i="7" s="1"/>
  <c r="F49" i="7"/>
  <c r="K49" i="7" s="1"/>
  <c r="H49" i="7" s="1"/>
  <c r="M55" i="7"/>
  <c r="F50" i="9"/>
  <c r="K50" i="9" s="1"/>
  <c r="H50" i="9" s="1"/>
  <c r="K9" i="9"/>
  <c r="N9" i="9"/>
  <c r="P9" i="9" s="1"/>
  <c r="E9" i="17"/>
  <c r="G9" i="17" s="1"/>
  <c r="N29" i="9"/>
  <c r="P29" i="9" s="1"/>
  <c r="K29" i="9"/>
  <c r="N30" i="9"/>
  <c r="P30" i="9" s="1"/>
  <c r="K30" i="9"/>
  <c r="N30" i="8"/>
  <c r="P30" i="8" s="1"/>
  <c r="K30" i="8"/>
  <c r="K26" i="1"/>
  <c r="N26" i="1"/>
  <c r="P26" i="1" s="1"/>
  <c r="R43" i="18"/>
  <c r="Q43" i="18"/>
  <c r="R45" i="18"/>
  <c r="Q45" i="18"/>
  <c r="Q58" i="1"/>
  <c r="R58" i="1"/>
  <c r="R48" i="18"/>
  <c r="Q48" i="18"/>
  <c r="Y87" i="1"/>
  <c r="Y97" i="1"/>
  <c r="Y96" i="1"/>
  <c r="Y98" i="1"/>
  <c r="R53" i="1"/>
  <c r="S53" i="1" s="1"/>
  <c r="R34" i="18"/>
  <c r="Q34" i="18"/>
  <c r="Q60" i="18"/>
  <c r="R60" i="18"/>
  <c r="R57" i="18"/>
  <c r="Q57" i="18"/>
  <c r="R55" i="18"/>
  <c r="Q55" i="18"/>
  <c r="R59" i="1"/>
  <c r="Q59" i="1"/>
  <c r="R58" i="18"/>
  <c r="Q58" i="18"/>
  <c r="N36" i="9"/>
  <c r="P36" i="9" s="1"/>
  <c r="N58" i="9"/>
  <c r="M58" i="9"/>
  <c r="N59" i="8"/>
  <c r="M59" i="8"/>
  <c r="N58" i="7"/>
  <c r="M58" i="7"/>
  <c r="P59" i="7"/>
  <c r="O59" i="7"/>
  <c r="R61" i="18"/>
  <c r="Q61" i="18"/>
  <c r="S90" i="7"/>
  <c r="N57" i="7"/>
  <c r="P57" i="7" s="1"/>
  <c r="Q57" i="7" s="1"/>
  <c r="D117" i="9"/>
  <c r="D141" i="9" s="1"/>
  <c r="O159" i="16"/>
  <c r="P159" i="16"/>
  <c r="N160" i="16"/>
  <c r="M160" i="16"/>
  <c r="H162" i="16"/>
  <c r="K161" i="16"/>
  <c r="Q158" i="16"/>
  <c r="R158" i="16"/>
  <c r="T158" i="16" s="1"/>
  <c r="V158" i="16" s="1"/>
  <c r="X158" i="16" s="1"/>
  <c r="Z158" i="16" s="1"/>
  <c r="AB158" i="16" s="1"/>
  <c r="AD158" i="16" s="1"/>
  <c r="AF158" i="16" s="1"/>
  <c r="AH158" i="16" s="1"/>
  <c r="AJ158" i="16" s="1"/>
  <c r="AA145" i="16"/>
  <c r="AA141" i="16"/>
  <c r="AA137" i="16"/>
  <c r="AA147" i="16"/>
  <c r="AA143" i="16"/>
  <c r="AA139" i="16"/>
  <c r="AA144" i="16"/>
  <c r="AA140" i="16"/>
  <c r="AA136" i="16"/>
  <c r="AA146" i="16"/>
  <c r="AA138" i="16"/>
  <c r="AA142" i="16"/>
  <c r="AA187" i="16"/>
  <c r="AA135" i="16"/>
  <c r="O57" i="7"/>
  <c r="N57" i="9"/>
  <c r="P57" i="9" s="1"/>
  <c r="Q57" i="9" s="1"/>
  <c r="Q46" i="7"/>
  <c r="R46" i="7"/>
  <c r="G129" i="17"/>
  <c r="N45" i="9"/>
  <c r="M45" i="9"/>
  <c r="R46" i="9"/>
  <c r="Q46" i="9"/>
  <c r="L128" i="17"/>
  <c r="O128" i="17" s="1"/>
  <c r="G128" i="17"/>
  <c r="R129" i="17"/>
  <c r="Q129" i="17"/>
  <c r="W86" i="7"/>
  <c r="R46" i="1"/>
  <c r="Q46" i="1"/>
  <c r="R45" i="1"/>
  <c r="Q45" i="1"/>
  <c r="Y46" i="1"/>
  <c r="Y45" i="1"/>
  <c r="N62" i="7"/>
  <c r="O62" i="7" s="1"/>
  <c r="M44" i="7"/>
  <c r="N45" i="7"/>
  <c r="M45" i="7"/>
  <c r="N38" i="7"/>
  <c r="O38" i="7" s="1"/>
  <c r="W57" i="9"/>
  <c r="W91" i="9"/>
  <c r="W82" i="9"/>
  <c r="W78" i="9"/>
  <c r="W74" i="9"/>
  <c r="W81" i="9"/>
  <c r="W77" i="9"/>
  <c r="W73" i="9"/>
  <c r="W41" i="9"/>
  <c r="W84" i="9"/>
  <c r="W80" i="9"/>
  <c r="W76" i="9"/>
  <c r="W56" i="9"/>
  <c r="W83" i="9"/>
  <c r="W79" i="9"/>
  <c r="W75" i="9"/>
  <c r="W55" i="9"/>
  <c r="Y31" i="9"/>
  <c r="AA88" i="8"/>
  <c r="AA86" i="8"/>
  <c r="M38" i="9"/>
  <c r="M39" i="9"/>
  <c r="E32" i="17"/>
  <c r="G31" i="17"/>
  <c r="E28" i="17"/>
  <c r="G29" i="17"/>
  <c r="L111" i="17"/>
  <c r="O110" i="17"/>
  <c r="L108" i="17"/>
  <c r="I15" i="12"/>
  <c r="Q126" i="17"/>
  <c r="R126" i="17"/>
  <c r="E108" i="17"/>
  <c r="G108" i="17" s="1"/>
  <c r="G109" i="17"/>
  <c r="E97" i="17"/>
  <c r="G6" i="17"/>
  <c r="L121" i="17"/>
  <c r="G8" i="17"/>
  <c r="E88" i="17"/>
  <c r="E112" i="17"/>
  <c r="G111" i="17"/>
  <c r="L73" i="17"/>
  <c r="G73" i="17"/>
  <c r="E74" i="17"/>
  <c r="E72" i="17"/>
  <c r="L29" i="17"/>
  <c r="L31" i="17"/>
  <c r="O30" i="17"/>
  <c r="L133" i="17"/>
  <c r="G10" i="17"/>
  <c r="Q127" i="17"/>
  <c r="R127" i="17"/>
  <c r="AG134" i="17"/>
  <c r="AI23" i="17"/>
  <c r="R37" i="16"/>
  <c r="Q37" i="16"/>
  <c r="U31" i="16"/>
  <c r="V31" i="16"/>
  <c r="N39" i="16"/>
  <c r="M39" i="16"/>
  <c r="P36" i="16"/>
  <c r="O36" i="16"/>
  <c r="S30" i="16"/>
  <c r="T30" i="16"/>
  <c r="U29" i="16"/>
  <c r="V29" i="16"/>
  <c r="P38" i="16"/>
  <c r="O38" i="16"/>
  <c r="K42" i="16"/>
  <c r="N41" i="16"/>
  <c r="M41" i="16"/>
  <c r="Q35" i="16"/>
  <c r="R35" i="16"/>
  <c r="U27" i="16"/>
  <c r="V27" i="16"/>
  <c r="N43" i="16"/>
  <c r="M43" i="16"/>
  <c r="K44" i="16"/>
  <c r="O40" i="16"/>
  <c r="P40" i="16"/>
  <c r="R33" i="16"/>
  <c r="Q33" i="16"/>
  <c r="S34" i="16"/>
  <c r="T34" i="16"/>
  <c r="K46" i="16"/>
  <c r="T32" i="16"/>
  <c r="S32" i="16"/>
  <c r="AB19" i="16"/>
  <c r="AA19" i="16"/>
  <c r="AB28" i="16"/>
  <c r="AA28" i="16"/>
  <c r="AA21" i="16"/>
  <c r="AB21" i="16"/>
  <c r="AB22" i="16"/>
  <c r="AA22" i="16"/>
  <c r="AA20" i="16"/>
  <c r="AB20" i="16"/>
  <c r="AB25" i="16"/>
  <c r="AA25" i="16"/>
  <c r="AB23" i="16"/>
  <c r="AA23" i="16"/>
  <c r="AB26" i="16"/>
  <c r="AA26" i="16"/>
  <c r="AB24" i="16"/>
  <c r="AA24" i="16"/>
  <c r="AA18" i="16"/>
  <c r="AC17" i="16"/>
  <c r="Z87" i="9"/>
  <c r="N54" i="9"/>
  <c r="O54" i="9" s="1"/>
  <c r="Q70" i="9"/>
  <c r="N37" i="7"/>
  <c r="P37" i="7" s="1"/>
  <c r="R37" i="7" s="1"/>
  <c r="Y86" i="1"/>
  <c r="Z86" i="1"/>
  <c r="N37" i="9"/>
  <c r="O37" i="9" s="1"/>
  <c r="P51" i="7"/>
  <c r="Q51" i="7" s="1"/>
  <c r="N51" i="9"/>
  <c r="M51" i="9"/>
  <c r="M44" i="9"/>
  <c r="N56" i="7"/>
  <c r="P56" i="7" s="1"/>
  <c r="Q56" i="7" s="1"/>
  <c r="Q52" i="7"/>
  <c r="W57" i="7"/>
  <c r="W88" i="7"/>
  <c r="N55" i="9"/>
  <c r="P55" i="9" s="1"/>
  <c r="Q48" i="9"/>
  <c r="O69" i="7"/>
  <c r="V89" i="9"/>
  <c r="U89" i="9"/>
  <c r="M42" i="9"/>
  <c r="N56" i="9"/>
  <c r="P56" i="9" s="1"/>
  <c r="R90" i="1"/>
  <c r="Q90" i="1"/>
  <c r="R52" i="1"/>
  <c r="Q52" i="1"/>
  <c r="O62" i="1"/>
  <c r="P62" i="1"/>
  <c r="Y53" i="1"/>
  <c r="Y57" i="1"/>
  <c r="O57" i="1"/>
  <c r="P57" i="1"/>
  <c r="V83" i="1"/>
  <c r="U83" i="1"/>
  <c r="N36" i="7"/>
  <c r="O36" i="7" s="1"/>
  <c r="M51" i="7"/>
  <c r="O70" i="9"/>
  <c r="Q53" i="7"/>
  <c r="R53" i="7"/>
  <c r="V90" i="7"/>
  <c r="U90" i="7"/>
  <c r="P71" i="9"/>
  <c r="O71" i="9"/>
  <c r="P108" i="9"/>
  <c r="O108" i="9"/>
  <c r="W16" i="12"/>
  <c r="V107" i="9"/>
  <c r="U107" i="9"/>
  <c r="AA53" i="8"/>
  <c r="AA57" i="8"/>
  <c r="AA52" i="8"/>
  <c r="V96" i="8"/>
  <c r="U96" i="8"/>
  <c r="W53" i="7"/>
  <c r="T53" i="9"/>
  <c r="S53" i="9"/>
  <c r="T33" i="7"/>
  <c r="S33" i="7"/>
  <c r="T52" i="9"/>
  <c r="S52" i="9"/>
  <c r="T52" i="7"/>
  <c r="S52" i="7"/>
  <c r="R64" i="7"/>
  <c r="T64" i="7" s="1"/>
  <c r="P41" i="8"/>
  <c r="O41" i="8"/>
  <c r="Q40" i="7"/>
  <c r="P35" i="9"/>
  <c r="R35" i="9" s="1"/>
  <c r="R48" i="7"/>
  <c r="S48" i="7" s="1"/>
  <c r="R68" i="7"/>
  <c r="T68" i="7" s="1"/>
  <c r="Q63" i="7"/>
  <c r="Q66" i="9"/>
  <c r="O35" i="7"/>
  <c r="P35" i="7"/>
  <c r="Y88" i="1"/>
  <c r="Y82" i="1"/>
  <c r="Y81" i="1"/>
  <c r="Y80" i="1"/>
  <c r="Y79" i="1"/>
  <c r="Y78" i="1"/>
  <c r="Y77" i="1"/>
  <c r="Y76" i="1"/>
  <c r="Y75" i="1"/>
  <c r="Y74" i="1"/>
  <c r="Y73" i="1"/>
  <c r="Y72" i="1"/>
  <c r="Y56" i="1"/>
  <c r="Y55" i="1"/>
  <c r="Y48" i="1"/>
  <c r="Y47" i="1"/>
  <c r="Y44" i="1"/>
  <c r="R34" i="1"/>
  <c r="Q34" i="1"/>
  <c r="T41" i="1"/>
  <c r="S41" i="1"/>
  <c r="Q47" i="9"/>
  <c r="R47" i="9"/>
  <c r="R35" i="1"/>
  <c r="Q35" i="1"/>
  <c r="Q69" i="1"/>
  <c r="R69" i="1"/>
  <c r="T68" i="1"/>
  <c r="S68" i="1"/>
  <c r="T47" i="1"/>
  <c r="S47" i="1"/>
  <c r="P36" i="1"/>
  <c r="O36" i="1"/>
  <c r="R67" i="1"/>
  <c r="Q67" i="1"/>
  <c r="R40" i="1"/>
  <c r="Q40" i="1"/>
  <c r="R64" i="1"/>
  <c r="Q64" i="1"/>
  <c r="R65" i="1"/>
  <c r="Q65" i="1"/>
  <c r="R66" i="1"/>
  <c r="Q66" i="1"/>
  <c r="R63" i="1"/>
  <c r="Q63" i="1"/>
  <c r="R48" i="1"/>
  <c r="Q48" i="1"/>
  <c r="R51" i="1"/>
  <c r="P56" i="1"/>
  <c r="O56" i="1"/>
  <c r="P44" i="1"/>
  <c r="O44" i="1"/>
  <c r="P54" i="1"/>
  <c r="O54" i="1"/>
  <c r="P49" i="1"/>
  <c r="O49" i="1"/>
  <c r="P42" i="1"/>
  <c r="O42" i="1"/>
  <c r="P37" i="1"/>
  <c r="O37" i="1"/>
  <c r="P55" i="1"/>
  <c r="O55" i="1"/>
  <c r="P39" i="1"/>
  <c r="O39" i="1"/>
  <c r="S70" i="9"/>
  <c r="T70" i="9"/>
  <c r="T69" i="8"/>
  <c r="S69" i="8"/>
  <c r="S70" i="8"/>
  <c r="T70" i="8"/>
  <c r="Q69" i="7"/>
  <c r="R69" i="7"/>
  <c r="T70" i="7"/>
  <c r="S70" i="7"/>
  <c r="T32" i="9"/>
  <c r="S32" i="9"/>
  <c r="P38" i="1"/>
  <c r="O38" i="1"/>
  <c r="T68" i="9"/>
  <c r="S68" i="9"/>
  <c r="R34" i="9"/>
  <c r="Q34" i="9"/>
  <c r="R40" i="9"/>
  <c r="Q40" i="9"/>
  <c r="R64" i="9"/>
  <c r="Q64" i="9"/>
  <c r="R69" i="9"/>
  <c r="Q69" i="9"/>
  <c r="T48" i="9"/>
  <c r="S48" i="9"/>
  <c r="R65" i="9"/>
  <c r="Q65" i="9"/>
  <c r="T33" i="9"/>
  <c r="S33" i="9"/>
  <c r="T66" i="9"/>
  <c r="S66" i="9"/>
  <c r="AA83" i="8"/>
  <c r="AA82" i="8"/>
  <c r="AA81" i="8"/>
  <c r="AA80" i="8"/>
  <c r="AA79" i="8"/>
  <c r="AA78" i="8"/>
  <c r="AA77" i="8"/>
  <c r="AA76" i="8"/>
  <c r="AA75" i="8"/>
  <c r="AA74" i="8"/>
  <c r="AA73" i="8"/>
  <c r="AA72" i="8"/>
  <c r="AA48" i="8"/>
  <c r="AA56" i="8"/>
  <c r="AA55" i="8"/>
  <c r="AA54" i="8"/>
  <c r="AA51" i="8"/>
  <c r="AA50" i="8"/>
  <c r="AA47" i="8"/>
  <c r="AA44" i="8"/>
  <c r="AC31" i="8"/>
  <c r="T33" i="8"/>
  <c r="S33" i="8"/>
  <c r="V32" i="8"/>
  <c r="U32" i="8"/>
  <c r="R41" i="7"/>
  <c r="Q41" i="7"/>
  <c r="T63" i="7"/>
  <c r="S63" i="7"/>
  <c r="T47" i="7"/>
  <c r="S47" i="7"/>
  <c r="T40" i="7"/>
  <c r="S40" i="7"/>
  <c r="T67" i="7"/>
  <c r="S67" i="7"/>
  <c r="T65" i="7"/>
  <c r="S65" i="7"/>
  <c r="T66" i="7"/>
  <c r="S66" i="7"/>
  <c r="W83" i="7"/>
  <c r="W82" i="7"/>
  <c r="W81" i="7"/>
  <c r="W80" i="7"/>
  <c r="W79" i="7"/>
  <c r="W78" i="7"/>
  <c r="W77" i="7"/>
  <c r="W76" i="7"/>
  <c r="W75" i="7"/>
  <c r="W74" i="7"/>
  <c r="W73" i="7"/>
  <c r="W72" i="7"/>
  <c r="W56" i="7"/>
  <c r="W55" i="7"/>
  <c r="W34" i="7"/>
  <c r="W32" i="7"/>
  <c r="Y31" i="7"/>
  <c r="Y84" i="7" s="1"/>
  <c r="AA31" i="1"/>
  <c r="Y32" i="1"/>
  <c r="R48" i="26" l="1"/>
  <c r="Q48" i="26"/>
  <c r="R59" i="24"/>
  <c r="S59" i="24" s="1"/>
  <c r="K25" i="1"/>
  <c r="AC313" i="16"/>
  <c r="AC305" i="16"/>
  <c r="AC297" i="16"/>
  <c r="AC289" i="16"/>
  <c r="AC281" i="16"/>
  <c r="AC273" i="16"/>
  <c r="AC265" i="16"/>
  <c r="AC257" i="16"/>
  <c r="AC310" i="16"/>
  <c r="AC302" i="16"/>
  <c r="AC294" i="16"/>
  <c r="AC286" i="16"/>
  <c r="AC278" i="16"/>
  <c r="AC270" i="16"/>
  <c r="AC262" i="16"/>
  <c r="AC254" i="16"/>
  <c r="AC312" i="16"/>
  <c r="AC304" i="16"/>
  <c r="AC296" i="16"/>
  <c r="AC288" i="16"/>
  <c r="AC280" i="16"/>
  <c r="AC272" i="16"/>
  <c r="AC264" i="16"/>
  <c r="AC256" i="16"/>
  <c r="AC317" i="16"/>
  <c r="AC309" i="16"/>
  <c r="AC301" i="16"/>
  <c r="AC293" i="16"/>
  <c r="AC285" i="16"/>
  <c r="AC277" i="16"/>
  <c r="AC269" i="16"/>
  <c r="AC261" i="16"/>
  <c r="AC311" i="16"/>
  <c r="AC303" i="16"/>
  <c r="AC295" i="16"/>
  <c r="AC287" i="16"/>
  <c r="AC279" i="16"/>
  <c r="AC271" i="16"/>
  <c r="AC263" i="16"/>
  <c r="AC255" i="16"/>
  <c r="AC290" i="16"/>
  <c r="AC298" i="16"/>
  <c r="AC306" i="16"/>
  <c r="AC274" i="16"/>
  <c r="AC250" i="16"/>
  <c r="AC247" i="16"/>
  <c r="AC239" i="16"/>
  <c r="AC231" i="16"/>
  <c r="AC223" i="16"/>
  <c r="AC316" i="16"/>
  <c r="AC299" i="16"/>
  <c r="AC284" i="16"/>
  <c r="AC267" i="16"/>
  <c r="AC251" i="16"/>
  <c r="AC244" i="16"/>
  <c r="AC236" i="16"/>
  <c r="AC228" i="16"/>
  <c r="AC314" i="16"/>
  <c r="AC282" i="16"/>
  <c r="AC249" i="16"/>
  <c r="AC241" i="16"/>
  <c r="AC233" i="16"/>
  <c r="AC225" i="16"/>
  <c r="AC217" i="16"/>
  <c r="AC283" i="16"/>
  <c r="AC248" i="16"/>
  <c r="AC237" i="16"/>
  <c r="AC226" i="16"/>
  <c r="AC212" i="16"/>
  <c r="AC252" i="16"/>
  <c r="AC240" i="16"/>
  <c r="AC229" i="16"/>
  <c r="AC315" i="16"/>
  <c r="AC308" i="16"/>
  <c r="AC258" i="16"/>
  <c r="AC242" i="16"/>
  <c r="AC232" i="16"/>
  <c r="AC221" i="16"/>
  <c r="AC220" i="16"/>
  <c r="AC219" i="16"/>
  <c r="AC214" i="16"/>
  <c r="AC210" i="16"/>
  <c r="AC207" i="16"/>
  <c r="AC199" i="16"/>
  <c r="AC191" i="16"/>
  <c r="AC260" i="16"/>
  <c r="AC246" i="16"/>
  <c r="AC235" i="16"/>
  <c r="AC204" i="16"/>
  <c r="AC196" i="16"/>
  <c r="AC307" i="16"/>
  <c r="AC300" i="16"/>
  <c r="AC253" i="16"/>
  <c r="AC245" i="16"/>
  <c r="AC234" i="16"/>
  <c r="AC224" i="16"/>
  <c r="AC218" i="16"/>
  <c r="AC213" i="16"/>
  <c r="AC209" i="16"/>
  <c r="AC201" i="16"/>
  <c r="AC193" i="16"/>
  <c r="AC291" i="16"/>
  <c r="AC275" i="16"/>
  <c r="AC259" i="16"/>
  <c r="AC190" i="16"/>
  <c r="AC215" i="16"/>
  <c r="AC200" i="16"/>
  <c r="AC203" i="16"/>
  <c r="AC268" i="16"/>
  <c r="AC211" i="16"/>
  <c r="AC202" i="16"/>
  <c r="AC192" i="16"/>
  <c r="AC230" i="16"/>
  <c r="AC216" i="16"/>
  <c r="AC206" i="16"/>
  <c r="AC195" i="16"/>
  <c r="AC197" i="16"/>
  <c r="AC238" i="16"/>
  <c r="AC222" i="16"/>
  <c r="AC205" i="16"/>
  <c r="AC194" i="16"/>
  <c r="AC198" i="16"/>
  <c r="AC208" i="16"/>
  <c r="AC292" i="16"/>
  <c r="AC276" i="16"/>
  <c r="AC266" i="16"/>
  <c r="AC243" i="16"/>
  <c r="AC227" i="16"/>
  <c r="Q273" i="16"/>
  <c r="R273" i="16"/>
  <c r="T273" i="16" s="1"/>
  <c r="V273" i="16" s="1"/>
  <c r="X273" i="16" s="1"/>
  <c r="Z273" i="16" s="1"/>
  <c r="AB273" i="16" s="1"/>
  <c r="AD273" i="16" s="1"/>
  <c r="AF273" i="16" s="1"/>
  <c r="AH273" i="16" s="1"/>
  <c r="AJ273" i="16" s="1"/>
  <c r="H277" i="16"/>
  <c r="K276" i="16"/>
  <c r="F276" i="16"/>
  <c r="M275" i="16"/>
  <c r="N275" i="16"/>
  <c r="P274" i="16"/>
  <c r="O274" i="16"/>
  <c r="Y85" i="9"/>
  <c r="Y112" i="9"/>
  <c r="R90" i="26"/>
  <c r="Q90" i="26"/>
  <c r="R65" i="26"/>
  <c r="Q65" i="26"/>
  <c r="T58" i="27"/>
  <c r="S58" i="27"/>
  <c r="R61" i="26"/>
  <c r="Q61" i="26"/>
  <c r="R34" i="26"/>
  <c r="Q34" i="26"/>
  <c r="P70" i="24"/>
  <c r="O70" i="24"/>
  <c r="S57" i="27"/>
  <c r="T57" i="27"/>
  <c r="S103" i="26"/>
  <c r="T103" i="26"/>
  <c r="Q46" i="26"/>
  <c r="R46" i="26"/>
  <c r="AC84" i="8"/>
  <c r="R68" i="26"/>
  <c r="Q68" i="26"/>
  <c r="M52" i="26"/>
  <c r="N52" i="26"/>
  <c r="H52" i="26"/>
  <c r="T60" i="27"/>
  <c r="S60" i="27"/>
  <c r="T67" i="26"/>
  <c r="S67" i="26"/>
  <c r="T70" i="26"/>
  <c r="S70" i="26"/>
  <c r="N53" i="26"/>
  <c r="M53" i="26"/>
  <c r="R47" i="26"/>
  <c r="Q47" i="26"/>
  <c r="X106" i="26"/>
  <c r="W106" i="26"/>
  <c r="R40" i="26"/>
  <c r="Q40" i="26"/>
  <c r="Q63" i="26"/>
  <c r="R63" i="26"/>
  <c r="M33" i="26"/>
  <c r="H33" i="26"/>
  <c r="N33" i="26"/>
  <c r="T48" i="27"/>
  <c r="V48" i="27" s="1"/>
  <c r="X48" i="27" s="1"/>
  <c r="Z48" i="27" s="1"/>
  <c r="AB48" i="27" s="1"/>
  <c r="AD48" i="27" s="1"/>
  <c r="AF48" i="27" s="1"/>
  <c r="AH48" i="27" s="1"/>
  <c r="S48" i="27"/>
  <c r="G48" i="27" s="1"/>
  <c r="V107" i="26"/>
  <c r="U107" i="26"/>
  <c r="R64" i="26"/>
  <c r="Q64" i="26"/>
  <c r="R61" i="27"/>
  <c r="Q61" i="27"/>
  <c r="V69" i="26"/>
  <c r="U69" i="26"/>
  <c r="Q35" i="26"/>
  <c r="R35" i="26"/>
  <c r="F20" i="28"/>
  <c r="I20" i="28" s="1"/>
  <c r="I19" i="28"/>
  <c r="T66" i="26"/>
  <c r="S66" i="26"/>
  <c r="T67" i="9"/>
  <c r="S67" i="9"/>
  <c r="F135" i="9"/>
  <c r="K135" i="9" s="1"/>
  <c r="M135" i="9" s="1"/>
  <c r="T45" i="27"/>
  <c r="S45" i="27"/>
  <c r="T113" i="9"/>
  <c r="S113" i="9"/>
  <c r="P50" i="1"/>
  <c r="Q50" i="1" s="1"/>
  <c r="K24" i="1"/>
  <c r="R115" i="9"/>
  <c r="Q115" i="9"/>
  <c r="T34" i="27"/>
  <c r="S34" i="27"/>
  <c r="N41" i="26"/>
  <c r="H41" i="26"/>
  <c r="M41" i="26"/>
  <c r="K14" i="26"/>
  <c r="N14" i="26"/>
  <c r="P14" i="26" s="1"/>
  <c r="N18" i="26"/>
  <c r="P18" i="26" s="1"/>
  <c r="K18" i="26"/>
  <c r="F59" i="26"/>
  <c r="K59" i="26" s="1"/>
  <c r="K17" i="26"/>
  <c r="N17" i="26"/>
  <c r="P17" i="26" s="1"/>
  <c r="K21" i="26"/>
  <c r="N21" i="26"/>
  <c r="P21" i="26" s="1"/>
  <c r="N20" i="26"/>
  <c r="P20" i="26" s="1"/>
  <c r="K20" i="26"/>
  <c r="N16" i="26"/>
  <c r="P16" i="26" s="1"/>
  <c r="K16" i="26"/>
  <c r="Q114" i="9"/>
  <c r="R114" i="9"/>
  <c r="N13" i="26"/>
  <c r="P13" i="26" s="1"/>
  <c r="K13" i="26"/>
  <c r="N19" i="26"/>
  <c r="P19" i="26" s="1"/>
  <c r="K19" i="26"/>
  <c r="T43" i="27"/>
  <c r="V43" i="27" s="1"/>
  <c r="X43" i="27" s="1"/>
  <c r="Z43" i="27" s="1"/>
  <c r="AB43" i="27" s="1"/>
  <c r="AD43" i="27" s="1"/>
  <c r="AF43" i="27" s="1"/>
  <c r="AH43" i="27" s="1"/>
  <c r="S43" i="27"/>
  <c r="G43" i="27" s="1"/>
  <c r="Q63" i="9"/>
  <c r="R104" i="9"/>
  <c r="Q104" i="9"/>
  <c r="S48" i="24"/>
  <c r="T48" i="24"/>
  <c r="O59" i="9"/>
  <c r="N49" i="9"/>
  <c r="O49" i="9" s="1"/>
  <c r="T38" i="24"/>
  <c r="S38" i="24"/>
  <c r="T67" i="24"/>
  <c r="S67" i="24"/>
  <c r="T64" i="24"/>
  <c r="S64" i="24"/>
  <c r="S69" i="24"/>
  <c r="T69" i="24"/>
  <c r="P41" i="24"/>
  <c r="O41" i="24"/>
  <c r="AA84" i="1"/>
  <c r="T85" i="8"/>
  <c r="S85" i="8"/>
  <c r="R66" i="21"/>
  <c r="T66" i="21" s="1"/>
  <c r="T85" i="1"/>
  <c r="S85" i="1"/>
  <c r="T86" i="9"/>
  <c r="S86" i="9"/>
  <c r="T59" i="24"/>
  <c r="T43" i="1"/>
  <c r="S43" i="1"/>
  <c r="T85" i="7"/>
  <c r="S85" i="7"/>
  <c r="Q65" i="21"/>
  <c r="H41" i="21"/>
  <c r="R63" i="21"/>
  <c r="T63" i="21" s="1"/>
  <c r="M41" i="21"/>
  <c r="M49" i="9"/>
  <c r="P43" i="7"/>
  <c r="O43" i="7"/>
  <c r="R43" i="9"/>
  <c r="Q43" i="9"/>
  <c r="V95" i="21"/>
  <c r="U95" i="21"/>
  <c r="P41" i="21"/>
  <c r="O41" i="21"/>
  <c r="Q37" i="18"/>
  <c r="R37" i="18"/>
  <c r="T65" i="21"/>
  <c r="S65" i="21"/>
  <c r="G14" i="19"/>
  <c r="L14" i="19" s="1"/>
  <c r="G14" i="20"/>
  <c r="L14" i="20" s="1"/>
  <c r="I13" i="20"/>
  <c r="L13" i="20"/>
  <c r="L13" i="19"/>
  <c r="I13" i="19"/>
  <c r="R69" i="21"/>
  <c r="Q69" i="21"/>
  <c r="Q58" i="21"/>
  <c r="R58" i="21"/>
  <c r="I17" i="20"/>
  <c r="F58" i="20"/>
  <c r="H58" i="20" s="1"/>
  <c r="I58" i="20" s="1"/>
  <c r="I14" i="19"/>
  <c r="F19" i="19"/>
  <c r="I19" i="19" s="1"/>
  <c r="D20" i="19"/>
  <c r="F20" i="19" s="1"/>
  <c r="I20" i="19" s="1"/>
  <c r="U96" i="21"/>
  <c r="V96" i="21"/>
  <c r="T93" i="1"/>
  <c r="S93" i="1"/>
  <c r="G16" i="19"/>
  <c r="G17" i="19" s="1"/>
  <c r="L17" i="19" s="1"/>
  <c r="I16" i="19"/>
  <c r="R47" i="21"/>
  <c r="Q47" i="21"/>
  <c r="AC186" i="16"/>
  <c r="AC182" i="16"/>
  <c r="AC178" i="16"/>
  <c r="AC174" i="16"/>
  <c r="AC170" i="16"/>
  <c r="AC166" i="16"/>
  <c r="AC162" i="16"/>
  <c r="AC158" i="16"/>
  <c r="AC185" i="16"/>
  <c r="AC183" i="16"/>
  <c r="AC175" i="16"/>
  <c r="AC167" i="16"/>
  <c r="AC159" i="16"/>
  <c r="AC152" i="16"/>
  <c r="AC148" i="16"/>
  <c r="AC179" i="16"/>
  <c r="AC171" i="16"/>
  <c r="AC163" i="16"/>
  <c r="AC154" i="16"/>
  <c r="AC150" i="16"/>
  <c r="AC172" i="16"/>
  <c r="AC164" i="16"/>
  <c r="AC156" i="16"/>
  <c r="AC169" i="16"/>
  <c r="AC161" i="16"/>
  <c r="AC155" i="16"/>
  <c r="AC181" i="16"/>
  <c r="AC180" i="16"/>
  <c r="AC173" i="16"/>
  <c r="AC165" i="16"/>
  <c r="AC157" i="16"/>
  <c r="AC176" i="16"/>
  <c r="AC168" i="16"/>
  <c r="AC149" i="16"/>
  <c r="AC184" i="16"/>
  <c r="AC177" i="16"/>
  <c r="AC160" i="16"/>
  <c r="AC153" i="16"/>
  <c r="AC151" i="16"/>
  <c r="T52" i="21"/>
  <c r="S52" i="21"/>
  <c r="S38" i="21"/>
  <c r="T38" i="21"/>
  <c r="I20" i="20"/>
  <c r="I17" i="19"/>
  <c r="F58" i="19"/>
  <c r="H58" i="19" s="1"/>
  <c r="I58" i="19" s="1"/>
  <c r="I16" i="20"/>
  <c r="G16" i="20"/>
  <c r="G17" i="20" s="1"/>
  <c r="L17" i="20" s="1"/>
  <c r="S68" i="21"/>
  <c r="T68" i="21"/>
  <c r="R49" i="21"/>
  <c r="Q49" i="21"/>
  <c r="T3" i="17"/>
  <c r="S3" i="17"/>
  <c r="U35" i="17"/>
  <c r="V35" i="17"/>
  <c r="T130" i="17"/>
  <c r="S130" i="17"/>
  <c r="R131" i="17"/>
  <c r="Q131" i="17"/>
  <c r="G58" i="17"/>
  <c r="E57" i="17"/>
  <c r="O59" i="17"/>
  <c r="L58" i="17"/>
  <c r="L60" i="17"/>
  <c r="G60" i="17"/>
  <c r="E61" i="17"/>
  <c r="Y45" i="9"/>
  <c r="Y46" i="9"/>
  <c r="Y88" i="9"/>
  <c r="T94" i="9"/>
  <c r="S94" i="9"/>
  <c r="AC93" i="8"/>
  <c r="AC60" i="8"/>
  <c r="AC61" i="8"/>
  <c r="AC92" i="8"/>
  <c r="AC45" i="8"/>
  <c r="AC46" i="8"/>
  <c r="AC87" i="8"/>
  <c r="T93" i="8"/>
  <c r="S93" i="8"/>
  <c r="Y46" i="7"/>
  <c r="Y87" i="7"/>
  <c r="T93" i="7"/>
  <c r="S93" i="7"/>
  <c r="N93" i="9"/>
  <c r="O93" i="9" s="1"/>
  <c r="X33" i="1"/>
  <c r="W33" i="1"/>
  <c r="D23" i="7"/>
  <c r="D24" i="7" s="1"/>
  <c r="F24" i="7" s="1"/>
  <c r="K24" i="7" s="1"/>
  <c r="O42" i="9"/>
  <c r="P38" i="9"/>
  <c r="R38" i="9" s="1"/>
  <c r="O42" i="7"/>
  <c r="P42" i="7"/>
  <c r="Q55" i="7"/>
  <c r="M49" i="7"/>
  <c r="O55" i="7"/>
  <c r="P39" i="7"/>
  <c r="P44" i="7"/>
  <c r="R44" i="7" s="1"/>
  <c r="T44" i="7" s="1"/>
  <c r="V44" i="7" s="1"/>
  <c r="N50" i="7"/>
  <c r="O44" i="9"/>
  <c r="D23" i="9"/>
  <c r="D24" i="9" s="1"/>
  <c r="F24" i="9" s="1"/>
  <c r="M24" i="24" s="1"/>
  <c r="V61" i="1"/>
  <c r="U61" i="1"/>
  <c r="O39" i="9"/>
  <c r="P54" i="7"/>
  <c r="Q54" i="7" s="1"/>
  <c r="T92" i="1"/>
  <c r="S92" i="1"/>
  <c r="AA61" i="1"/>
  <c r="AA60" i="1"/>
  <c r="T60" i="1"/>
  <c r="S60" i="1"/>
  <c r="T70" i="1"/>
  <c r="S70" i="1"/>
  <c r="F138" i="9"/>
  <c r="K138" i="9" s="1"/>
  <c r="N138" i="9" s="1"/>
  <c r="P138" i="9" s="1"/>
  <c r="R138" i="9" s="1"/>
  <c r="P62" i="9"/>
  <c r="O62" i="9"/>
  <c r="T63" i="9"/>
  <c r="S63" i="9"/>
  <c r="P60" i="9"/>
  <c r="O60" i="9"/>
  <c r="T61" i="9"/>
  <c r="S61" i="9"/>
  <c r="T61" i="7"/>
  <c r="S61" i="7"/>
  <c r="P60" i="7"/>
  <c r="O60" i="7"/>
  <c r="M50" i="7"/>
  <c r="N92" i="7"/>
  <c r="M92" i="7"/>
  <c r="G45" i="17"/>
  <c r="E46" i="17"/>
  <c r="E44" i="17"/>
  <c r="L45" i="17"/>
  <c r="N49" i="7"/>
  <c r="P49" i="7" s="1"/>
  <c r="R49" i="7" s="1"/>
  <c r="T49" i="7" s="1"/>
  <c r="N50" i="9"/>
  <c r="M50" i="9"/>
  <c r="T53" i="1"/>
  <c r="U53" i="1" s="1"/>
  <c r="O36" i="9"/>
  <c r="T58" i="18"/>
  <c r="S58" i="18"/>
  <c r="S43" i="18"/>
  <c r="G43" i="18" s="1"/>
  <c r="T43" i="18"/>
  <c r="V43" i="18" s="1"/>
  <c r="X43" i="18" s="1"/>
  <c r="Z43" i="18" s="1"/>
  <c r="AB43" i="18" s="1"/>
  <c r="AD43" i="18" s="1"/>
  <c r="AF43" i="18" s="1"/>
  <c r="AH43" i="18" s="1"/>
  <c r="AA87" i="1"/>
  <c r="AA98" i="1"/>
  <c r="AA97" i="1"/>
  <c r="AA96" i="1"/>
  <c r="T59" i="1"/>
  <c r="S59" i="1"/>
  <c r="S55" i="18"/>
  <c r="T55" i="18"/>
  <c r="T58" i="1"/>
  <c r="S58" i="1"/>
  <c r="S57" i="18"/>
  <c r="T57" i="18"/>
  <c r="T60" i="18"/>
  <c r="S60" i="18"/>
  <c r="T34" i="18"/>
  <c r="S34" i="18"/>
  <c r="S48" i="18"/>
  <c r="G48" i="18" s="1"/>
  <c r="T48" i="18"/>
  <c r="V48" i="18" s="1"/>
  <c r="X48" i="18" s="1"/>
  <c r="Z48" i="18" s="1"/>
  <c r="AB48" i="18" s="1"/>
  <c r="AD48" i="18" s="1"/>
  <c r="AF48" i="18" s="1"/>
  <c r="AH48" i="18" s="1"/>
  <c r="S45" i="18"/>
  <c r="T45" i="18"/>
  <c r="R59" i="9"/>
  <c r="Q59" i="9"/>
  <c r="F120" i="9"/>
  <c r="K120" i="9" s="1"/>
  <c r="M120" i="9" s="1"/>
  <c r="P58" i="9"/>
  <c r="O58" i="9"/>
  <c r="P59" i="8"/>
  <c r="O59" i="8"/>
  <c r="R59" i="7"/>
  <c r="Q59" i="7"/>
  <c r="P58" i="7"/>
  <c r="O58" i="7"/>
  <c r="R57" i="7"/>
  <c r="T57" i="7" s="1"/>
  <c r="T61" i="18"/>
  <c r="S61" i="18"/>
  <c r="F139" i="9"/>
  <c r="K139" i="9" s="1"/>
  <c r="N139" i="9" s="1"/>
  <c r="P139" i="9" s="1"/>
  <c r="F124" i="9"/>
  <c r="K124" i="9" s="1"/>
  <c r="N124" i="9" s="1"/>
  <c r="P124" i="9" s="1"/>
  <c r="R124" i="9" s="1"/>
  <c r="F127" i="9"/>
  <c r="K127" i="9" s="1"/>
  <c r="M127" i="9" s="1"/>
  <c r="F121" i="9"/>
  <c r="K121" i="9" s="1"/>
  <c r="N121" i="9" s="1"/>
  <c r="F125" i="9"/>
  <c r="K125" i="9" s="1"/>
  <c r="N125" i="9" s="1"/>
  <c r="P125" i="9" s="1"/>
  <c r="Q125" i="9" s="1"/>
  <c r="F126" i="9"/>
  <c r="K126" i="9" s="1"/>
  <c r="R57" i="9"/>
  <c r="S57" i="9" s="1"/>
  <c r="F131" i="9"/>
  <c r="K131" i="9" s="1"/>
  <c r="M131" i="9" s="1"/>
  <c r="F136" i="9"/>
  <c r="K136" i="9" s="1"/>
  <c r="N136" i="9" s="1"/>
  <c r="O136" i="9" s="1"/>
  <c r="F118" i="9"/>
  <c r="K118" i="9" s="1"/>
  <c r="N118" i="9" s="1"/>
  <c r="O118" i="9" s="1"/>
  <c r="F137" i="9"/>
  <c r="K137" i="9" s="1"/>
  <c r="N137" i="9" s="1"/>
  <c r="P137" i="9" s="1"/>
  <c r="Q137" i="9" s="1"/>
  <c r="F129" i="9"/>
  <c r="K129" i="9" s="1"/>
  <c r="M129" i="9" s="1"/>
  <c r="D143" i="9"/>
  <c r="D144" i="9"/>
  <c r="D142" i="9"/>
  <c r="F140" i="9"/>
  <c r="K140" i="9" s="1"/>
  <c r="N140" i="9" s="1"/>
  <c r="P140" i="9" s="1"/>
  <c r="Q140" i="9" s="1"/>
  <c r="F119" i="9"/>
  <c r="K119" i="9" s="1"/>
  <c r="M119" i="9" s="1"/>
  <c r="F123" i="9"/>
  <c r="K123" i="9" s="1"/>
  <c r="N123" i="9" s="1"/>
  <c r="O123" i="9" s="1"/>
  <c r="O57" i="9"/>
  <c r="F122" i="9"/>
  <c r="K122" i="9" s="1"/>
  <c r="N122" i="9" s="1"/>
  <c r="P122" i="9" s="1"/>
  <c r="Q122" i="9" s="1"/>
  <c r="F133" i="9"/>
  <c r="K133" i="9" s="1"/>
  <c r="M133" i="9" s="1"/>
  <c r="F130" i="9"/>
  <c r="K130" i="9" s="1"/>
  <c r="N130" i="9" s="1"/>
  <c r="P130" i="9" s="1"/>
  <c r="Q130" i="9" s="1"/>
  <c r="F128" i="9"/>
  <c r="K128" i="9" s="1"/>
  <c r="M128" i="9" s="1"/>
  <c r="F132" i="9"/>
  <c r="K132" i="9" s="1"/>
  <c r="N132" i="9" s="1"/>
  <c r="F134" i="9"/>
  <c r="K134" i="9" s="1"/>
  <c r="N134" i="9" s="1"/>
  <c r="O134" i="9" s="1"/>
  <c r="O160" i="16"/>
  <c r="P160" i="16"/>
  <c r="N161" i="16"/>
  <c r="M161" i="16"/>
  <c r="Q159" i="16"/>
  <c r="R159" i="16"/>
  <c r="T159" i="16" s="1"/>
  <c r="V159" i="16" s="1"/>
  <c r="X159" i="16" s="1"/>
  <c r="Z159" i="16" s="1"/>
  <c r="AB159" i="16" s="1"/>
  <c r="AD159" i="16" s="1"/>
  <c r="AF159" i="16" s="1"/>
  <c r="AH159" i="16" s="1"/>
  <c r="AJ159" i="16" s="1"/>
  <c r="H163" i="16"/>
  <c r="K162" i="16"/>
  <c r="AC146" i="16"/>
  <c r="AC142" i="16"/>
  <c r="AC138" i="16"/>
  <c r="AC144" i="16"/>
  <c r="AC140" i="16"/>
  <c r="AC136" i="16"/>
  <c r="AC145" i="16"/>
  <c r="AC141" i="16"/>
  <c r="AC137" i="16"/>
  <c r="AC147" i="16"/>
  <c r="AC139" i="16"/>
  <c r="AC143" i="16"/>
  <c r="AC135" i="16"/>
  <c r="AC187" i="16"/>
  <c r="Q37" i="7"/>
  <c r="P62" i="7"/>
  <c r="R62" i="7" s="1"/>
  <c r="T46" i="7"/>
  <c r="S46" i="7"/>
  <c r="T46" i="9"/>
  <c r="S46" i="9"/>
  <c r="P45" i="9"/>
  <c r="O45" i="9"/>
  <c r="P38" i="7"/>
  <c r="Q38" i="7" s="1"/>
  <c r="T129" i="17"/>
  <c r="S129" i="17"/>
  <c r="Q128" i="17"/>
  <c r="R128" i="17"/>
  <c r="Y45" i="7"/>
  <c r="Y86" i="7"/>
  <c r="T46" i="1"/>
  <c r="S46" i="1"/>
  <c r="AA46" i="1"/>
  <c r="AA45" i="1"/>
  <c r="T45" i="1"/>
  <c r="S45" i="1"/>
  <c r="P45" i="7"/>
  <c r="O45" i="7"/>
  <c r="P36" i="7"/>
  <c r="Q36" i="7" s="1"/>
  <c r="Y91" i="9"/>
  <c r="Y81" i="9"/>
  <c r="Y77" i="9"/>
  <c r="Y73" i="9"/>
  <c r="Y41" i="9"/>
  <c r="Y47" i="9"/>
  <c r="Y84" i="9"/>
  <c r="Y80" i="9"/>
  <c r="Y76" i="9"/>
  <c r="Y56" i="9"/>
  <c r="Y48" i="9"/>
  <c r="AA31" i="9"/>
  <c r="Y53" i="9"/>
  <c r="Y83" i="9"/>
  <c r="Y79" i="9"/>
  <c r="Y75" i="9"/>
  <c r="Y55" i="9"/>
  <c r="Y57" i="9"/>
  <c r="Y82" i="9"/>
  <c r="Y78" i="9"/>
  <c r="Y74" i="9"/>
  <c r="Y44" i="9"/>
  <c r="Y87" i="9"/>
  <c r="AC88" i="8"/>
  <c r="AC86" i="8"/>
  <c r="P54" i="9"/>
  <c r="Q54" i="9" s="1"/>
  <c r="E89" i="17"/>
  <c r="G88" i="17"/>
  <c r="L88" i="17"/>
  <c r="E87" i="17"/>
  <c r="O55" i="9"/>
  <c r="O29" i="17"/>
  <c r="L28" i="17"/>
  <c r="L74" i="17"/>
  <c r="O73" i="17"/>
  <c r="L72" i="17"/>
  <c r="L109" i="17"/>
  <c r="O109" i="17" s="1"/>
  <c r="O108" i="17"/>
  <c r="G28" i="17"/>
  <c r="E27" i="17"/>
  <c r="P37" i="9"/>
  <c r="Q37" i="9" s="1"/>
  <c r="E133" i="17"/>
  <c r="G133" i="17" s="1"/>
  <c r="O133" i="17"/>
  <c r="E71" i="17"/>
  <c r="G72" i="17"/>
  <c r="E121" i="17"/>
  <c r="L122" i="17"/>
  <c r="L120" i="17"/>
  <c r="L119" i="17" s="1"/>
  <c r="O119" i="17" s="1"/>
  <c r="L132" i="17"/>
  <c r="O121" i="17"/>
  <c r="Q110" i="17"/>
  <c r="R110" i="17"/>
  <c r="L32" i="17"/>
  <c r="O31" i="17"/>
  <c r="T127" i="17"/>
  <c r="S127" i="17"/>
  <c r="R30" i="17"/>
  <c r="Q30" i="17"/>
  <c r="G74" i="17"/>
  <c r="E75" i="17"/>
  <c r="G112" i="17"/>
  <c r="E113" i="17"/>
  <c r="T126" i="17"/>
  <c r="S126" i="17"/>
  <c r="L125" i="17"/>
  <c r="L115" i="17"/>
  <c r="O111" i="17"/>
  <c r="L112" i="17"/>
  <c r="E33" i="17"/>
  <c r="G32" i="17"/>
  <c r="AI134" i="17"/>
  <c r="AK23" i="17"/>
  <c r="V32" i="16"/>
  <c r="U32" i="16"/>
  <c r="P43" i="16"/>
  <c r="O43" i="16"/>
  <c r="K45" i="16"/>
  <c r="W29" i="16"/>
  <c r="X29" i="16"/>
  <c r="W31" i="16"/>
  <c r="X31" i="16"/>
  <c r="K49" i="16"/>
  <c r="M44" i="16"/>
  <c r="N44" i="16"/>
  <c r="X27" i="16"/>
  <c r="W27" i="16"/>
  <c r="N42" i="16"/>
  <c r="M42" i="16"/>
  <c r="Q36" i="16"/>
  <c r="R36" i="16"/>
  <c r="N46" i="16"/>
  <c r="M46" i="16"/>
  <c r="T33" i="16"/>
  <c r="S33" i="16"/>
  <c r="K47" i="16"/>
  <c r="O41" i="16"/>
  <c r="P41" i="16"/>
  <c r="U30" i="16"/>
  <c r="V30" i="16"/>
  <c r="V34" i="16"/>
  <c r="U34" i="16"/>
  <c r="Q40" i="16"/>
  <c r="R40" i="16"/>
  <c r="T35" i="16"/>
  <c r="S35" i="16"/>
  <c r="Q38" i="16"/>
  <c r="R38" i="16"/>
  <c r="P39" i="16"/>
  <c r="O39" i="16"/>
  <c r="S37" i="16"/>
  <c r="T37" i="16"/>
  <c r="AD24" i="16"/>
  <c r="AC24" i="16"/>
  <c r="AD23" i="16"/>
  <c r="AC23" i="16"/>
  <c r="AD25" i="16"/>
  <c r="AC25" i="16"/>
  <c r="AD20" i="16"/>
  <c r="AC20" i="16"/>
  <c r="AD22" i="16"/>
  <c r="AC22" i="16"/>
  <c r="AD19" i="16"/>
  <c r="AC19" i="16"/>
  <c r="AD26" i="16"/>
  <c r="AC26" i="16"/>
  <c r="AD21" i="16"/>
  <c r="AC21" i="16"/>
  <c r="AD28" i="16"/>
  <c r="AC28" i="16"/>
  <c r="AC18" i="16"/>
  <c r="AE17" i="16"/>
  <c r="AB87" i="9"/>
  <c r="R56" i="7"/>
  <c r="T56" i="7" s="1"/>
  <c r="O37" i="7"/>
  <c r="AB86" i="1"/>
  <c r="AA86" i="1"/>
  <c r="R51" i="7"/>
  <c r="P51" i="9"/>
  <c r="O51" i="9"/>
  <c r="Y57" i="7"/>
  <c r="Y88" i="7"/>
  <c r="O56" i="9"/>
  <c r="O56" i="7"/>
  <c r="X89" i="9"/>
  <c r="W89" i="9"/>
  <c r="AA57" i="1"/>
  <c r="AA53" i="1"/>
  <c r="AA52" i="1"/>
  <c r="Q57" i="1"/>
  <c r="R57" i="1"/>
  <c r="R62" i="1"/>
  <c r="Q62" i="1"/>
  <c r="S52" i="1"/>
  <c r="T52" i="1"/>
  <c r="S90" i="1"/>
  <c r="T90" i="1"/>
  <c r="X83" i="1"/>
  <c r="W83" i="1"/>
  <c r="S53" i="7"/>
  <c r="T53" i="7"/>
  <c r="X90" i="7"/>
  <c r="W90" i="7"/>
  <c r="R108" i="9"/>
  <c r="Q108" i="9"/>
  <c r="Q71" i="9"/>
  <c r="R71" i="9"/>
  <c r="Y16" i="12"/>
  <c r="X107" i="9"/>
  <c r="W107" i="9"/>
  <c r="AC57" i="8"/>
  <c r="AC52" i="8"/>
  <c r="AC53" i="8"/>
  <c r="X96" i="8"/>
  <c r="W96" i="8"/>
  <c r="Y53" i="7"/>
  <c r="V53" i="9"/>
  <c r="U53" i="9"/>
  <c r="V33" i="7"/>
  <c r="U33" i="7"/>
  <c r="V52" i="9"/>
  <c r="U52" i="9"/>
  <c r="V52" i="7"/>
  <c r="U52" i="7"/>
  <c r="S64" i="7"/>
  <c r="R41" i="8"/>
  <c r="Q41" i="8"/>
  <c r="T48" i="7"/>
  <c r="V48" i="7" s="1"/>
  <c r="Q35" i="9"/>
  <c r="S68" i="7"/>
  <c r="Q35" i="7"/>
  <c r="R35" i="7"/>
  <c r="R39" i="1"/>
  <c r="Q39" i="1"/>
  <c r="R55" i="1"/>
  <c r="Q55" i="1"/>
  <c r="R37" i="1"/>
  <c r="Q37" i="1"/>
  <c r="R42" i="1"/>
  <c r="Q42" i="1"/>
  <c r="R49" i="1"/>
  <c r="Q49" i="1"/>
  <c r="R54" i="1"/>
  <c r="Q54" i="1"/>
  <c r="R44" i="1"/>
  <c r="Q44" i="1"/>
  <c r="R56" i="1"/>
  <c r="Q56" i="1"/>
  <c r="T51" i="1"/>
  <c r="S51" i="1"/>
  <c r="T48" i="1"/>
  <c r="S48" i="1"/>
  <c r="T63" i="1"/>
  <c r="S63" i="1"/>
  <c r="T66" i="1"/>
  <c r="S66" i="1"/>
  <c r="T65" i="1"/>
  <c r="S65" i="1"/>
  <c r="T64" i="1"/>
  <c r="S64" i="1"/>
  <c r="T40" i="1"/>
  <c r="S40" i="1"/>
  <c r="T67" i="1"/>
  <c r="S67" i="1"/>
  <c r="S69" i="1"/>
  <c r="T69" i="1"/>
  <c r="T47" i="9"/>
  <c r="S47" i="9"/>
  <c r="AA88" i="1"/>
  <c r="AA82" i="1"/>
  <c r="AA81" i="1"/>
  <c r="AA80" i="1"/>
  <c r="AA79" i="1"/>
  <c r="AA78" i="1"/>
  <c r="AA77" i="1"/>
  <c r="AA76" i="1"/>
  <c r="AA75" i="1"/>
  <c r="AA74" i="1"/>
  <c r="AA73" i="1"/>
  <c r="AA72" i="1"/>
  <c r="AA56" i="1"/>
  <c r="AA55" i="1"/>
  <c r="AA54" i="1"/>
  <c r="AA51" i="1"/>
  <c r="AA50" i="1"/>
  <c r="AA48" i="1"/>
  <c r="AA47" i="1"/>
  <c r="AA44" i="1"/>
  <c r="R36" i="1"/>
  <c r="Q36" i="1"/>
  <c r="V47" i="1"/>
  <c r="U47" i="1"/>
  <c r="V68" i="1"/>
  <c r="U68" i="1"/>
  <c r="T35" i="1"/>
  <c r="S35" i="1"/>
  <c r="V41" i="1"/>
  <c r="U41" i="1"/>
  <c r="T34" i="1"/>
  <c r="S34" i="1"/>
  <c r="U70" i="9"/>
  <c r="V70" i="9"/>
  <c r="U70" i="8"/>
  <c r="V70" i="8"/>
  <c r="V69" i="8"/>
  <c r="U69" i="8"/>
  <c r="S69" i="7"/>
  <c r="T69" i="7"/>
  <c r="V70" i="7"/>
  <c r="U70" i="7"/>
  <c r="V32" i="9"/>
  <c r="U32" i="9"/>
  <c r="R38" i="1"/>
  <c r="Q38" i="1"/>
  <c r="R39" i="9"/>
  <c r="Q39" i="9"/>
  <c r="R56" i="9"/>
  <c r="Q56" i="9"/>
  <c r="R44" i="9"/>
  <c r="Q44" i="9"/>
  <c r="R42" i="9"/>
  <c r="Q42" i="9"/>
  <c r="R55" i="9"/>
  <c r="Q55" i="9"/>
  <c r="R36" i="9"/>
  <c r="Q36" i="9"/>
  <c r="V68" i="9"/>
  <c r="U68" i="9"/>
  <c r="T35" i="9"/>
  <c r="S35" i="9"/>
  <c r="V66" i="9"/>
  <c r="U66" i="9"/>
  <c r="V33" i="9"/>
  <c r="U33" i="9"/>
  <c r="T65" i="9"/>
  <c r="S65" i="9"/>
  <c r="V48" i="9"/>
  <c r="U48" i="9"/>
  <c r="T69" i="9"/>
  <c r="S69" i="9"/>
  <c r="T64" i="9"/>
  <c r="S64" i="9"/>
  <c r="T40" i="9"/>
  <c r="S40" i="9"/>
  <c r="T34" i="9"/>
  <c r="S34" i="9"/>
  <c r="X32" i="8"/>
  <c r="W32" i="8"/>
  <c r="V33" i="8"/>
  <c r="U33" i="8"/>
  <c r="AC66" i="8"/>
  <c r="AC83" i="8"/>
  <c r="AC82" i="8"/>
  <c r="AC81" i="8"/>
  <c r="AC80" i="8"/>
  <c r="AC79" i="8"/>
  <c r="AC78" i="8"/>
  <c r="AC77" i="8"/>
  <c r="AC76" i="8"/>
  <c r="AC75" i="8"/>
  <c r="AC74" i="8"/>
  <c r="AC73" i="8"/>
  <c r="AC72" i="8"/>
  <c r="AC65" i="8"/>
  <c r="AC48" i="8"/>
  <c r="AC63" i="8"/>
  <c r="AC56" i="8"/>
  <c r="AC55" i="8"/>
  <c r="AC54" i="8"/>
  <c r="AC51" i="8"/>
  <c r="AC50" i="8"/>
  <c r="AC47" i="8"/>
  <c r="AC44" i="8"/>
  <c r="AE31" i="8"/>
  <c r="Y83" i="7"/>
  <c r="Y82" i="7"/>
  <c r="Y81" i="7"/>
  <c r="Y80" i="7"/>
  <c r="Y79" i="7"/>
  <c r="Y78" i="7"/>
  <c r="Y77" i="7"/>
  <c r="Y76" i="7"/>
  <c r="Y75" i="7"/>
  <c r="Y74" i="7"/>
  <c r="Y73" i="7"/>
  <c r="Y72" i="7"/>
  <c r="Y48" i="7"/>
  <c r="Y56" i="7"/>
  <c r="Y55" i="7"/>
  <c r="Y47" i="7"/>
  <c r="Y44" i="7"/>
  <c r="Y34" i="7"/>
  <c r="AA31" i="7"/>
  <c r="AA84" i="7" s="1"/>
  <c r="Y32" i="7"/>
  <c r="V66" i="7"/>
  <c r="U66" i="7"/>
  <c r="V65" i="7"/>
  <c r="U65" i="7"/>
  <c r="V67" i="7"/>
  <c r="U67" i="7"/>
  <c r="V40" i="7"/>
  <c r="U40" i="7"/>
  <c r="V47" i="7"/>
  <c r="U47" i="7"/>
  <c r="V63" i="7"/>
  <c r="U63" i="7"/>
  <c r="V68" i="7"/>
  <c r="U68" i="7"/>
  <c r="T41" i="7"/>
  <c r="S41" i="7"/>
  <c r="V64" i="7"/>
  <c r="U64" i="7"/>
  <c r="T55" i="7"/>
  <c r="S55" i="7"/>
  <c r="T37" i="7"/>
  <c r="S37" i="7"/>
  <c r="AC31" i="1"/>
  <c r="AA32" i="1"/>
  <c r="S48" i="26" l="1"/>
  <c r="T48" i="26"/>
  <c r="R50" i="1"/>
  <c r="F23" i="7"/>
  <c r="N23" i="7" s="1"/>
  <c r="P23" i="7" s="1"/>
  <c r="X47" i="1"/>
  <c r="Z47" i="1" s="1"/>
  <c r="AB47" i="1" s="1"/>
  <c r="AD47" i="1" s="1"/>
  <c r="AF47" i="1" s="1"/>
  <c r="AH47" i="1" s="1"/>
  <c r="AJ47" i="1" s="1"/>
  <c r="W47" i="1"/>
  <c r="X48" i="9"/>
  <c r="Z48" i="9" s="1"/>
  <c r="AB48" i="9" s="1"/>
  <c r="AD48" i="9" s="1"/>
  <c r="AF48" i="9" s="1"/>
  <c r="AH48" i="9" s="1"/>
  <c r="AJ48" i="9" s="1"/>
  <c r="W48" i="9"/>
  <c r="X48" i="7"/>
  <c r="Z48" i="7" s="1"/>
  <c r="AB48" i="7" s="1"/>
  <c r="AD48" i="7" s="1"/>
  <c r="AF48" i="7" s="1"/>
  <c r="AH48" i="7" s="1"/>
  <c r="AJ48" i="7" s="1"/>
  <c r="W48" i="7"/>
  <c r="X47" i="7"/>
  <c r="Z47" i="7" s="1"/>
  <c r="AB47" i="7" s="1"/>
  <c r="AD47" i="7" s="1"/>
  <c r="AF47" i="7" s="1"/>
  <c r="AH47" i="7" s="1"/>
  <c r="AJ47" i="7" s="1"/>
  <c r="W47" i="7"/>
  <c r="X44" i="7"/>
  <c r="Z44" i="7" s="1"/>
  <c r="AB44" i="7" s="1"/>
  <c r="AD44" i="7" s="1"/>
  <c r="AF44" i="7" s="1"/>
  <c r="AH44" i="7" s="1"/>
  <c r="AJ44" i="7" s="1"/>
  <c r="W44" i="7"/>
  <c r="P93" i="9"/>
  <c r="Q93" i="9" s="1"/>
  <c r="D25" i="9"/>
  <c r="F25" i="9" s="1"/>
  <c r="D26" i="9"/>
  <c r="F26" i="9" s="1"/>
  <c r="M26" i="24" s="1"/>
  <c r="N26" i="24" s="1"/>
  <c r="AE310" i="16"/>
  <c r="AE302" i="16"/>
  <c r="AE294" i="16"/>
  <c r="AE286" i="16"/>
  <c r="AE278" i="16"/>
  <c r="AE270" i="16"/>
  <c r="AE262" i="16"/>
  <c r="AE254" i="16"/>
  <c r="AE315" i="16"/>
  <c r="AE307" i="16"/>
  <c r="AE299" i="16"/>
  <c r="AE291" i="16"/>
  <c r="AE283" i="16"/>
  <c r="AE275" i="16"/>
  <c r="AE267" i="16"/>
  <c r="AE259" i="16"/>
  <c r="AE251" i="16"/>
  <c r="AE317" i="16"/>
  <c r="AE309" i="16"/>
  <c r="AE301" i="16"/>
  <c r="AE293" i="16"/>
  <c r="AE285" i="16"/>
  <c r="AE277" i="16"/>
  <c r="AE269" i="16"/>
  <c r="AE261" i="16"/>
  <c r="AE253" i="16"/>
  <c r="AE314" i="16"/>
  <c r="AE306" i="16"/>
  <c r="AE298" i="16"/>
  <c r="AE290" i="16"/>
  <c r="AE282" i="16"/>
  <c r="AE274" i="16"/>
  <c r="AE266" i="16"/>
  <c r="AE258" i="16"/>
  <c r="AE316" i="16"/>
  <c r="AE308" i="16"/>
  <c r="AE300" i="16"/>
  <c r="AE292" i="16"/>
  <c r="AE284" i="16"/>
  <c r="AE276" i="16"/>
  <c r="AE268" i="16"/>
  <c r="AE260" i="16"/>
  <c r="AE252" i="16"/>
  <c r="AE312" i="16"/>
  <c r="AE288" i="16"/>
  <c r="AE296" i="16"/>
  <c r="AE264" i="16"/>
  <c r="AE244" i="16"/>
  <c r="AE236" i="16"/>
  <c r="AE228" i="16"/>
  <c r="AE220" i="16"/>
  <c r="AE311" i="16"/>
  <c r="AE289" i="16"/>
  <c r="AE279" i="16"/>
  <c r="AE257" i="16"/>
  <c r="AE249" i="16"/>
  <c r="AE241" i="16"/>
  <c r="AE233" i="16"/>
  <c r="AE225" i="16"/>
  <c r="AE304" i="16"/>
  <c r="AE272" i="16"/>
  <c r="AE246" i="16"/>
  <c r="AE238" i="16"/>
  <c r="AE230" i="16"/>
  <c r="AE222" i="16"/>
  <c r="AE214" i="16"/>
  <c r="AE313" i="16"/>
  <c r="AE303" i="16"/>
  <c r="AE281" i="16"/>
  <c r="AE216" i="16"/>
  <c r="AE295" i="16"/>
  <c r="AE273" i="16"/>
  <c r="AE271" i="16"/>
  <c r="AE250" i="16"/>
  <c r="AE243" i="16"/>
  <c r="AE215" i="16"/>
  <c r="AE265" i="16"/>
  <c r="AE235" i="16"/>
  <c r="AE204" i="16"/>
  <c r="AE196" i="16"/>
  <c r="AE297" i="16"/>
  <c r="AE287" i="16"/>
  <c r="AE245" i="16"/>
  <c r="AE234" i="16"/>
  <c r="AE224" i="16"/>
  <c r="AE223" i="16"/>
  <c r="AE218" i="16"/>
  <c r="AE213" i="16"/>
  <c r="AE209" i="16"/>
  <c r="AE201" i="16"/>
  <c r="AE193" i="16"/>
  <c r="AE248" i="16"/>
  <c r="AE247" i="16"/>
  <c r="AE255" i="16"/>
  <c r="AE227" i="16"/>
  <c r="AE206" i="16"/>
  <c r="AE198" i="16"/>
  <c r="AE190" i="16"/>
  <c r="AE229" i="16"/>
  <c r="AE219" i="16"/>
  <c r="AE200" i="16"/>
  <c r="AE199" i="16"/>
  <c r="AE237" i="16"/>
  <c r="AE221" i="16"/>
  <c r="AE210" i="16"/>
  <c r="AE203" i="16"/>
  <c r="AE195" i="16"/>
  <c r="AE263" i="16"/>
  <c r="AE242" i="16"/>
  <c r="AE239" i="16"/>
  <c r="AE231" i="16"/>
  <c r="AE226" i="16"/>
  <c r="AE211" i="16"/>
  <c r="AE202" i="16"/>
  <c r="AE192" i="16"/>
  <c r="AE191" i="16"/>
  <c r="AE205" i="16"/>
  <c r="AE194" i="16"/>
  <c r="AE305" i="16"/>
  <c r="AE256" i="16"/>
  <c r="AE212" i="16"/>
  <c r="AE240" i="16"/>
  <c r="AE217" i="16"/>
  <c r="AE208" i="16"/>
  <c r="AE207" i="16"/>
  <c r="AE197" i="16"/>
  <c r="AE280" i="16"/>
  <c r="AE232" i="16"/>
  <c r="N276" i="16"/>
  <c r="M276" i="16"/>
  <c r="F277" i="16"/>
  <c r="H278" i="16"/>
  <c r="K277" i="16"/>
  <c r="R274" i="16"/>
  <c r="T274" i="16" s="1"/>
  <c r="V274" i="16" s="1"/>
  <c r="X274" i="16" s="1"/>
  <c r="Z274" i="16" s="1"/>
  <c r="AB274" i="16" s="1"/>
  <c r="AD274" i="16" s="1"/>
  <c r="AF274" i="16" s="1"/>
  <c r="AH274" i="16" s="1"/>
  <c r="AJ274" i="16" s="1"/>
  <c r="Q274" i="16"/>
  <c r="P275" i="16"/>
  <c r="O275" i="16"/>
  <c r="T46" i="26"/>
  <c r="S46" i="26"/>
  <c r="T35" i="26"/>
  <c r="S35" i="26"/>
  <c r="P53" i="26"/>
  <c r="O53" i="26"/>
  <c r="T65" i="26"/>
  <c r="S65" i="26"/>
  <c r="R70" i="24"/>
  <c r="Q70" i="24"/>
  <c r="W107" i="26"/>
  <c r="X107" i="26"/>
  <c r="P52" i="26"/>
  <c r="O52" i="26"/>
  <c r="T34" i="26"/>
  <c r="S34" i="26"/>
  <c r="V60" i="27"/>
  <c r="U60" i="27"/>
  <c r="S40" i="26"/>
  <c r="T40" i="26"/>
  <c r="U103" i="26"/>
  <c r="V103" i="26"/>
  <c r="T90" i="26"/>
  <c r="S90" i="26"/>
  <c r="AE84" i="8"/>
  <c r="AA85" i="9"/>
  <c r="AA112" i="9"/>
  <c r="X69" i="26"/>
  <c r="W69" i="26"/>
  <c r="V70" i="26"/>
  <c r="U70" i="26"/>
  <c r="T64" i="26"/>
  <c r="S64" i="26"/>
  <c r="T63" i="26"/>
  <c r="S63" i="26"/>
  <c r="O33" i="26"/>
  <c r="P33" i="26"/>
  <c r="Z106" i="26"/>
  <c r="Y106" i="26"/>
  <c r="T68" i="26"/>
  <c r="S68" i="26"/>
  <c r="V57" i="27"/>
  <c r="U57" i="27"/>
  <c r="T61" i="26"/>
  <c r="S61" i="26"/>
  <c r="V66" i="26"/>
  <c r="U66" i="26"/>
  <c r="T61" i="27"/>
  <c r="S61" i="27"/>
  <c r="V67" i="26"/>
  <c r="U67" i="26"/>
  <c r="S47" i="26"/>
  <c r="T47" i="26"/>
  <c r="V58" i="27"/>
  <c r="U58" i="27"/>
  <c r="N135" i="9"/>
  <c r="P135" i="9" s="1"/>
  <c r="R135" i="9" s="1"/>
  <c r="V67" i="9"/>
  <c r="U67" i="9"/>
  <c r="V45" i="27"/>
  <c r="U45" i="27"/>
  <c r="T115" i="9"/>
  <c r="S115" i="9"/>
  <c r="U113" i="9"/>
  <c r="V113" i="9"/>
  <c r="V34" i="27"/>
  <c r="U34" i="27"/>
  <c r="N59" i="26"/>
  <c r="H59" i="26"/>
  <c r="M59" i="26"/>
  <c r="L59" i="26"/>
  <c r="T114" i="9"/>
  <c r="S114" i="9"/>
  <c r="P41" i="26"/>
  <c r="O41" i="26"/>
  <c r="T104" i="9"/>
  <c r="S104" i="9"/>
  <c r="N25" i="9"/>
  <c r="P25" i="9" s="1"/>
  <c r="M25" i="24"/>
  <c r="O24" i="24"/>
  <c r="N24" i="24"/>
  <c r="U48" i="24"/>
  <c r="V48" i="24"/>
  <c r="P49" i="9"/>
  <c r="R49" i="9" s="1"/>
  <c r="T49" i="9" s="1"/>
  <c r="R41" i="24"/>
  <c r="Q41" i="24"/>
  <c r="V64" i="24"/>
  <c r="X64" i="24" s="1"/>
  <c r="Z64" i="24" s="1"/>
  <c r="AB64" i="24" s="1"/>
  <c r="AD64" i="24" s="1"/>
  <c r="AF64" i="24" s="1"/>
  <c r="AH64" i="24" s="1"/>
  <c r="AJ64" i="24" s="1"/>
  <c r="U64" i="24"/>
  <c r="G64" i="24" s="1"/>
  <c r="V38" i="24"/>
  <c r="U38" i="24"/>
  <c r="U69" i="24"/>
  <c r="G69" i="24" s="1"/>
  <c r="V69" i="24"/>
  <c r="X69" i="24" s="1"/>
  <c r="Z69" i="24" s="1"/>
  <c r="AB69" i="24" s="1"/>
  <c r="AD69" i="24" s="1"/>
  <c r="AF69" i="24" s="1"/>
  <c r="AH69" i="24" s="1"/>
  <c r="AJ69" i="24" s="1"/>
  <c r="V67" i="24"/>
  <c r="X67" i="24" s="1"/>
  <c r="Z67" i="24" s="1"/>
  <c r="AB67" i="24" s="1"/>
  <c r="AD67" i="24" s="1"/>
  <c r="AF67" i="24" s="1"/>
  <c r="AH67" i="24" s="1"/>
  <c r="AJ67" i="24" s="1"/>
  <c r="U67" i="24"/>
  <c r="G67" i="24" s="1"/>
  <c r="L16" i="19"/>
  <c r="L16" i="20"/>
  <c r="AC93" i="1"/>
  <c r="AC84" i="1"/>
  <c r="S66" i="21"/>
  <c r="V85" i="7"/>
  <c r="U85" i="7"/>
  <c r="V85" i="8"/>
  <c r="U85" i="8"/>
  <c r="V43" i="1"/>
  <c r="U43" i="1"/>
  <c r="V59" i="24"/>
  <c r="X59" i="24" s="1"/>
  <c r="Z59" i="24" s="1"/>
  <c r="AB59" i="24" s="1"/>
  <c r="AD59" i="24" s="1"/>
  <c r="AF59" i="24" s="1"/>
  <c r="AH59" i="24" s="1"/>
  <c r="AJ59" i="24" s="1"/>
  <c r="U59" i="24"/>
  <c r="G59" i="24" s="1"/>
  <c r="V86" i="9"/>
  <c r="U86" i="9"/>
  <c r="V85" i="1"/>
  <c r="U85" i="1"/>
  <c r="S63" i="21"/>
  <c r="T43" i="9"/>
  <c r="S43" i="9"/>
  <c r="R43" i="7"/>
  <c r="Q43" i="7"/>
  <c r="AK120" i="17"/>
  <c r="AK131" i="17"/>
  <c r="AK130" i="17"/>
  <c r="AK35" i="17"/>
  <c r="AK3" i="17"/>
  <c r="AK57" i="17"/>
  <c r="AK54" i="17"/>
  <c r="AK55" i="17"/>
  <c r="AK63" i="17"/>
  <c r="AK62" i="17"/>
  <c r="AK61" i="17"/>
  <c r="AK60" i="17"/>
  <c r="AK59" i="17"/>
  <c r="AK58" i="17"/>
  <c r="AK56" i="17"/>
  <c r="AK66" i="17"/>
  <c r="AK65" i="17"/>
  <c r="AK64" i="17"/>
  <c r="AK53" i="17"/>
  <c r="AK42" i="17"/>
  <c r="AK39" i="17"/>
  <c r="AK52" i="17"/>
  <c r="AK51" i="17"/>
  <c r="AK50" i="17"/>
  <c r="AK46" i="17"/>
  <c r="AK45" i="17"/>
  <c r="AK44" i="17"/>
  <c r="AK47" i="17"/>
  <c r="AK40" i="17"/>
  <c r="AK48" i="17"/>
  <c r="AK43" i="17"/>
  <c r="AK41" i="17"/>
  <c r="AK49" i="17"/>
  <c r="AK37" i="17"/>
  <c r="AK129" i="17"/>
  <c r="AK128" i="17"/>
  <c r="AK77" i="17"/>
  <c r="AK79" i="17"/>
  <c r="AK124" i="17"/>
  <c r="AK123" i="17"/>
  <c r="AK122" i="17"/>
  <c r="AK119" i="17"/>
  <c r="N24" i="9"/>
  <c r="P24" i="9" s="1"/>
  <c r="D3" i="23"/>
  <c r="D4" i="23" s="1"/>
  <c r="U38" i="21"/>
  <c r="V38" i="21"/>
  <c r="U52" i="21"/>
  <c r="V52" i="21"/>
  <c r="V93" i="1"/>
  <c r="U93" i="1"/>
  <c r="V66" i="21"/>
  <c r="U66" i="21"/>
  <c r="V65" i="21"/>
  <c r="U65" i="21"/>
  <c r="AE186" i="16"/>
  <c r="AE183" i="16"/>
  <c r="AE179" i="16"/>
  <c r="AE175" i="16"/>
  <c r="AE171" i="16"/>
  <c r="AE167" i="16"/>
  <c r="AE163" i="16"/>
  <c r="AE159" i="16"/>
  <c r="AE182" i="16"/>
  <c r="AE181" i="16"/>
  <c r="AE180" i="16"/>
  <c r="AE174" i="16"/>
  <c r="AE173" i="16"/>
  <c r="AE172" i="16"/>
  <c r="AE166" i="16"/>
  <c r="AE165" i="16"/>
  <c r="AE164" i="16"/>
  <c r="AE158" i="16"/>
  <c r="AE157" i="16"/>
  <c r="AE156" i="16"/>
  <c r="AE153" i="16"/>
  <c r="AE149" i="16"/>
  <c r="AE184" i="16"/>
  <c r="AE178" i="16"/>
  <c r="AE177" i="16"/>
  <c r="AE176" i="16"/>
  <c r="AE170" i="16"/>
  <c r="AE169" i="16"/>
  <c r="AE168" i="16"/>
  <c r="AE162" i="16"/>
  <c r="AE161" i="16"/>
  <c r="AE160" i="16"/>
  <c r="AE155" i="16"/>
  <c r="AE151" i="16"/>
  <c r="AE154" i="16"/>
  <c r="AE152" i="16"/>
  <c r="AE150" i="16"/>
  <c r="AE148" i="16"/>
  <c r="AE185" i="16"/>
  <c r="AA87" i="9"/>
  <c r="AA100" i="9"/>
  <c r="AA101" i="9"/>
  <c r="G20" i="20"/>
  <c r="L20" i="20" s="1"/>
  <c r="G18" i="20"/>
  <c r="L18" i="20" s="1"/>
  <c r="G21" i="20"/>
  <c r="L21" i="20" s="1"/>
  <c r="G19" i="20"/>
  <c r="L19" i="20" s="1"/>
  <c r="V63" i="21"/>
  <c r="U63" i="21"/>
  <c r="X95" i="21"/>
  <c r="W95" i="21"/>
  <c r="V68" i="21"/>
  <c r="U68" i="21"/>
  <c r="G20" i="19"/>
  <c r="L20" i="19" s="1"/>
  <c r="G18" i="19"/>
  <c r="L18" i="19" s="1"/>
  <c r="G21" i="19"/>
  <c r="L21" i="19" s="1"/>
  <c r="G19" i="19"/>
  <c r="L19" i="19" s="1"/>
  <c r="X96" i="21"/>
  <c r="W96" i="21"/>
  <c r="S58" i="21"/>
  <c r="T58" i="21"/>
  <c r="S69" i="21"/>
  <c r="T69" i="21"/>
  <c r="S37" i="18"/>
  <c r="T37" i="18"/>
  <c r="F100" i="9"/>
  <c r="K100" i="9" s="1"/>
  <c r="N100" i="9" s="1"/>
  <c r="F7" i="23"/>
  <c r="F15" i="23"/>
  <c r="F11" i="23"/>
  <c r="F12" i="23"/>
  <c r="F101" i="9"/>
  <c r="K101" i="9" s="1"/>
  <c r="T47" i="21"/>
  <c r="S47" i="21"/>
  <c r="R41" i="21"/>
  <c r="Q41" i="21"/>
  <c r="N26" i="9"/>
  <c r="P26" i="9" s="1"/>
  <c r="F98" i="9"/>
  <c r="K98" i="9" s="1"/>
  <c r="F99" i="9"/>
  <c r="K99" i="9" s="1"/>
  <c r="T49" i="21"/>
  <c r="S49" i="21"/>
  <c r="U130" i="17"/>
  <c r="V130" i="17"/>
  <c r="T131" i="17"/>
  <c r="S131" i="17"/>
  <c r="X35" i="17"/>
  <c r="W35" i="17"/>
  <c r="V3" i="17"/>
  <c r="U3" i="17"/>
  <c r="O58" i="17"/>
  <c r="L57" i="17"/>
  <c r="E62" i="17"/>
  <c r="G61" i="17"/>
  <c r="R59" i="17"/>
  <c r="Q59" i="17"/>
  <c r="G57" i="17"/>
  <c r="E56" i="17"/>
  <c r="L61" i="17"/>
  <c r="O60" i="17"/>
  <c r="AA60" i="9"/>
  <c r="AA61" i="9"/>
  <c r="AA45" i="9"/>
  <c r="AA46" i="9"/>
  <c r="AA88" i="9"/>
  <c r="V94" i="9"/>
  <c r="U94" i="9"/>
  <c r="V93" i="8"/>
  <c r="U93" i="8"/>
  <c r="AE93" i="8"/>
  <c r="AE60" i="8"/>
  <c r="AE61" i="8"/>
  <c r="AE92" i="8"/>
  <c r="AE45" i="8"/>
  <c r="AE46" i="8"/>
  <c r="AE87" i="8"/>
  <c r="AA60" i="7"/>
  <c r="AA61" i="7"/>
  <c r="AA46" i="7"/>
  <c r="AA87" i="7"/>
  <c r="V93" i="7"/>
  <c r="U93" i="7"/>
  <c r="K24" i="9"/>
  <c r="N24" i="7"/>
  <c r="P24" i="7" s="1"/>
  <c r="Q38" i="9"/>
  <c r="Z33" i="1"/>
  <c r="Y33" i="1"/>
  <c r="F23" i="9"/>
  <c r="M23" i="24" s="1"/>
  <c r="D25" i="7"/>
  <c r="F25" i="7" s="1"/>
  <c r="U44" i="7"/>
  <c r="D26" i="7"/>
  <c r="F26" i="7" s="1"/>
  <c r="N26" i="7" s="1"/>
  <c r="P26" i="7" s="1"/>
  <c r="S44" i="7"/>
  <c r="Q138" i="9"/>
  <c r="R39" i="7"/>
  <c r="Q39" i="7"/>
  <c r="R54" i="7"/>
  <c r="Q44" i="7"/>
  <c r="O50" i="7"/>
  <c r="P50" i="7"/>
  <c r="R42" i="7"/>
  <c r="Q42" i="7"/>
  <c r="N127" i="9"/>
  <c r="P127" i="9" s="1"/>
  <c r="R127" i="9" s="1"/>
  <c r="S127" i="9" s="1"/>
  <c r="O138" i="9"/>
  <c r="V60" i="1"/>
  <c r="U60" i="1"/>
  <c r="V92" i="1"/>
  <c r="U92" i="1"/>
  <c r="AC61" i="1"/>
  <c r="AC60" i="1"/>
  <c r="AC92" i="1"/>
  <c r="V70" i="1"/>
  <c r="U70" i="1"/>
  <c r="X61" i="1"/>
  <c r="W61" i="1"/>
  <c r="Q49" i="7"/>
  <c r="O49" i="7"/>
  <c r="M138" i="9"/>
  <c r="R60" i="9"/>
  <c r="Q60" i="9"/>
  <c r="R62" i="9"/>
  <c r="Q62" i="9"/>
  <c r="K26" i="9"/>
  <c r="V61" i="9"/>
  <c r="U61" i="9"/>
  <c r="V63" i="9"/>
  <c r="U63" i="9"/>
  <c r="S49" i="7"/>
  <c r="K23" i="7"/>
  <c r="R60" i="7"/>
  <c r="Q60" i="7"/>
  <c r="V61" i="7"/>
  <c r="U61" i="7"/>
  <c r="K25" i="9"/>
  <c r="P92" i="7"/>
  <c r="O92" i="7"/>
  <c r="G46" i="17"/>
  <c r="E47" i="17"/>
  <c r="L46" i="17"/>
  <c r="L44" i="17"/>
  <c r="O45" i="17"/>
  <c r="G44" i="17"/>
  <c r="E43" i="17"/>
  <c r="R93" i="9"/>
  <c r="P50" i="9"/>
  <c r="O50" i="9"/>
  <c r="V53" i="1"/>
  <c r="X53" i="1" s="1"/>
  <c r="Z53" i="1" s="1"/>
  <c r="AB53" i="1" s="1"/>
  <c r="AD53" i="1" s="1"/>
  <c r="AF53" i="1" s="1"/>
  <c r="AH53" i="1" s="1"/>
  <c r="AJ53" i="1" s="1"/>
  <c r="M130" i="9"/>
  <c r="U45" i="18"/>
  <c r="V45" i="18"/>
  <c r="U57" i="18"/>
  <c r="V57" i="18"/>
  <c r="U55" i="18"/>
  <c r="V55" i="18"/>
  <c r="V59" i="1"/>
  <c r="U59" i="1"/>
  <c r="AC87" i="1"/>
  <c r="AC98" i="1"/>
  <c r="AC97" i="1"/>
  <c r="AC96" i="1"/>
  <c r="V34" i="18"/>
  <c r="U34" i="18"/>
  <c r="V58" i="18"/>
  <c r="U58" i="18"/>
  <c r="V60" i="18"/>
  <c r="U60" i="18"/>
  <c r="V58" i="1"/>
  <c r="U58" i="1"/>
  <c r="M124" i="9"/>
  <c r="M139" i="9"/>
  <c r="M136" i="9"/>
  <c r="P134" i="9"/>
  <c r="R134" i="9" s="1"/>
  <c r="T134" i="9" s="1"/>
  <c r="S57" i="7"/>
  <c r="Q124" i="9"/>
  <c r="N133" i="9"/>
  <c r="P133" i="9" s="1"/>
  <c r="P136" i="9"/>
  <c r="R136" i="9" s="1"/>
  <c r="S136" i="9" s="1"/>
  <c r="P123" i="9"/>
  <c r="R123" i="9" s="1"/>
  <c r="T123" i="9" s="1"/>
  <c r="R125" i="9"/>
  <c r="T125" i="9" s="1"/>
  <c r="O124" i="9"/>
  <c r="M125" i="9"/>
  <c r="N120" i="9"/>
  <c r="O120" i="9" s="1"/>
  <c r="R58" i="9"/>
  <c r="Q58" i="9"/>
  <c r="T59" i="9"/>
  <c r="S59" i="9"/>
  <c r="R59" i="8"/>
  <c r="Q59" i="8"/>
  <c r="R58" i="7"/>
  <c r="Q58" i="7"/>
  <c r="T59" i="7"/>
  <c r="S59" i="7"/>
  <c r="R122" i="9"/>
  <c r="S122" i="9" s="1"/>
  <c r="R140" i="9"/>
  <c r="T140" i="9" s="1"/>
  <c r="M140" i="9"/>
  <c r="O122" i="9"/>
  <c r="N129" i="9"/>
  <c r="O129" i="9" s="1"/>
  <c r="M121" i="9"/>
  <c r="N131" i="9"/>
  <c r="O131" i="9" s="1"/>
  <c r="O139" i="9"/>
  <c r="V61" i="18"/>
  <c r="U61" i="18"/>
  <c r="M122" i="9"/>
  <c r="M132" i="9"/>
  <c r="R137" i="9"/>
  <c r="S137" i="9" s="1"/>
  <c r="O140" i="9"/>
  <c r="O130" i="9"/>
  <c r="T57" i="9"/>
  <c r="V57" i="9" s="1"/>
  <c r="X57" i="9" s="1"/>
  <c r="Z57" i="9" s="1"/>
  <c r="AB57" i="9" s="1"/>
  <c r="AD57" i="9" s="1"/>
  <c r="AF57" i="9" s="1"/>
  <c r="AH57" i="9" s="1"/>
  <c r="AJ57" i="9" s="1"/>
  <c r="O137" i="9"/>
  <c r="N126" i="9"/>
  <c r="M126" i="9"/>
  <c r="R130" i="9"/>
  <c r="S130" i="9" s="1"/>
  <c r="M118" i="9"/>
  <c r="N128" i="9"/>
  <c r="P128" i="9" s="1"/>
  <c r="Q128" i="9" s="1"/>
  <c r="Q62" i="7"/>
  <c r="P118" i="9"/>
  <c r="R118" i="9" s="1"/>
  <c r="T118" i="9" s="1"/>
  <c r="M137" i="9"/>
  <c r="O125" i="9"/>
  <c r="M134" i="9"/>
  <c r="N119" i="9"/>
  <c r="P119" i="9" s="1"/>
  <c r="R119" i="9" s="1"/>
  <c r="M123" i="9"/>
  <c r="O161" i="16"/>
  <c r="P161" i="16"/>
  <c r="Q160" i="16"/>
  <c r="R160" i="16"/>
  <c r="T160" i="16" s="1"/>
  <c r="V160" i="16" s="1"/>
  <c r="X160" i="16" s="1"/>
  <c r="Z160" i="16" s="1"/>
  <c r="AB160" i="16" s="1"/>
  <c r="AD160" i="16" s="1"/>
  <c r="AF160" i="16" s="1"/>
  <c r="AH160" i="16" s="1"/>
  <c r="AJ160" i="16" s="1"/>
  <c r="H164" i="16"/>
  <c r="K163" i="16"/>
  <c r="N162" i="16"/>
  <c r="M162" i="16"/>
  <c r="AE147" i="16"/>
  <c r="AE143" i="16"/>
  <c r="AE139" i="16"/>
  <c r="AE145" i="16"/>
  <c r="AE141" i="16"/>
  <c r="AE137" i="16"/>
  <c r="AE146" i="16"/>
  <c r="AE142" i="16"/>
  <c r="AE138" i="16"/>
  <c r="AE140" i="16"/>
  <c r="AE144" i="16"/>
  <c r="AE136" i="16"/>
  <c r="AE187" i="16"/>
  <c r="AE135" i="16"/>
  <c r="V46" i="7"/>
  <c r="U46" i="7"/>
  <c r="U46" i="9"/>
  <c r="V46" i="9"/>
  <c r="Q45" i="9"/>
  <c r="R45" i="9"/>
  <c r="R38" i="7"/>
  <c r="S38" i="7" s="1"/>
  <c r="U129" i="17"/>
  <c r="V129" i="17"/>
  <c r="S128" i="17"/>
  <c r="T128" i="17"/>
  <c r="AA45" i="7"/>
  <c r="AA86" i="7"/>
  <c r="S56" i="7"/>
  <c r="R36" i="7"/>
  <c r="S36" i="7" s="1"/>
  <c r="V46" i="1"/>
  <c r="U46" i="1"/>
  <c r="AC45" i="1"/>
  <c r="AC46" i="1"/>
  <c r="V45" i="1"/>
  <c r="U45" i="1"/>
  <c r="R45" i="7"/>
  <c r="Q45" i="7"/>
  <c r="Q135" i="9"/>
  <c r="O135" i="9"/>
  <c r="AA91" i="9"/>
  <c r="AA82" i="9"/>
  <c r="AA78" i="9"/>
  <c r="AA74" i="9"/>
  <c r="AA54" i="9"/>
  <c r="AA41" i="9"/>
  <c r="AA48" i="9"/>
  <c r="AA52" i="9"/>
  <c r="AA47" i="9"/>
  <c r="AA81" i="9"/>
  <c r="AA77" i="9"/>
  <c r="AA73" i="9"/>
  <c r="AA51" i="9"/>
  <c r="AC31" i="9"/>
  <c r="AA53" i="9"/>
  <c r="AA79" i="9"/>
  <c r="AA55" i="9"/>
  <c r="AA57" i="9"/>
  <c r="AA84" i="9"/>
  <c r="AA80" i="9"/>
  <c r="AA76" i="9"/>
  <c r="AA56" i="9"/>
  <c r="AA50" i="9"/>
  <c r="AA83" i="9"/>
  <c r="AA75" i="9"/>
  <c r="AA44" i="9"/>
  <c r="P132" i="9"/>
  <c r="O132" i="9"/>
  <c r="R54" i="9"/>
  <c r="T54" i="9" s="1"/>
  <c r="AE88" i="8"/>
  <c r="AE86" i="8"/>
  <c r="R139" i="9"/>
  <c r="Q139" i="9"/>
  <c r="R37" i="9"/>
  <c r="S37" i="9" s="1"/>
  <c r="T135" i="9"/>
  <c r="S135" i="9"/>
  <c r="Q111" i="17"/>
  <c r="R111" i="17"/>
  <c r="U126" i="17"/>
  <c r="V126" i="17"/>
  <c r="V127" i="17"/>
  <c r="U127" i="17"/>
  <c r="G87" i="17"/>
  <c r="E86" i="17"/>
  <c r="L116" i="17"/>
  <c r="O115" i="17"/>
  <c r="E114" i="17"/>
  <c r="G113" i="17"/>
  <c r="O32" i="17"/>
  <c r="L33" i="17"/>
  <c r="Q108" i="17"/>
  <c r="R108" i="17"/>
  <c r="O72" i="17"/>
  <c r="L71" i="17"/>
  <c r="R29" i="17"/>
  <c r="Q29" i="17"/>
  <c r="L87" i="17"/>
  <c r="O88" i="17"/>
  <c r="L89" i="17"/>
  <c r="E125" i="17"/>
  <c r="G125" i="17" s="1"/>
  <c r="O125" i="17"/>
  <c r="T30" i="17"/>
  <c r="S30" i="17"/>
  <c r="S110" i="17"/>
  <c r="T110" i="17"/>
  <c r="R119" i="17"/>
  <c r="Q119" i="17"/>
  <c r="E70" i="17"/>
  <c r="G71" i="17"/>
  <c r="R109" i="17"/>
  <c r="Q109" i="17"/>
  <c r="R73" i="17"/>
  <c r="Q73" i="17"/>
  <c r="E34" i="17"/>
  <c r="E35" i="17" s="1"/>
  <c r="G35" i="17" s="1"/>
  <c r="G33" i="17"/>
  <c r="Q31" i="17"/>
  <c r="R31" i="17"/>
  <c r="Q121" i="17"/>
  <c r="R121" i="17"/>
  <c r="E122" i="17"/>
  <c r="G121" i="17"/>
  <c r="L27" i="17"/>
  <c r="O28" i="17"/>
  <c r="E134" i="17"/>
  <c r="G134" i="17" s="1"/>
  <c r="L134" i="17" s="1"/>
  <c r="O134" i="17" s="1"/>
  <c r="O132" i="17"/>
  <c r="E132" i="17"/>
  <c r="G132" i="17" s="1"/>
  <c r="L113" i="17"/>
  <c r="O112" i="17"/>
  <c r="E76" i="17"/>
  <c r="G75" i="17"/>
  <c r="O121" i="9"/>
  <c r="P121" i="9"/>
  <c r="L123" i="17"/>
  <c r="O122" i="17"/>
  <c r="Q133" i="17"/>
  <c r="R133" i="17"/>
  <c r="E26" i="17"/>
  <c r="G27" i="17"/>
  <c r="L75" i="17"/>
  <c r="O74" i="17"/>
  <c r="E90" i="17"/>
  <c r="G89" i="17"/>
  <c r="AK121" i="17"/>
  <c r="AK115" i="17"/>
  <c r="AK110" i="17"/>
  <c r="AK116" i="17"/>
  <c r="AK104" i="17"/>
  <c r="AK99" i="17"/>
  <c r="AK95" i="17"/>
  <c r="AK105" i="17"/>
  <c r="AK98" i="17"/>
  <c r="AK97" i="17"/>
  <c r="AK111" i="17"/>
  <c r="AK118" i="17"/>
  <c r="AK113" i="17"/>
  <c r="AK109" i="17"/>
  <c r="AK108" i="17"/>
  <c r="AK106" i="17"/>
  <c r="AK102" i="17"/>
  <c r="AK114" i="17"/>
  <c r="AK112" i="17"/>
  <c r="AK107" i="17"/>
  <c r="AK103" i="17"/>
  <c r="AK101" i="17"/>
  <c r="AK100" i="17"/>
  <c r="AK96" i="17"/>
  <c r="AK117" i="17"/>
  <c r="AK92" i="17"/>
  <c r="AK89" i="17"/>
  <c r="AK86" i="17"/>
  <c r="AK85" i="17"/>
  <c r="AK94" i="17"/>
  <c r="AK93" i="17"/>
  <c r="AK82" i="17"/>
  <c r="AK83" i="17"/>
  <c r="AK91" i="17"/>
  <c r="AK90" i="17"/>
  <c r="AK88" i="17"/>
  <c r="AK87" i="17"/>
  <c r="AK84" i="17"/>
  <c r="AK80" i="17"/>
  <c r="AK70" i="17"/>
  <c r="AK81" i="17"/>
  <c r="AK73" i="17"/>
  <c r="AK72" i="17"/>
  <c r="AK76" i="17"/>
  <c r="AK75" i="17"/>
  <c r="AK74" i="17"/>
  <c r="AK71" i="17"/>
  <c r="AK68" i="17"/>
  <c r="AK67" i="17"/>
  <c r="AK78" i="17"/>
  <c r="AK69" i="17"/>
  <c r="AK33" i="17"/>
  <c r="AK34" i="17"/>
  <c r="AK31" i="17"/>
  <c r="AK30" i="17"/>
  <c r="AK28" i="17"/>
  <c r="AK27" i="17"/>
  <c r="AK26" i="17"/>
  <c r="AK25" i="17"/>
  <c r="AK24" i="17"/>
  <c r="AK29" i="17"/>
  <c r="AK36" i="17"/>
  <c r="AK32" i="17"/>
  <c r="AK38" i="17"/>
  <c r="AK134" i="17"/>
  <c r="AK133" i="17"/>
  <c r="AK127" i="17"/>
  <c r="AK132" i="17"/>
  <c r="AK125" i="17"/>
  <c r="AK126" i="17"/>
  <c r="AM23" i="17"/>
  <c r="Q41" i="16"/>
  <c r="R41" i="16"/>
  <c r="T36" i="16"/>
  <c r="S36" i="16"/>
  <c r="N49" i="16"/>
  <c r="M49" i="16"/>
  <c r="Z29" i="16"/>
  <c r="Y29" i="16"/>
  <c r="Q39" i="16"/>
  <c r="R39" i="16"/>
  <c r="U35" i="16"/>
  <c r="V35" i="16"/>
  <c r="X34" i="16"/>
  <c r="W34" i="16"/>
  <c r="V33" i="16"/>
  <c r="U33" i="16"/>
  <c r="Z27" i="16"/>
  <c r="Y27" i="16"/>
  <c r="K52" i="16"/>
  <c r="R43" i="16"/>
  <c r="Q43" i="16"/>
  <c r="V37" i="16"/>
  <c r="U37" i="16"/>
  <c r="S38" i="16"/>
  <c r="T38" i="16"/>
  <c r="S40" i="16"/>
  <c r="T40" i="16"/>
  <c r="X30" i="16"/>
  <c r="W30" i="16"/>
  <c r="N47" i="16"/>
  <c r="M47" i="16"/>
  <c r="O44" i="16"/>
  <c r="P44" i="16"/>
  <c r="Y31" i="16"/>
  <c r="Z31" i="16"/>
  <c r="N45" i="16"/>
  <c r="M45" i="16"/>
  <c r="K50" i="16"/>
  <c r="P46" i="16"/>
  <c r="O46" i="16"/>
  <c r="O42" i="16"/>
  <c r="P42" i="16"/>
  <c r="K48" i="16"/>
  <c r="X32" i="16"/>
  <c r="W32" i="16"/>
  <c r="AF28" i="16"/>
  <c r="AH28" i="16" s="1"/>
  <c r="AJ28" i="16" s="1"/>
  <c r="AE28" i="16"/>
  <c r="AF21" i="16"/>
  <c r="AH21" i="16" s="1"/>
  <c r="AJ21" i="16" s="1"/>
  <c r="AE21" i="16"/>
  <c r="AF26" i="16"/>
  <c r="AH26" i="16" s="1"/>
  <c r="AJ26" i="16" s="1"/>
  <c r="AE26" i="16"/>
  <c r="AE25" i="16"/>
  <c r="AF25" i="16"/>
  <c r="AH25" i="16" s="1"/>
  <c r="AJ25" i="16" s="1"/>
  <c r="AE19" i="16"/>
  <c r="AF19" i="16"/>
  <c r="AH19" i="16" s="1"/>
  <c r="AJ19" i="16" s="1"/>
  <c r="AE22" i="16"/>
  <c r="AF22" i="16"/>
  <c r="AH22" i="16" s="1"/>
  <c r="AJ22" i="16" s="1"/>
  <c r="AF23" i="16"/>
  <c r="AH23" i="16" s="1"/>
  <c r="AJ23" i="16" s="1"/>
  <c r="AE23" i="16"/>
  <c r="AF20" i="16"/>
  <c r="AH20" i="16" s="1"/>
  <c r="AJ20" i="16" s="1"/>
  <c r="AE20" i="16"/>
  <c r="AF24" i="16"/>
  <c r="AH24" i="16" s="1"/>
  <c r="AJ24" i="16" s="1"/>
  <c r="AE24" i="16"/>
  <c r="AE18" i="16"/>
  <c r="AG17" i="16"/>
  <c r="AD87" i="9"/>
  <c r="AC86" i="1"/>
  <c r="AD86" i="1"/>
  <c r="R51" i="9"/>
  <c r="Q51" i="9"/>
  <c r="T51" i="7"/>
  <c r="S51" i="7"/>
  <c r="AA57" i="7"/>
  <c r="AA88" i="7"/>
  <c r="Z89" i="9"/>
  <c r="Y89" i="9"/>
  <c r="AC53" i="1"/>
  <c r="AC52" i="1"/>
  <c r="AC57" i="1"/>
  <c r="S62" i="1"/>
  <c r="T62" i="1"/>
  <c r="V90" i="1"/>
  <c r="U90" i="1"/>
  <c r="U52" i="1"/>
  <c r="V52" i="1"/>
  <c r="T57" i="1"/>
  <c r="S57" i="1"/>
  <c r="Z83" i="1"/>
  <c r="Y83" i="1"/>
  <c r="U53" i="7"/>
  <c r="V53" i="7"/>
  <c r="X53" i="7" s="1"/>
  <c r="Z53" i="7" s="1"/>
  <c r="AB53" i="7" s="1"/>
  <c r="AD53" i="7" s="1"/>
  <c r="AF53" i="7" s="1"/>
  <c r="AH53" i="7" s="1"/>
  <c r="AJ53" i="7" s="1"/>
  <c r="Z90" i="7"/>
  <c r="Y90" i="7"/>
  <c r="T124" i="9"/>
  <c r="S124" i="9"/>
  <c r="T138" i="9"/>
  <c r="S138" i="9"/>
  <c r="S108" i="9"/>
  <c r="T108" i="9"/>
  <c r="S71" i="9"/>
  <c r="T71" i="9"/>
  <c r="AA16" i="12"/>
  <c r="AA66" i="12" s="1"/>
  <c r="Z107" i="9"/>
  <c r="Y107" i="9"/>
  <c r="AE53" i="8"/>
  <c r="AE57" i="8"/>
  <c r="AE52" i="8"/>
  <c r="Z96" i="8"/>
  <c r="Y96" i="8"/>
  <c r="V57" i="7"/>
  <c r="X57" i="7" s="1"/>
  <c r="Z57" i="7" s="1"/>
  <c r="AB57" i="7" s="1"/>
  <c r="AD57" i="7" s="1"/>
  <c r="AF57" i="7" s="1"/>
  <c r="AH57" i="7" s="1"/>
  <c r="AJ57" i="7" s="1"/>
  <c r="U57" i="7"/>
  <c r="AA53" i="7"/>
  <c r="AA52" i="7"/>
  <c r="X53" i="9"/>
  <c r="Z53" i="9" s="1"/>
  <c r="AB53" i="9" s="1"/>
  <c r="AD53" i="9" s="1"/>
  <c r="AF53" i="9" s="1"/>
  <c r="AH53" i="9" s="1"/>
  <c r="AJ53" i="9" s="1"/>
  <c r="W53" i="9"/>
  <c r="X33" i="7"/>
  <c r="W33" i="7"/>
  <c r="T62" i="7"/>
  <c r="S62" i="7"/>
  <c r="X52" i="9"/>
  <c r="W52" i="9"/>
  <c r="X52" i="7"/>
  <c r="W52" i="7"/>
  <c r="T41" i="8"/>
  <c r="S41" i="8"/>
  <c r="U48" i="7"/>
  <c r="S35" i="7"/>
  <c r="T35" i="7"/>
  <c r="U69" i="1"/>
  <c r="V69" i="1"/>
  <c r="AC88" i="1"/>
  <c r="AC82" i="1"/>
  <c r="AC81" i="1"/>
  <c r="AC80" i="1"/>
  <c r="AC79" i="1"/>
  <c r="AC78" i="1"/>
  <c r="AC77" i="1"/>
  <c r="AC76" i="1"/>
  <c r="AC75" i="1"/>
  <c r="AC74" i="1"/>
  <c r="AC73" i="1"/>
  <c r="AC72" i="1"/>
  <c r="AC66" i="1"/>
  <c r="AC65" i="1"/>
  <c r="AC63" i="1"/>
  <c r="AC56" i="1"/>
  <c r="AC55" i="1"/>
  <c r="AC54" i="1"/>
  <c r="AC51" i="1"/>
  <c r="AC50" i="1"/>
  <c r="AC48" i="1"/>
  <c r="AC47" i="1"/>
  <c r="AC44" i="1"/>
  <c r="V34" i="1"/>
  <c r="U34" i="1"/>
  <c r="X41" i="1"/>
  <c r="W41" i="1"/>
  <c r="V35" i="1"/>
  <c r="U35" i="1"/>
  <c r="X68" i="1"/>
  <c r="W68" i="1"/>
  <c r="T36" i="1"/>
  <c r="S36" i="1"/>
  <c r="V47" i="9"/>
  <c r="U47" i="9"/>
  <c r="V67" i="1"/>
  <c r="U67" i="1"/>
  <c r="V40" i="1"/>
  <c r="U40" i="1"/>
  <c r="V64" i="1"/>
  <c r="U64" i="1"/>
  <c r="V65" i="1"/>
  <c r="U65" i="1"/>
  <c r="V66" i="1"/>
  <c r="U66" i="1"/>
  <c r="V63" i="1"/>
  <c r="U63" i="1"/>
  <c r="V48" i="1"/>
  <c r="U48" i="1"/>
  <c r="V51" i="1"/>
  <c r="U51" i="1"/>
  <c r="T56" i="1"/>
  <c r="S56" i="1"/>
  <c r="T44" i="1"/>
  <c r="S44" i="1"/>
  <c r="T54" i="1"/>
  <c r="S54" i="1"/>
  <c r="T49" i="1"/>
  <c r="S49" i="1"/>
  <c r="T42" i="1"/>
  <c r="S42" i="1"/>
  <c r="T37" i="1"/>
  <c r="S37" i="1"/>
  <c r="T55" i="1"/>
  <c r="S55" i="1"/>
  <c r="T39" i="1"/>
  <c r="S39" i="1"/>
  <c r="T50" i="1"/>
  <c r="S50" i="1"/>
  <c r="W70" i="9"/>
  <c r="X70" i="9"/>
  <c r="X69" i="8"/>
  <c r="W69" i="8"/>
  <c r="W70" i="8"/>
  <c r="X70" i="8"/>
  <c r="U69" i="7"/>
  <c r="V69" i="7"/>
  <c r="X70" i="7"/>
  <c r="W70" i="7"/>
  <c r="X32" i="9"/>
  <c r="W32" i="9"/>
  <c r="T38" i="1"/>
  <c r="S38" i="1"/>
  <c r="V34" i="9"/>
  <c r="U34" i="9"/>
  <c r="V40" i="9"/>
  <c r="U40" i="9"/>
  <c r="V64" i="9"/>
  <c r="U64" i="9"/>
  <c r="V69" i="9"/>
  <c r="U69" i="9"/>
  <c r="V65" i="9"/>
  <c r="U65" i="9"/>
  <c r="X33" i="9"/>
  <c r="W33" i="9"/>
  <c r="X66" i="9"/>
  <c r="W66" i="9"/>
  <c r="V35" i="9"/>
  <c r="U35" i="9"/>
  <c r="X68" i="9"/>
  <c r="W68" i="9"/>
  <c r="T38" i="9"/>
  <c r="S38" i="9"/>
  <c r="T36" i="9"/>
  <c r="S36" i="9"/>
  <c r="T55" i="9"/>
  <c r="S55" i="9"/>
  <c r="T42" i="9"/>
  <c r="S42" i="9"/>
  <c r="T44" i="9"/>
  <c r="S44" i="9"/>
  <c r="T56" i="9"/>
  <c r="S56" i="9"/>
  <c r="T39" i="9"/>
  <c r="S39" i="9"/>
  <c r="AE66" i="8"/>
  <c r="AE83" i="8"/>
  <c r="AE82" i="8"/>
  <c r="AE81" i="8"/>
  <c r="AE80" i="8"/>
  <c r="AE79" i="8"/>
  <c r="AE78" i="8"/>
  <c r="AE77" i="8"/>
  <c r="AE76" i="8"/>
  <c r="AE75" i="8"/>
  <c r="AE74" i="8"/>
  <c r="AE73" i="8"/>
  <c r="AE72" i="8"/>
  <c r="AE67" i="8"/>
  <c r="AE65" i="8"/>
  <c r="AE63" i="8"/>
  <c r="AE56" i="8"/>
  <c r="AE48" i="8"/>
  <c r="AE55" i="8"/>
  <c r="AE54" i="8"/>
  <c r="AE51" i="8"/>
  <c r="AE50" i="8"/>
  <c r="AE47" i="8"/>
  <c r="AE44" i="8"/>
  <c r="AG31" i="8"/>
  <c r="X33" i="8"/>
  <c r="W33" i="8"/>
  <c r="Z32" i="8"/>
  <c r="Y32" i="8"/>
  <c r="AA83" i="7"/>
  <c r="AA82" i="7"/>
  <c r="AA81" i="7"/>
  <c r="AA80" i="7"/>
  <c r="AA79" i="7"/>
  <c r="AA78" i="7"/>
  <c r="AA77" i="7"/>
  <c r="AA76" i="7"/>
  <c r="AA75" i="7"/>
  <c r="AA74" i="7"/>
  <c r="AA73" i="7"/>
  <c r="AA72" i="7"/>
  <c r="AA48" i="7"/>
  <c r="AA56" i="7"/>
  <c r="AA55" i="7"/>
  <c r="AA54" i="7"/>
  <c r="AA51" i="7"/>
  <c r="AA50" i="7"/>
  <c r="AA47" i="7"/>
  <c r="AA44" i="7"/>
  <c r="AA34" i="7"/>
  <c r="AA32" i="7"/>
  <c r="AC31" i="7"/>
  <c r="V37" i="7"/>
  <c r="U37" i="7"/>
  <c r="V56" i="7"/>
  <c r="X56" i="7" s="1"/>
  <c r="Z56" i="7" s="1"/>
  <c r="AB56" i="7" s="1"/>
  <c r="AD56" i="7" s="1"/>
  <c r="AF56" i="7" s="1"/>
  <c r="AH56" i="7" s="1"/>
  <c r="AJ56" i="7" s="1"/>
  <c r="U56" i="7"/>
  <c r="V55" i="7"/>
  <c r="X55" i="7" s="1"/>
  <c r="Z55" i="7" s="1"/>
  <c r="AB55" i="7" s="1"/>
  <c r="AD55" i="7" s="1"/>
  <c r="AF55" i="7" s="1"/>
  <c r="AH55" i="7" s="1"/>
  <c r="AJ55" i="7" s="1"/>
  <c r="U55" i="7"/>
  <c r="X64" i="7"/>
  <c r="W64" i="7"/>
  <c r="V41" i="7"/>
  <c r="U41" i="7"/>
  <c r="X68" i="7"/>
  <c r="W68" i="7"/>
  <c r="X63" i="7"/>
  <c r="W63" i="7"/>
  <c r="X40" i="7"/>
  <c r="W40" i="7"/>
  <c r="V49" i="7"/>
  <c r="U49" i="7"/>
  <c r="X67" i="7"/>
  <c r="W67" i="7"/>
  <c r="X65" i="7"/>
  <c r="W65" i="7"/>
  <c r="X66" i="7"/>
  <c r="W66" i="7"/>
  <c r="AC32" i="1"/>
  <c r="AE31" i="1"/>
  <c r="U48" i="26" l="1"/>
  <c r="V48" i="26"/>
  <c r="X45" i="1"/>
  <c r="Z45" i="1" s="1"/>
  <c r="AB45" i="1" s="1"/>
  <c r="AD45" i="1" s="1"/>
  <c r="AF45" i="1" s="1"/>
  <c r="AH45" i="1" s="1"/>
  <c r="AJ45" i="1" s="1"/>
  <c r="W45" i="1"/>
  <c r="X46" i="9"/>
  <c r="Z46" i="9" s="1"/>
  <c r="AB46" i="9" s="1"/>
  <c r="AD46" i="9" s="1"/>
  <c r="AF46" i="9" s="1"/>
  <c r="AH46" i="9" s="1"/>
  <c r="AJ46" i="9" s="1"/>
  <c r="W46" i="9"/>
  <c r="X47" i="9"/>
  <c r="Z47" i="9" s="1"/>
  <c r="AB47" i="9" s="1"/>
  <c r="AD47" i="9" s="1"/>
  <c r="AF47" i="9" s="1"/>
  <c r="AH47" i="9" s="1"/>
  <c r="AJ47" i="9" s="1"/>
  <c r="W47" i="9"/>
  <c r="X48" i="1"/>
  <c r="Z48" i="1" s="1"/>
  <c r="AB48" i="1" s="1"/>
  <c r="AD48" i="1" s="1"/>
  <c r="AF48" i="1" s="1"/>
  <c r="AH48" i="1" s="1"/>
  <c r="AJ48" i="1" s="1"/>
  <c r="W48" i="1"/>
  <c r="X46" i="1"/>
  <c r="Z46" i="1" s="1"/>
  <c r="AB46" i="1" s="1"/>
  <c r="AD46" i="1" s="1"/>
  <c r="AF46" i="1" s="1"/>
  <c r="AH46" i="1" s="1"/>
  <c r="AJ46" i="1" s="1"/>
  <c r="W46" i="1"/>
  <c r="X52" i="21"/>
  <c r="W52" i="21"/>
  <c r="X48" i="24"/>
  <c r="Z48" i="24" s="1"/>
  <c r="AB48" i="24" s="1"/>
  <c r="AD48" i="24" s="1"/>
  <c r="AF48" i="24" s="1"/>
  <c r="AH48" i="24" s="1"/>
  <c r="AJ48" i="24" s="1"/>
  <c r="W48" i="24"/>
  <c r="G48" i="24" s="1"/>
  <c r="G38" i="24"/>
  <c r="X38" i="24"/>
  <c r="Z38" i="24" s="1"/>
  <c r="AB38" i="24" s="1"/>
  <c r="AD38" i="24" s="1"/>
  <c r="AF38" i="24" s="1"/>
  <c r="AH38" i="24" s="1"/>
  <c r="AJ38" i="24" s="1"/>
  <c r="W38" i="24"/>
  <c r="X46" i="7"/>
  <c r="Z46" i="7" s="1"/>
  <c r="AB46" i="7" s="1"/>
  <c r="AD46" i="7" s="1"/>
  <c r="AF46" i="7" s="1"/>
  <c r="AH46" i="7" s="1"/>
  <c r="AJ46" i="7" s="1"/>
  <c r="W46" i="7"/>
  <c r="F14" i="23"/>
  <c r="B16" i="23" s="1"/>
  <c r="F10" i="23"/>
  <c r="O26" i="24"/>
  <c r="F13" i="23"/>
  <c r="F8" i="23"/>
  <c r="Q49" i="9"/>
  <c r="F9" i="23"/>
  <c r="AG315" i="16"/>
  <c r="AG307" i="16"/>
  <c r="AG299" i="16"/>
  <c r="AG291" i="16"/>
  <c r="AG283" i="16"/>
  <c r="AG275" i="16"/>
  <c r="AG267" i="16"/>
  <c r="AG259" i="16"/>
  <c r="AG251" i="16"/>
  <c r="AG312" i="16"/>
  <c r="AG304" i="16"/>
  <c r="AG296" i="16"/>
  <c r="AG288" i="16"/>
  <c r="AG280" i="16"/>
  <c r="AG272" i="16"/>
  <c r="AG264" i="16"/>
  <c r="AG256" i="16"/>
  <c r="AG314" i="16"/>
  <c r="AG306" i="16"/>
  <c r="AG298" i="16"/>
  <c r="AG290" i="16"/>
  <c r="AG282" i="16"/>
  <c r="AG274" i="16"/>
  <c r="AG266" i="16"/>
  <c r="AG258" i="16"/>
  <c r="AG250" i="16"/>
  <c r="AG311" i="16"/>
  <c r="AG303" i="16"/>
  <c r="AG295" i="16"/>
  <c r="AG287" i="16"/>
  <c r="AG279" i="16"/>
  <c r="AG271" i="16"/>
  <c r="AG263" i="16"/>
  <c r="AG255" i="16"/>
  <c r="AG313" i="16"/>
  <c r="AG305" i="16"/>
  <c r="AG297" i="16"/>
  <c r="AG289" i="16"/>
  <c r="AG281" i="16"/>
  <c r="AG273" i="16"/>
  <c r="AG265" i="16"/>
  <c r="AG257" i="16"/>
  <c r="AG317" i="16"/>
  <c r="AG302" i="16"/>
  <c r="AG300" i="16"/>
  <c r="AG310" i="16"/>
  <c r="AG308" i="16"/>
  <c r="AG293" i="16"/>
  <c r="AG316" i="16"/>
  <c r="AG301" i="16"/>
  <c r="AG286" i="16"/>
  <c r="AG284" i="16"/>
  <c r="AG269" i="16"/>
  <c r="AG254" i="16"/>
  <c r="AG249" i="16"/>
  <c r="AG241" i="16"/>
  <c r="AG233" i="16"/>
  <c r="AG225" i="16"/>
  <c r="AG246" i="16"/>
  <c r="AG238" i="16"/>
  <c r="AG230" i="16"/>
  <c r="AG222" i="16"/>
  <c r="AG309" i="16"/>
  <c r="AG294" i="16"/>
  <c r="AG292" i="16"/>
  <c r="AG277" i="16"/>
  <c r="AG262" i="16"/>
  <c r="AG260" i="16"/>
  <c r="AG243" i="16"/>
  <c r="AG235" i="16"/>
  <c r="AG227" i="16"/>
  <c r="AG219" i="16"/>
  <c r="AG211" i="16"/>
  <c r="AG276" i="16"/>
  <c r="AG240" i="16"/>
  <c r="AG239" i="16"/>
  <c r="AG229" i="16"/>
  <c r="AG228" i="16"/>
  <c r="AG285" i="16"/>
  <c r="AG278" i="16"/>
  <c r="AG268" i="16"/>
  <c r="AG261" i="16"/>
  <c r="AG242" i="16"/>
  <c r="AG232" i="16"/>
  <c r="AG231" i="16"/>
  <c r="AG221" i="16"/>
  <c r="AG245" i="16"/>
  <c r="AG244" i="16"/>
  <c r="AG234" i="16"/>
  <c r="AG224" i="16"/>
  <c r="AG223" i="16"/>
  <c r="AG218" i="16"/>
  <c r="AG213" i="16"/>
  <c r="AG209" i="16"/>
  <c r="AG201" i="16"/>
  <c r="AG193" i="16"/>
  <c r="AG270" i="16"/>
  <c r="AG253" i="16"/>
  <c r="AG206" i="16"/>
  <c r="AG198" i="16"/>
  <c r="AG190" i="16"/>
  <c r="AG248" i="16"/>
  <c r="AG247" i="16"/>
  <c r="AG237" i="16"/>
  <c r="AG236" i="16"/>
  <c r="AG226" i="16"/>
  <c r="AG217" i="16"/>
  <c r="AG212" i="16"/>
  <c r="AG203" i="16"/>
  <c r="AG195" i="16"/>
  <c r="AG215" i="16"/>
  <c r="AG210" i="16"/>
  <c r="AG202" i="16"/>
  <c r="AG192" i="16"/>
  <c r="AG191" i="16"/>
  <c r="AG194" i="16"/>
  <c r="AG252" i="16"/>
  <c r="AG216" i="16"/>
  <c r="AG205" i="16"/>
  <c r="AG204" i="16"/>
  <c r="AG220" i="16"/>
  <c r="AG214" i="16"/>
  <c r="AG208" i="16"/>
  <c r="AG207" i="16"/>
  <c r="AG197" i="16"/>
  <c r="AG196" i="16"/>
  <c r="AG199" i="16"/>
  <c r="AG200" i="16"/>
  <c r="N277" i="16"/>
  <c r="M277" i="16"/>
  <c r="K278" i="16"/>
  <c r="H279" i="16"/>
  <c r="F278" i="16"/>
  <c r="O276" i="16"/>
  <c r="P276" i="16"/>
  <c r="R275" i="16"/>
  <c r="T275" i="16" s="1"/>
  <c r="V275" i="16" s="1"/>
  <c r="X275" i="16" s="1"/>
  <c r="Z275" i="16" s="1"/>
  <c r="AB275" i="16" s="1"/>
  <c r="AD275" i="16" s="1"/>
  <c r="AF275" i="16" s="1"/>
  <c r="AH275" i="16" s="1"/>
  <c r="AJ275" i="16" s="1"/>
  <c r="Q275" i="16"/>
  <c r="AG84" i="8"/>
  <c r="X58" i="27"/>
  <c r="W58" i="27"/>
  <c r="V61" i="27"/>
  <c r="U61" i="27"/>
  <c r="R52" i="26"/>
  <c r="Q52" i="26"/>
  <c r="R53" i="26"/>
  <c r="Q53" i="26"/>
  <c r="U47" i="26"/>
  <c r="V47" i="26"/>
  <c r="V68" i="26"/>
  <c r="U68" i="26"/>
  <c r="V64" i="26"/>
  <c r="U64" i="26"/>
  <c r="U40" i="26"/>
  <c r="V40" i="26"/>
  <c r="Z107" i="26"/>
  <c r="Y107" i="26"/>
  <c r="X66" i="26"/>
  <c r="W66" i="26"/>
  <c r="AB106" i="26"/>
  <c r="AA106" i="26"/>
  <c r="V35" i="26"/>
  <c r="U35" i="26"/>
  <c r="Q33" i="26"/>
  <c r="R33" i="26"/>
  <c r="X70" i="26"/>
  <c r="W70" i="26"/>
  <c r="X60" i="27"/>
  <c r="W60" i="27"/>
  <c r="T70" i="24"/>
  <c r="S70" i="24"/>
  <c r="AC84" i="7"/>
  <c r="U61" i="26"/>
  <c r="V61" i="26"/>
  <c r="V90" i="26"/>
  <c r="U90" i="26"/>
  <c r="V46" i="26"/>
  <c r="U46" i="26"/>
  <c r="AC104" i="9"/>
  <c r="AC85" i="9"/>
  <c r="AC112" i="9"/>
  <c r="X67" i="26"/>
  <c r="W67" i="26"/>
  <c r="X103" i="26"/>
  <c r="W103" i="26"/>
  <c r="V34" i="26"/>
  <c r="U34" i="26"/>
  <c r="V65" i="26"/>
  <c r="U65" i="26"/>
  <c r="X57" i="27"/>
  <c r="W57" i="27"/>
  <c r="V63" i="26"/>
  <c r="U63" i="26"/>
  <c r="Y69" i="26"/>
  <c r="Z69" i="26"/>
  <c r="X67" i="9"/>
  <c r="W67" i="9"/>
  <c r="X45" i="27"/>
  <c r="Z45" i="27" s="1"/>
  <c r="AB45" i="27" s="1"/>
  <c r="AD45" i="27" s="1"/>
  <c r="AF45" i="27" s="1"/>
  <c r="AH45" i="27" s="1"/>
  <c r="W45" i="27"/>
  <c r="G45" i="27" s="1"/>
  <c r="W113" i="9"/>
  <c r="X113" i="9"/>
  <c r="U115" i="9"/>
  <c r="V115" i="9"/>
  <c r="X34" i="27"/>
  <c r="Z34" i="27" s="1"/>
  <c r="AB34" i="27" s="1"/>
  <c r="AD34" i="27" s="1"/>
  <c r="AF34" i="27" s="1"/>
  <c r="AH34" i="27" s="1"/>
  <c r="W34" i="27"/>
  <c r="G34" i="27" s="1"/>
  <c r="R41" i="26"/>
  <c r="Q41" i="26"/>
  <c r="V114" i="9"/>
  <c r="U114" i="9"/>
  <c r="O59" i="26"/>
  <c r="P59" i="26"/>
  <c r="S49" i="9"/>
  <c r="V104" i="9"/>
  <c r="U104" i="9"/>
  <c r="O25" i="24"/>
  <c r="N25" i="24"/>
  <c r="N23" i="24"/>
  <c r="O23" i="24"/>
  <c r="T41" i="24"/>
  <c r="S41" i="24"/>
  <c r="X85" i="1"/>
  <c r="W85" i="1"/>
  <c r="X43" i="1"/>
  <c r="W43" i="1"/>
  <c r="AE93" i="1"/>
  <c r="AE84" i="1"/>
  <c r="X86" i="9"/>
  <c r="W86" i="9"/>
  <c r="X85" i="8"/>
  <c r="W85" i="8"/>
  <c r="X85" i="7"/>
  <c r="W85" i="7"/>
  <c r="T43" i="7"/>
  <c r="S43" i="7"/>
  <c r="M100" i="9"/>
  <c r="V43" i="9"/>
  <c r="U43" i="9"/>
  <c r="AM120" i="17"/>
  <c r="AM131" i="17"/>
  <c r="AM130" i="17"/>
  <c r="AM35" i="17"/>
  <c r="AM3" i="17"/>
  <c r="AM61" i="17"/>
  <c r="AM55" i="17"/>
  <c r="AM66" i="17"/>
  <c r="AM65" i="17"/>
  <c r="AM64" i="17"/>
  <c r="AM53" i="17"/>
  <c r="AM62" i="17"/>
  <c r="AM60" i="17"/>
  <c r="AM59" i="17"/>
  <c r="AM58" i="17"/>
  <c r="AM63" i="17"/>
  <c r="AM57" i="17"/>
  <c r="AM54" i="17"/>
  <c r="AM56" i="17"/>
  <c r="AM43" i="17"/>
  <c r="AM41" i="17"/>
  <c r="AM47" i="17"/>
  <c r="AM40" i="17"/>
  <c r="AM39" i="17"/>
  <c r="AM48" i="17"/>
  <c r="AM49" i="17"/>
  <c r="AM42" i="17"/>
  <c r="AM52" i="17"/>
  <c r="AM51" i="17"/>
  <c r="AM50" i="17"/>
  <c r="AM46" i="17"/>
  <c r="AM45" i="17"/>
  <c r="AM44" i="17"/>
  <c r="AM37" i="17"/>
  <c r="AM128" i="17"/>
  <c r="AM129" i="17"/>
  <c r="AM77" i="17"/>
  <c r="AM79" i="17"/>
  <c r="AM124" i="17"/>
  <c r="AM123" i="17"/>
  <c r="AM122" i="17"/>
  <c r="AM119" i="17"/>
  <c r="Z95" i="21"/>
  <c r="Y95" i="21"/>
  <c r="AG184" i="16"/>
  <c r="AG180" i="16"/>
  <c r="AG176" i="16"/>
  <c r="AG172" i="16"/>
  <c r="AG168" i="16"/>
  <c r="AG164" i="16"/>
  <c r="AG160" i="16"/>
  <c r="AG156" i="16"/>
  <c r="AG185" i="16"/>
  <c r="AG186" i="16"/>
  <c r="AG154" i="16"/>
  <c r="AG150" i="16"/>
  <c r="AG152" i="16"/>
  <c r="AG148" i="16"/>
  <c r="AG183" i="16"/>
  <c r="AG182" i="16"/>
  <c r="AG181" i="16"/>
  <c r="AG175" i="16"/>
  <c r="AG174" i="16"/>
  <c r="AG173" i="16"/>
  <c r="AG167" i="16"/>
  <c r="AG166" i="16"/>
  <c r="AG165" i="16"/>
  <c r="AG159" i="16"/>
  <c r="AG158" i="16"/>
  <c r="AG157" i="16"/>
  <c r="AG179" i="16"/>
  <c r="AG178" i="16"/>
  <c r="AG177" i="16"/>
  <c r="AG171" i="16"/>
  <c r="AG170" i="16"/>
  <c r="AG169" i="16"/>
  <c r="AG163" i="16"/>
  <c r="AG162" i="16"/>
  <c r="AG161" i="16"/>
  <c r="AG155" i="16"/>
  <c r="AG153" i="16"/>
  <c r="AG151" i="16"/>
  <c r="AG149" i="16"/>
  <c r="T41" i="21"/>
  <c r="S41" i="21"/>
  <c r="AC101" i="9"/>
  <c r="AC100" i="9"/>
  <c r="V47" i="21"/>
  <c r="U47" i="21"/>
  <c r="N101" i="9"/>
  <c r="M101" i="9"/>
  <c r="A16" i="23"/>
  <c r="D16" i="23"/>
  <c r="E16" i="23"/>
  <c r="C16" i="23"/>
  <c r="F16" i="23" s="1"/>
  <c r="V69" i="21"/>
  <c r="U69" i="21"/>
  <c r="X68" i="21"/>
  <c r="W68" i="21"/>
  <c r="X66" i="21"/>
  <c r="W66" i="21"/>
  <c r="W38" i="21"/>
  <c r="X38" i="21"/>
  <c r="V37" i="18"/>
  <c r="U37" i="18"/>
  <c r="U58" i="21"/>
  <c r="V58" i="21"/>
  <c r="X65" i="21"/>
  <c r="W65" i="21"/>
  <c r="X93" i="1"/>
  <c r="W93" i="1"/>
  <c r="Z96" i="21"/>
  <c r="Y96" i="21"/>
  <c r="X63" i="21"/>
  <c r="W63" i="21"/>
  <c r="P100" i="9"/>
  <c r="O100" i="9"/>
  <c r="N98" i="9"/>
  <c r="M98" i="9"/>
  <c r="N99" i="9"/>
  <c r="M99" i="9"/>
  <c r="T127" i="9"/>
  <c r="U127" i="9" s="1"/>
  <c r="AC87" i="9"/>
  <c r="U49" i="21"/>
  <c r="V49" i="21"/>
  <c r="X130" i="17"/>
  <c r="W130" i="17"/>
  <c r="U131" i="17"/>
  <c r="V131" i="17"/>
  <c r="Y35" i="17"/>
  <c r="Z35" i="17"/>
  <c r="X3" i="17"/>
  <c r="W3" i="17"/>
  <c r="G56" i="17"/>
  <c r="E55" i="17"/>
  <c r="E63" i="17"/>
  <c r="G62" i="17"/>
  <c r="Q60" i="17"/>
  <c r="R60" i="17"/>
  <c r="O57" i="17"/>
  <c r="L56" i="17"/>
  <c r="O61" i="17"/>
  <c r="L62" i="17"/>
  <c r="T59" i="17"/>
  <c r="S59" i="17"/>
  <c r="Q58" i="17"/>
  <c r="R58" i="17"/>
  <c r="AC94" i="9"/>
  <c r="AC61" i="9"/>
  <c r="AC63" i="9"/>
  <c r="AC60" i="9"/>
  <c r="AC93" i="9"/>
  <c r="AC45" i="9"/>
  <c r="AC46" i="9"/>
  <c r="AC88" i="9"/>
  <c r="O127" i="9"/>
  <c r="K23" i="9"/>
  <c r="X94" i="9"/>
  <c r="W94" i="9"/>
  <c r="AG93" i="8"/>
  <c r="AG60" i="8"/>
  <c r="AG61" i="8"/>
  <c r="AG92" i="8"/>
  <c r="AG45" i="8"/>
  <c r="AG46" i="8"/>
  <c r="AG87" i="8"/>
  <c r="X93" i="8"/>
  <c r="W93" i="8"/>
  <c r="AC93" i="7"/>
  <c r="AC60" i="7"/>
  <c r="AC61" i="7"/>
  <c r="AC92" i="7"/>
  <c r="AC46" i="7"/>
  <c r="AC87" i="7"/>
  <c r="X93" i="7"/>
  <c r="W93" i="7"/>
  <c r="Q127" i="9"/>
  <c r="K26" i="7"/>
  <c r="N23" i="9"/>
  <c r="P23" i="9" s="1"/>
  <c r="AB33" i="1"/>
  <c r="AA33" i="1"/>
  <c r="N25" i="7"/>
  <c r="P25" i="7" s="1"/>
  <c r="K25" i="7"/>
  <c r="T42" i="7"/>
  <c r="S42" i="7"/>
  <c r="T54" i="7"/>
  <c r="S54" i="7"/>
  <c r="Q50" i="7"/>
  <c r="R50" i="7"/>
  <c r="S39" i="7"/>
  <c r="T39" i="7"/>
  <c r="X70" i="1"/>
  <c r="W70" i="1"/>
  <c r="X92" i="1"/>
  <c r="W92" i="1"/>
  <c r="Z61" i="1"/>
  <c r="AB61" i="1" s="1"/>
  <c r="AD61" i="1" s="1"/>
  <c r="AF61" i="1" s="1"/>
  <c r="AH61" i="1" s="1"/>
  <c r="AJ61" i="1" s="1"/>
  <c r="Y61" i="1"/>
  <c r="AE61" i="1"/>
  <c r="AE60" i="1"/>
  <c r="AE92" i="1"/>
  <c r="X60" i="1"/>
  <c r="W60" i="1"/>
  <c r="X61" i="9"/>
  <c r="W61" i="9"/>
  <c r="X63" i="9"/>
  <c r="W63" i="9"/>
  <c r="T60" i="9"/>
  <c r="S60" i="9"/>
  <c r="T62" i="9"/>
  <c r="S62" i="9"/>
  <c r="X61" i="7"/>
  <c r="W61" i="7"/>
  <c r="T60" i="7"/>
  <c r="S60" i="7"/>
  <c r="R92" i="7"/>
  <c r="Q92" i="7"/>
  <c r="O46" i="17"/>
  <c r="L47" i="17"/>
  <c r="G47" i="17"/>
  <c r="E48" i="17"/>
  <c r="L43" i="17"/>
  <c r="O44" i="17"/>
  <c r="G43" i="17"/>
  <c r="E42" i="17"/>
  <c r="R45" i="17"/>
  <c r="Q45" i="17"/>
  <c r="T93" i="9"/>
  <c r="S93" i="9"/>
  <c r="R50" i="9"/>
  <c r="Q50" i="9"/>
  <c r="T38" i="7"/>
  <c r="V38" i="7" s="1"/>
  <c r="X38" i="7" s="1"/>
  <c r="S125" i="9"/>
  <c r="P120" i="9"/>
  <c r="R120" i="9" s="1"/>
  <c r="X55" i="18"/>
  <c r="W55" i="18"/>
  <c r="AE87" i="1"/>
  <c r="AE97" i="1"/>
  <c r="AE96" i="1"/>
  <c r="AE98" i="1"/>
  <c r="S140" i="9"/>
  <c r="X58" i="1"/>
  <c r="W58" i="1"/>
  <c r="X58" i="18"/>
  <c r="W58" i="18"/>
  <c r="X59" i="1"/>
  <c r="W59" i="1"/>
  <c r="S123" i="9"/>
  <c r="X60" i="18"/>
  <c r="W60" i="18"/>
  <c r="X45" i="18"/>
  <c r="Z45" i="18" s="1"/>
  <c r="AB45" i="18" s="1"/>
  <c r="AD45" i="18" s="1"/>
  <c r="AF45" i="18" s="1"/>
  <c r="AH45" i="18" s="1"/>
  <c r="W45" i="18"/>
  <c r="G45" i="18" s="1"/>
  <c r="Q123" i="9"/>
  <c r="X34" i="18"/>
  <c r="Z34" i="18" s="1"/>
  <c r="AB34" i="18" s="1"/>
  <c r="AD34" i="18" s="1"/>
  <c r="AF34" i="18" s="1"/>
  <c r="AH34" i="18" s="1"/>
  <c r="W34" i="18"/>
  <c r="G34" i="18" s="1"/>
  <c r="X57" i="18"/>
  <c r="W57" i="18"/>
  <c r="T137" i="9"/>
  <c r="U137" i="9" s="1"/>
  <c r="T136" i="9"/>
  <c r="U136" i="9" s="1"/>
  <c r="S134" i="9"/>
  <c r="O133" i="9"/>
  <c r="Q134" i="9"/>
  <c r="T122" i="9"/>
  <c r="U122" i="9" s="1"/>
  <c r="Q136" i="9"/>
  <c r="P129" i="9"/>
  <c r="R129" i="9" s="1"/>
  <c r="T129" i="9" s="1"/>
  <c r="T58" i="9"/>
  <c r="S58" i="9"/>
  <c r="V59" i="9"/>
  <c r="U59" i="9"/>
  <c r="T59" i="8"/>
  <c r="S59" i="8"/>
  <c r="V59" i="7"/>
  <c r="U59" i="7"/>
  <c r="T58" i="7"/>
  <c r="S58" i="7"/>
  <c r="P131" i="9"/>
  <c r="X61" i="18"/>
  <c r="W61" i="18"/>
  <c r="S118" i="9"/>
  <c r="Q119" i="9"/>
  <c r="U57" i="9"/>
  <c r="T130" i="9"/>
  <c r="U130" i="9" s="1"/>
  <c r="Q118" i="9"/>
  <c r="O119" i="9"/>
  <c r="O126" i="9"/>
  <c r="P126" i="9"/>
  <c r="O128" i="9"/>
  <c r="R128" i="9"/>
  <c r="T128" i="9" s="1"/>
  <c r="V128" i="9" s="1"/>
  <c r="R161" i="16"/>
  <c r="T161" i="16" s="1"/>
  <c r="V161" i="16" s="1"/>
  <c r="X161" i="16" s="1"/>
  <c r="Z161" i="16" s="1"/>
  <c r="AB161" i="16" s="1"/>
  <c r="AD161" i="16" s="1"/>
  <c r="AF161" i="16" s="1"/>
  <c r="AH161" i="16" s="1"/>
  <c r="AJ161" i="16" s="1"/>
  <c r="Q161" i="16"/>
  <c r="H165" i="16"/>
  <c r="K164" i="16"/>
  <c r="N163" i="16"/>
  <c r="M163" i="16"/>
  <c r="O162" i="16"/>
  <c r="P162" i="16"/>
  <c r="AG144" i="16"/>
  <c r="AG140" i="16"/>
  <c r="AG136" i="16"/>
  <c r="AG146" i="16"/>
  <c r="AG142" i="16"/>
  <c r="AG138" i="16"/>
  <c r="AG147" i="16"/>
  <c r="AG143" i="16"/>
  <c r="AG139" i="16"/>
  <c r="AG145" i="16"/>
  <c r="AG137" i="16"/>
  <c r="AG141" i="16"/>
  <c r="AG135" i="16"/>
  <c r="AG187" i="16"/>
  <c r="T36" i="7"/>
  <c r="V36" i="7" s="1"/>
  <c r="X36" i="7" s="1"/>
  <c r="T45" i="9"/>
  <c r="S45" i="9"/>
  <c r="X129" i="17"/>
  <c r="W129" i="17"/>
  <c r="V128" i="17"/>
  <c r="U128" i="17"/>
  <c r="AC45" i="7"/>
  <c r="AC86" i="7"/>
  <c r="AE45" i="1"/>
  <c r="AE46" i="1"/>
  <c r="T45" i="7"/>
  <c r="S45" i="7"/>
  <c r="AC91" i="9"/>
  <c r="AC57" i="9"/>
  <c r="AC66" i="9"/>
  <c r="AC82" i="9"/>
  <c r="AC78" i="9"/>
  <c r="AC74" i="9"/>
  <c r="AC56" i="9"/>
  <c r="AC50" i="9"/>
  <c r="AC81" i="9"/>
  <c r="AC77" i="9"/>
  <c r="AC73" i="9"/>
  <c r="AC55" i="9"/>
  <c r="AC44" i="9"/>
  <c r="AC48" i="9"/>
  <c r="AC53" i="9"/>
  <c r="AC79" i="9"/>
  <c r="AC75" i="9"/>
  <c r="AC41" i="9"/>
  <c r="AC52" i="9"/>
  <c r="AC47" i="9"/>
  <c r="AC84" i="9"/>
  <c r="AC80" i="9"/>
  <c r="AC76" i="9"/>
  <c r="AC65" i="9"/>
  <c r="AC54" i="9"/>
  <c r="AC83" i="9"/>
  <c r="AC51" i="9"/>
  <c r="AE31" i="9"/>
  <c r="R132" i="9"/>
  <c r="Q132" i="9"/>
  <c r="S54" i="9"/>
  <c r="T37" i="9"/>
  <c r="V37" i="9" s="1"/>
  <c r="AG88" i="8"/>
  <c r="AG86" i="8"/>
  <c r="T139" i="9"/>
  <c r="S139" i="9"/>
  <c r="V135" i="9"/>
  <c r="U135" i="9"/>
  <c r="T119" i="9"/>
  <c r="S119" i="9"/>
  <c r="E36" i="17"/>
  <c r="E37" i="17" s="1"/>
  <c r="E38" i="17" s="1"/>
  <c r="G34" i="17"/>
  <c r="S119" i="17"/>
  <c r="T119" i="17"/>
  <c r="Q88" i="17"/>
  <c r="R88" i="17"/>
  <c r="L70" i="17"/>
  <c r="O71" i="17"/>
  <c r="R115" i="17"/>
  <c r="Q115" i="17"/>
  <c r="G86" i="17"/>
  <c r="E85" i="17"/>
  <c r="O75" i="17"/>
  <c r="L76" i="17"/>
  <c r="O123" i="17"/>
  <c r="L124" i="17"/>
  <c r="O124" i="17" s="1"/>
  <c r="R132" i="17"/>
  <c r="Q132" i="17"/>
  <c r="V110" i="17"/>
  <c r="U110" i="17"/>
  <c r="Q72" i="17"/>
  <c r="R72" i="17"/>
  <c r="Q133" i="9"/>
  <c r="R133" i="9"/>
  <c r="S133" i="17"/>
  <c r="T133" i="17"/>
  <c r="R121" i="9"/>
  <c r="Q121" i="9"/>
  <c r="Q112" i="17"/>
  <c r="R112" i="17"/>
  <c r="R134" i="17"/>
  <c r="Q134" i="17"/>
  <c r="E123" i="17"/>
  <c r="G122" i="17"/>
  <c r="T73" i="17"/>
  <c r="S73" i="17"/>
  <c r="E69" i="17"/>
  <c r="G70" i="17"/>
  <c r="T108" i="17"/>
  <c r="S108" i="17"/>
  <c r="T111" i="17"/>
  <c r="S111" i="17"/>
  <c r="Q74" i="17"/>
  <c r="R74" i="17"/>
  <c r="Q122" i="17"/>
  <c r="R122" i="17"/>
  <c r="O27" i="17"/>
  <c r="L26" i="17"/>
  <c r="T109" i="17"/>
  <c r="S109" i="17"/>
  <c r="U30" i="17"/>
  <c r="V30" i="17"/>
  <c r="L34" i="17"/>
  <c r="O33" i="17"/>
  <c r="X126" i="17"/>
  <c r="W126" i="17"/>
  <c r="G26" i="17"/>
  <c r="E25" i="17"/>
  <c r="E77" i="17"/>
  <c r="E78" i="17"/>
  <c r="G76" i="17"/>
  <c r="G77" i="17" s="1"/>
  <c r="T31" i="17"/>
  <c r="S31" i="17"/>
  <c r="Q125" i="17"/>
  <c r="R125" i="17"/>
  <c r="L86" i="17"/>
  <c r="O87" i="17"/>
  <c r="Q32" i="17"/>
  <c r="R32" i="17"/>
  <c r="L117" i="17"/>
  <c r="O116" i="17"/>
  <c r="G90" i="17"/>
  <c r="E91" i="17"/>
  <c r="L114" i="17"/>
  <c r="O114" i="17" s="1"/>
  <c r="O113" i="17"/>
  <c r="R28" i="17"/>
  <c r="Q28" i="17"/>
  <c r="T121" i="17"/>
  <c r="S121" i="17"/>
  <c r="O89" i="17"/>
  <c r="L90" i="17"/>
  <c r="T29" i="17"/>
  <c r="S29" i="17"/>
  <c r="E115" i="17"/>
  <c r="G114" i="17"/>
  <c r="X127" i="17"/>
  <c r="W127" i="17"/>
  <c r="O120" i="17"/>
  <c r="E120" i="17"/>
  <c r="AM121" i="17"/>
  <c r="AM115" i="17"/>
  <c r="AM110" i="17"/>
  <c r="AM117" i="17"/>
  <c r="AM98" i="17"/>
  <c r="AM118" i="17"/>
  <c r="AM108" i="17"/>
  <c r="AM106" i="17"/>
  <c r="AM102" i="17"/>
  <c r="AM114" i="17"/>
  <c r="AM112" i="17"/>
  <c r="AM107" i="17"/>
  <c r="AM103" i="17"/>
  <c r="AM101" i="17"/>
  <c r="AM100" i="17"/>
  <c r="AM116" i="17"/>
  <c r="AM104" i="17"/>
  <c r="AM99" i="17"/>
  <c r="AM96" i="17"/>
  <c r="AM95" i="17"/>
  <c r="AM105" i="17"/>
  <c r="AM97" i="17"/>
  <c r="AM111" i="17"/>
  <c r="AM113" i="17"/>
  <c r="AM109" i="17"/>
  <c r="AM94" i="17"/>
  <c r="AM93" i="17"/>
  <c r="AM82" i="17"/>
  <c r="AM83" i="17"/>
  <c r="AM91" i="17"/>
  <c r="AM90" i="17"/>
  <c r="AM88" i="17"/>
  <c r="AM87" i="17"/>
  <c r="AM84" i="17"/>
  <c r="AM92" i="17"/>
  <c r="AM89" i="17"/>
  <c r="AM86" i="17"/>
  <c r="AM85" i="17"/>
  <c r="AM81" i="17"/>
  <c r="AM73" i="17"/>
  <c r="AM72" i="17"/>
  <c r="AM76" i="17"/>
  <c r="AM75" i="17"/>
  <c r="AM74" i="17"/>
  <c r="AM71" i="17"/>
  <c r="AM68" i="17"/>
  <c r="AM67" i="17"/>
  <c r="AM78" i="17"/>
  <c r="AM69" i="17"/>
  <c r="AM80" i="17"/>
  <c r="AM70" i="17"/>
  <c r="AM34" i="17"/>
  <c r="AM31" i="17"/>
  <c r="AM30" i="17"/>
  <c r="AM28" i="17"/>
  <c r="AM27" i="17"/>
  <c r="AM26" i="17"/>
  <c r="AM25" i="17"/>
  <c r="AM24" i="17"/>
  <c r="AM29" i="17"/>
  <c r="AM36" i="17"/>
  <c r="AM32" i="17"/>
  <c r="AM38" i="17"/>
  <c r="AM33" i="17"/>
  <c r="AM134" i="17"/>
  <c r="AM125" i="17"/>
  <c r="AM132" i="17"/>
  <c r="AM133" i="17"/>
  <c r="AM127" i="17"/>
  <c r="AO23" i="17"/>
  <c r="AM126" i="17"/>
  <c r="Z32" i="16"/>
  <c r="Y32" i="16"/>
  <c r="M50" i="16"/>
  <c r="N50" i="16"/>
  <c r="P47" i="16"/>
  <c r="O47" i="16"/>
  <c r="X37" i="16"/>
  <c r="W37" i="16"/>
  <c r="N52" i="16"/>
  <c r="M52" i="16"/>
  <c r="X35" i="16"/>
  <c r="W35" i="16"/>
  <c r="N48" i="16"/>
  <c r="M48" i="16"/>
  <c r="R44" i="16"/>
  <c r="Q44" i="16"/>
  <c r="U38" i="16"/>
  <c r="V38" i="16"/>
  <c r="K55" i="16"/>
  <c r="X33" i="16"/>
  <c r="W33" i="16"/>
  <c r="AA29" i="16"/>
  <c r="AB29" i="16"/>
  <c r="V36" i="16"/>
  <c r="U36" i="16"/>
  <c r="K51" i="16"/>
  <c r="R46" i="16"/>
  <c r="Q46" i="16"/>
  <c r="P45" i="16"/>
  <c r="O45" i="16"/>
  <c r="Y30" i="16"/>
  <c r="Z30" i="16"/>
  <c r="T39" i="16"/>
  <c r="S39" i="16"/>
  <c r="T41" i="16"/>
  <c r="S41" i="16"/>
  <c r="R42" i="16"/>
  <c r="Q42" i="16"/>
  <c r="K53" i="16"/>
  <c r="AB31" i="16"/>
  <c r="AA31" i="16"/>
  <c r="V40" i="16"/>
  <c r="U40" i="16"/>
  <c r="T43" i="16"/>
  <c r="S43" i="16"/>
  <c r="AB27" i="16"/>
  <c r="AA27" i="16"/>
  <c r="Z34" i="16"/>
  <c r="Y34" i="16"/>
  <c r="P49" i="16"/>
  <c r="O49" i="16"/>
  <c r="AG131" i="16"/>
  <c r="AG129" i="16"/>
  <c r="AG128" i="16"/>
  <c r="AG119" i="16"/>
  <c r="AG118" i="16"/>
  <c r="AG117" i="16"/>
  <c r="AG116" i="16"/>
  <c r="AG111" i="16"/>
  <c r="AG107" i="16"/>
  <c r="AG105" i="16"/>
  <c r="AG103" i="16"/>
  <c r="AG100" i="16"/>
  <c r="AG94" i="16"/>
  <c r="AG91" i="16"/>
  <c r="AG89" i="16"/>
  <c r="AG88" i="16"/>
  <c r="AG73" i="16"/>
  <c r="AG132" i="16"/>
  <c r="AG130" i="16"/>
  <c r="AG125" i="16"/>
  <c r="AG124" i="16"/>
  <c r="AG109" i="16"/>
  <c r="AG98" i="16"/>
  <c r="AG96" i="16"/>
  <c r="AG93" i="16"/>
  <c r="AG77" i="16"/>
  <c r="AG75" i="16"/>
  <c r="AG72" i="16"/>
  <c r="AG70" i="16"/>
  <c r="AG66" i="16"/>
  <c r="AG122" i="16"/>
  <c r="AG120" i="16"/>
  <c r="AG115" i="16"/>
  <c r="AG110" i="16"/>
  <c r="AG85" i="16"/>
  <c r="AG84" i="16"/>
  <c r="AG74" i="16"/>
  <c r="AG67" i="16"/>
  <c r="AG61" i="16"/>
  <c r="AG58" i="16"/>
  <c r="AG51" i="16"/>
  <c r="AG48" i="16"/>
  <c r="AG43" i="16"/>
  <c r="AG40" i="16"/>
  <c r="AG36" i="16"/>
  <c r="AG30" i="16"/>
  <c r="AG26" i="16"/>
  <c r="AG22" i="16"/>
  <c r="AG127" i="16"/>
  <c r="AG123" i="16"/>
  <c r="AG121" i="16"/>
  <c r="AG113" i="16"/>
  <c r="AG104" i="16"/>
  <c r="AG99" i="16"/>
  <c r="AG92" i="16"/>
  <c r="AG90" i="16"/>
  <c r="AG81" i="16"/>
  <c r="AG80" i="16"/>
  <c r="AG59" i="16"/>
  <c r="AG56" i="16"/>
  <c r="AG53" i="16"/>
  <c r="AG50" i="16"/>
  <c r="AG45" i="16"/>
  <c r="AG42" i="16"/>
  <c r="AG38" i="16"/>
  <c r="AG34" i="16"/>
  <c r="AG28" i="16"/>
  <c r="AG24" i="16"/>
  <c r="AG20" i="16"/>
  <c r="AG126" i="16"/>
  <c r="AG112" i="16"/>
  <c r="AG87" i="16"/>
  <c r="AG86" i="16"/>
  <c r="AG79" i="16"/>
  <c r="AG78" i="16"/>
  <c r="AG71" i="16"/>
  <c r="AG69" i="16"/>
  <c r="AG68" i="16"/>
  <c r="AG65" i="16"/>
  <c r="AG62" i="16"/>
  <c r="AG55" i="16"/>
  <c r="AG52" i="16"/>
  <c r="AG49" i="16"/>
  <c r="AG46" i="16"/>
  <c r="AG44" i="16"/>
  <c r="AG41" i="16"/>
  <c r="AG37" i="16"/>
  <c r="AG106" i="16"/>
  <c r="AG102" i="16"/>
  <c r="AG95" i="16"/>
  <c r="AG60" i="16"/>
  <c r="AG54" i="16"/>
  <c r="AG27" i="16"/>
  <c r="AG19" i="16"/>
  <c r="AG101" i="16"/>
  <c r="AG63" i="16"/>
  <c r="AG25" i="16"/>
  <c r="AG82" i="16"/>
  <c r="AG76" i="16"/>
  <c r="AG33" i="16"/>
  <c r="AG29" i="16"/>
  <c r="AG21" i="16"/>
  <c r="AG114" i="16"/>
  <c r="AG108" i="16"/>
  <c r="AG97" i="16"/>
  <c r="AG83" i="16"/>
  <c r="AG35" i="16"/>
  <c r="AG32" i="16"/>
  <c r="AG31" i="16"/>
  <c r="AG23" i="16"/>
  <c r="AG64" i="16"/>
  <c r="AG57" i="16"/>
  <c r="AG47" i="16"/>
  <c r="AG39" i="16"/>
  <c r="AI17" i="16"/>
  <c r="AG18" i="16"/>
  <c r="AF87" i="9"/>
  <c r="AF86" i="1"/>
  <c r="AE86" i="1"/>
  <c r="U51" i="7"/>
  <c r="V51" i="7"/>
  <c r="S51" i="9"/>
  <c r="T51" i="9"/>
  <c r="AC57" i="7"/>
  <c r="AC88" i="7"/>
  <c r="AB89" i="9"/>
  <c r="AA89" i="9"/>
  <c r="AE57" i="1"/>
  <c r="AE53" i="1"/>
  <c r="AE52" i="1"/>
  <c r="U57" i="1"/>
  <c r="V57" i="1"/>
  <c r="X57" i="1" s="1"/>
  <c r="Z57" i="1" s="1"/>
  <c r="AB57" i="1" s="1"/>
  <c r="AD57" i="1" s="1"/>
  <c r="AF57" i="1" s="1"/>
  <c r="AH57" i="1" s="1"/>
  <c r="AJ57" i="1" s="1"/>
  <c r="W90" i="1"/>
  <c r="X90" i="1"/>
  <c r="W52" i="1"/>
  <c r="X52" i="1"/>
  <c r="U62" i="1"/>
  <c r="V62" i="1"/>
  <c r="AB83" i="1"/>
  <c r="AA83" i="1"/>
  <c r="AB90" i="7"/>
  <c r="AA90" i="7"/>
  <c r="V123" i="9"/>
  <c r="U123" i="9"/>
  <c r="V118" i="9"/>
  <c r="U118" i="9"/>
  <c r="U134" i="9"/>
  <c r="V134" i="9"/>
  <c r="U140" i="9"/>
  <c r="V140" i="9"/>
  <c r="U125" i="9"/>
  <c r="V125" i="9"/>
  <c r="U138" i="9"/>
  <c r="V138" i="9"/>
  <c r="U124" i="9"/>
  <c r="V124" i="9"/>
  <c r="U71" i="9"/>
  <c r="V71" i="9"/>
  <c r="V108" i="9"/>
  <c r="U108" i="9"/>
  <c r="AC16" i="12"/>
  <c r="AC66" i="12" s="1"/>
  <c r="AB107" i="9"/>
  <c r="AA107" i="9"/>
  <c r="AG57" i="8"/>
  <c r="AG52" i="8"/>
  <c r="AG53" i="8"/>
  <c r="AB96" i="8"/>
  <c r="AA96" i="8"/>
  <c r="AC53" i="7"/>
  <c r="AC52" i="7"/>
  <c r="Z33" i="7"/>
  <c r="Y33" i="7"/>
  <c r="V62" i="7"/>
  <c r="U62" i="7"/>
  <c r="Z52" i="9"/>
  <c r="AB52" i="9" s="1"/>
  <c r="AD52" i="9" s="1"/>
  <c r="AF52" i="9" s="1"/>
  <c r="AH52" i="9" s="1"/>
  <c r="AJ52" i="9" s="1"/>
  <c r="Y52" i="9"/>
  <c r="Z52" i="7"/>
  <c r="AB52" i="7" s="1"/>
  <c r="AD52" i="7" s="1"/>
  <c r="AF52" i="7" s="1"/>
  <c r="AH52" i="7" s="1"/>
  <c r="AJ52" i="7" s="1"/>
  <c r="Y52" i="7"/>
  <c r="V41" i="8"/>
  <c r="U41" i="8"/>
  <c r="AG70" i="8"/>
  <c r="AG69" i="8"/>
  <c r="U35" i="7"/>
  <c r="V35" i="7"/>
  <c r="V50" i="1"/>
  <c r="U50" i="1"/>
  <c r="V39" i="1"/>
  <c r="U39" i="1"/>
  <c r="V55" i="1"/>
  <c r="X55" i="1" s="1"/>
  <c r="Z55" i="1" s="1"/>
  <c r="AB55" i="1" s="1"/>
  <c r="AD55" i="1" s="1"/>
  <c r="AF55" i="1" s="1"/>
  <c r="AH55" i="1" s="1"/>
  <c r="AJ55" i="1" s="1"/>
  <c r="U55" i="1"/>
  <c r="V37" i="1"/>
  <c r="U37" i="1"/>
  <c r="V42" i="1"/>
  <c r="U42" i="1"/>
  <c r="V49" i="1"/>
  <c r="U49" i="1"/>
  <c r="V54" i="1"/>
  <c r="U54" i="1"/>
  <c r="V44" i="1"/>
  <c r="U44" i="1"/>
  <c r="V56" i="1"/>
  <c r="X56" i="1" s="1"/>
  <c r="Z56" i="1" s="1"/>
  <c r="AB56" i="1" s="1"/>
  <c r="AD56" i="1" s="1"/>
  <c r="AF56" i="1" s="1"/>
  <c r="AH56" i="1" s="1"/>
  <c r="AJ56" i="1" s="1"/>
  <c r="U56" i="1"/>
  <c r="X51" i="1"/>
  <c r="W51" i="1"/>
  <c r="X63" i="1"/>
  <c r="W63" i="1"/>
  <c r="X66" i="1"/>
  <c r="W66" i="1"/>
  <c r="X65" i="1"/>
  <c r="W65" i="1"/>
  <c r="X64" i="1"/>
  <c r="W64" i="1"/>
  <c r="X40" i="1"/>
  <c r="W40" i="1"/>
  <c r="X67" i="1"/>
  <c r="W67" i="1"/>
  <c r="V36" i="1"/>
  <c r="U36" i="1"/>
  <c r="Z68" i="1"/>
  <c r="Y68" i="1"/>
  <c r="X35" i="1"/>
  <c r="W35" i="1"/>
  <c r="Z41" i="1"/>
  <c r="Y41" i="1"/>
  <c r="X34" i="1"/>
  <c r="W34" i="1"/>
  <c r="W69" i="1"/>
  <c r="X69" i="1"/>
  <c r="AE88" i="1"/>
  <c r="AE82" i="1"/>
  <c r="AE81" i="1"/>
  <c r="AE80" i="1"/>
  <c r="AE79" i="1"/>
  <c r="AE78" i="1"/>
  <c r="AE77" i="1"/>
  <c r="AE76" i="1"/>
  <c r="AE75" i="1"/>
  <c r="AE74" i="1"/>
  <c r="AE73" i="1"/>
  <c r="AE72" i="1"/>
  <c r="AE67" i="1"/>
  <c r="AE66" i="1"/>
  <c r="AE65" i="1"/>
  <c r="AE63" i="1"/>
  <c r="AE56" i="1"/>
  <c r="AE55" i="1"/>
  <c r="AE54" i="1"/>
  <c r="AE51" i="1"/>
  <c r="AE50" i="1"/>
  <c r="AE48" i="1"/>
  <c r="AE47" i="1"/>
  <c r="AE44" i="1"/>
  <c r="Y70" i="9"/>
  <c r="Z70" i="9"/>
  <c r="Y70" i="8"/>
  <c r="Z70" i="8"/>
  <c r="Z69" i="8"/>
  <c r="Y69" i="8"/>
  <c r="W69" i="7"/>
  <c r="X69" i="7"/>
  <c r="Z70" i="7"/>
  <c r="Y70" i="7"/>
  <c r="Z32" i="9"/>
  <c r="Y32" i="9"/>
  <c r="V38" i="1"/>
  <c r="U38" i="1"/>
  <c r="V39" i="9"/>
  <c r="U39" i="9"/>
  <c r="V54" i="9"/>
  <c r="U54" i="9"/>
  <c r="V56" i="9"/>
  <c r="X56" i="9" s="1"/>
  <c r="Z56" i="9" s="1"/>
  <c r="AB56" i="9" s="1"/>
  <c r="AD56" i="9" s="1"/>
  <c r="AF56" i="9" s="1"/>
  <c r="AH56" i="9" s="1"/>
  <c r="AJ56" i="9" s="1"/>
  <c r="U56" i="9"/>
  <c r="V44" i="9"/>
  <c r="U44" i="9"/>
  <c r="V42" i="9"/>
  <c r="U42" i="9"/>
  <c r="V55" i="9"/>
  <c r="X55" i="9" s="1"/>
  <c r="Z55" i="9" s="1"/>
  <c r="AB55" i="9" s="1"/>
  <c r="AD55" i="9" s="1"/>
  <c r="AF55" i="9" s="1"/>
  <c r="AH55" i="9" s="1"/>
  <c r="AJ55" i="9" s="1"/>
  <c r="U55" i="9"/>
  <c r="V36" i="9"/>
  <c r="U36" i="9"/>
  <c r="V38" i="9"/>
  <c r="U38" i="9"/>
  <c r="Z68" i="9"/>
  <c r="Y68" i="9"/>
  <c r="X35" i="9"/>
  <c r="W35" i="9"/>
  <c r="V49" i="9"/>
  <c r="U49" i="9"/>
  <c r="Z66" i="9"/>
  <c r="Y66" i="9"/>
  <c r="Z33" i="9"/>
  <c r="Y33" i="9"/>
  <c r="X65" i="9"/>
  <c r="W65" i="9"/>
  <c r="X69" i="9"/>
  <c r="W69" i="9"/>
  <c r="X64" i="9"/>
  <c r="W64" i="9"/>
  <c r="X40" i="9"/>
  <c r="W40" i="9"/>
  <c r="X34" i="9"/>
  <c r="W34" i="9"/>
  <c r="AB32" i="8"/>
  <c r="AA32" i="8"/>
  <c r="Z33" i="8"/>
  <c r="Y33" i="8"/>
  <c r="AG66" i="8"/>
  <c r="AG83" i="8"/>
  <c r="AG82" i="8"/>
  <c r="AG81" i="8"/>
  <c r="AG80" i="8"/>
  <c r="AG79" i="8"/>
  <c r="AG78" i="8"/>
  <c r="AG77" i="8"/>
  <c r="AG76" i="8"/>
  <c r="AG75" i="8"/>
  <c r="AG74" i="8"/>
  <c r="AG73" i="8"/>
  <c r="AG72" i="8"/>
  <c r="AG68" i="8"/>
  <c r="AG67" i="8"/>
  <c r="AG65" i="8"/>
  <c r="AG48" i="8"/>
  <c r="AG63" i="8"/>
  <c r="AG56" i="8"/>
  <c r="AG55" i="8"/>
  <c r="AG54" i="8"/>
  <c r="AG51" i="8"/>
  <c r="AG50" i="8"/>
  <c r="AG47" i="8"/>
  <c r="AG44" i="8"/>
  <c r="AI31" i="8"/>
  <c r="AC66" i="7"/>
  <c r="AC83" i="7"/>
  <c r="AC82" i="7"/>
  <c r="AC81" i="7"/>
  <c r="AC80" i="7"/>
  <c r="AC79" i="7"/>
  <c r="AC78" i="7"/>
  <c r="AC77" i="7"/>
  <c r="AC76" i="7"/>
  <c r="AC75" i="7"/>
  <c r="AC74" i="7"/>
  <c r="AC73" i="7"/>
  <c r="AC72" i="7"/>
  <c r="AC65" i="7"/>
  <c r="AC48" i="7"/>
  <c r="AC63" i="7"/>
  <c r="AC56" i="7"/>
  <c r="AC55" i="7"/>
  <c r="AC54" i="7"/>
  <c r="AC51" i="7"/>
  <c r="AC50" i="7"/>
  <c r="AC47" i="7"/>
  <c r="AC44" i="7"/>
  <c r="AC34" i="7"/>
  <c r="AE31" i="7"/>
  <c r="AC32" i="7"/>
  <c r="Z66" i="7"/>
  <c r="Y66" i="7"/>
  <c r="Z65" i="7"/>
  <c r="Y65" i="7"/>
  <c r="Z67" i="7"/>
  <c r="Y67" i="7"/>
  <c r="X49" i="7"/>
  <c r="W49" i="7"/>
  <c r="Z40" i="7"/>
  <c r="Y40" i="7"/>
  <c r="Z63" i="7"/>
  <c r="Y63" i="7"/>
  <c r="Z68" i="7"/>
  <c r="Y68" i="7"/>
  <c r="X41" i="7"/>
  <c r="W41" i="7"/>
  <c r="Z64" i="7"/>
  <c r="Y64" i="7"/>
  <c r="X37" i="7"/>
  <c r="W37" i="7"/>
  <c r="AG31" i="1"/>
  <c r="AE32" i="1"/>
  <c r="X48" i="26" l="1"/>
  <c r="Z48" i="26" s="1"/>
  <c r="AB48" i="26" s="1"/>
  <c r="AD48" i="26" s="1"/>
  <c r="AF48" i="26" s="1"/>
  <c r="AH48" i="26" s="1"/>
  <c r="AJ48" i="26" s="1"/>
  <c r="W48" i="26"/>
  <c r="G48" i="26" s="1"/>
  <c r="X47" i="21"/>
  <c r="Z47" i="21" s="1"/>
  <c r="AB47" i="21" s="1"/>
  <c r="AD47" i="21" s="1"/>
  <c r="AF47" i="21" s="1"/>
  <c r="AH47" i="21" s="1"/>
  <c r="AJ47" i="21" s="1"/>
  <c r="W47" i="21"/>
  <c r="X47" i="26"/>
  <c r="Z47" i="26" s="1"/>
  <c r="AB47" i="26" s="1"/>
  <c r="AD47" i="26" s="1"/>
  <c r="AF47" i="26" s="1"/>
  <c r="AH47" i="26" s="1"/>
  <c r="AJ47" i="26" s="1"/>
  <c r="W47" i="26"/>
  <c r="G47" i="26" s="1"/>
  <c r="X44" i="1"/>
  <c r="Z44" i="1" s="1"/>
  <c r="AB44" i="1" s="1"/>
  <c r="AD44" i="1" s="1"/>
  <c r="AF44" i="1" s="1"/>
  <c r="AH44" i="1" s="1"/>
  <c r="AJ44" i="1" s="1"/>
  <c r="W44" i="1"/>
  <c r="AD33" i="1"/>
  <c r="AC33" i="1"/>
  <c r="X44" i="9"/>
  <c r="Z44" i="9" s="1"/>
  <c r="AB44" i="9" s="1"/>
  <c r="AD44" i="9" s="1"/>
  <c r="AF44" i="9" s="1"/>
  <c r="AH44" i="9" s="1"/>
  <c r="AJ44" i="9" s="1"/>
  <c r="W44" i="9"/>
  <c r="X46" i="26"/>
  <c r="Z46" i="26" s="1"/>
  <c r="AB46" i="26" s="1"/>
  <c r="AD46" i="26" s="1"/>
  <c r="AF46" i="26" s="1"/>
  <c r="AH46" i="26" s="1"/>
  <c r="AJ46" i="26" s="1"/>
  <c r="W46" i="26"/>
  <c r="G46" i="26" s="1"/>
  <c r="Z52" i="21"/>
  <c r="AB52" i="21" s="1"/>
  <c r="AD52" i="21" s="1"/>
  <c r="AF52" i="21" s="1"/>
  <c r="AH52" i="21" s="1"/>
  <c r="AJ52" i="21" s="1"/>
  <c r="Y52" i="21"/>
  <c r="G52" i="21" s="1"/>
  <c r="G47" i="21"/>
  <c r="AI312" i="16"/>
  <c r="AI304" i="16"/>
  <c r="AI296" i="16"/>
  <c r="AI288" i="16"/>
  <c r="AI280" i="16"/>
  <c r="AI272" i="16"/>
  <c r="AI264" i="16"/>
  <c r="AI256" i="16"/>
  <c r="AI317" i="16"/>
  <c r="AI309" i="16"/>
  <c r="AI301" i="16"/>
  <c r="AI293" i="16"/>
  <c r="AI285" i="16"/>
  <c r="AI277" i="16"/>
  <c r="AI269" i="16"/>
  <c r="AI261" i="16"/>
  <c r="AI253" i="16"/>
  <c r="AI311" i="16"/>
  <c r="AI303" i="16"/>
  <c r="AI295" i="16"/>
  <c r="AI287" i="16"/>
  <c r="AI279" i="16"/>
  <c r="AI271" i="16"/>
  <c r="AI263" i="16"/>
  <c r="AI255" i="16"/>
  <c r="AI316" i="16"/>
  <c r="AI308" i="16"/>
  <c r="AI300" i="16"/>
  <c r="AI292" i="16"/>
  <c r="AI284" i="16"/>
  <c r="AI276" i="16"/>
  <c r="AI268" i="16"/>
  <c r="AI260" i="16"/>
  <c r="AI310" i="16"/>
  <c r="AI302" i="16"/>
  <c r="AI294" i="16"/>
  <c r="AI286" i="16"/>
  <c r="AI278" i="16"/>
  <c r="AI270" i="16"/>
  <c r="AI262" i="16"/>
  <c r="AI254" i="16"/>
  <c r="AI315" i="16"/>
  <c r="AI305" i="16"/>
  <c r="AI313" i="16"/>
  <c r="AI291" i="16"/>
  <c r="AI299" i="16"/>
  <c r="AI289" i="16"/>
  <c r="AI267" i="16"/>
  <c r="AI257" i="16"/>
  <c r="AI251" i="16"/>
  <c r="AI246" i="16"/>
  <c r="AI238" i="16"/>
  <c r="AI230" i="16"/>
  <c r="AI222" i="16"/>
  <c r="AI314" i="16"/>
  <c r="AI282" i="16"/>
  <c r="AI243" i="16"/>
  <c r="AI235" i="16"/>
  <c r="AI227" i="16"/>
  <c r="AI307" i="16"/>
  <c r="AI297" i="16"/>
  <c r="AI275" i="16"/>
  <c r="AI265" i="16"/>
  <c r="AI252" i="16"/>
  <c r="AI248" i="16"/>
  <c r="AI240" i="16"/>
  <c r="AI232" i="16"/>
  <c r="AI224" i="16"/>
  <c r="AI216" i="16"/>
  <c r="AI266" i="16"/>
  <c r="AI259" i="16"/>
  <c r="AI215" i="16"/>
  <c r="AI298" i="16"/>
  <c r="AI220" i="16"/>
  <c r="AI219" i="16"/>
  <c r="AI214" i="16"/>
  <c r="AI206" i="16"/>
  <c r="AI198" i="16"/>
  <c r="AI190" i="16"/>
  <c r="AI281" i="16"/>
  <c r="AI290" i="16"/>
  <c r="AI247" i="16"/>
  <c r="AI237" i="16"/>
  <c r="AI236" i="16"/>
  <c r="AI226" i="16"/>
  <c r="AI225" i="16"/>
  <c r="AI217" i="16"/>
  <c r="AI212" i="16"/>
  <c r="AI203" i="16"/>
  <c r="AI195" i="16"/>
  <c r="AI283" i="16"/>
  <c r="AI274" i="16"/>
  <c r="AI249" i="16"/>
  <c r="AI239" i="16"/>
  <c r="AI208" i="16"/>
  <c r="AI200" i="16"/>
  <c r="AI192" i="16"/>
  <c r="AI221" i="16"/>
  <c r="AI202" i="16"/>
  <c r="AI201" i="16"/>
  <c r="AI191" i="16"/>
  <c r="AI242" i="16"/>
  <c r="AI234" i="16"/>
  <c r="AI231" i="16"/>
  <c r="AI213" i="16"/>
  <c r="AI211" i="16"/>
  <c r="AI258" i="16"/>
  <c r="AI223" i="16"/>
  <c r="AI205" i="16"/>
  <c r="AI204" i="16"/>
  <c r="AI194" i="16"/>
  <c r="AI193" i="16"/>
  <c r="AI306" i="16"/>
  <c r="AI273" i="16"/>
  <c r="AI245" i="16"/>
  <c r="AI228" i="16"/>
  <c r="AI218" i="16"/>
  <c r="AI241" i="16"/>
  <c r="AI233" i="16"/>
  <c r="AI207" i="16"/>
  <c r="AI197" i="16"/>
  <c r="AI196" i="16"/>
  <c r="AI244" i="16"/>
  <c r="AI199" i="16"/>
  <c r="AI250" i="16"/>
  <c r="AI229" i="16"/>
  <c r="AI209" i="16"/>
  <c r="AI210" i="16"/>
  <c r="K279" i="16"/>
  <c r="F279" i="16"/>
  <c r="H280" i="16"/>
  <c r="N278" i="16"/>
  <c r="M278" i="16"/>
  <c r="P277" i="16"/>
  <c r="O277" i="16"/>
  <c r="R276" i="16"/>
  <c r="T276" i="16" s="1"/>
  <c r="V276" i="16" s="1"/>
  <c r="X276" i="16" s="1"/>
  <c r="Z276" i="16" s="1"/>
  <c r="AB276" i="16" s="1"/>
  <c r="AD276" i="16" s="1"/>
  <c r="AF276" i="16" s="1"/>
  <c r="AH276" i="16" s="1"/>
  <c r="AJ276" i="16" s="1"/>
  <c r="Q276" i="16"/>
  <c r="AB69" i="26"/>
  <c r="AA69" i="26"/>
  <c r="T33" i="26"/>
  <c r="S33" i="26"/>
  <c r="Z66" i="26"/>
  <c r="Y66" i="26"/>
  <c r="X34" i="26"/>
  <c r="W34" i="26"/>
  <c r="X68" i="26"/>
  <c r="W68" i="26"/>
  <c r="X61" i="27"/>
  <c r="W61" i="27"/>
  <c r="AA107" i="26"/>
  <c r="AB107" i="26"/>
  <c r="AE67" i="9"/>
  <c r="AE104" i="9"/>
  <c r="AE85" i="9"/>
  <c r="AE112" i="9"/>
  <c r="X63" i="26"/>
  <c r="W63" i="26"/>
  <c r="Z103" i="26"/>
  <c r="Y103" i="26"/>
  <c r="V70" i="24"/>
  <c r="U70" i="24"/>
  <c r="X35" i="26"/>
  <c r="W35" i="26"/>
  <c r="X40" i="26"/>
  <c r="W40" i="26"/>
  <c r="Z58" i="27"/>
  <c r="Y58" i="27"/>
  <c r="AE84" i="7"/>
  <c r="AI43" i="8"/>
  <c r="AI84" i="8"/>
  <c r="Z57" i="27"/>
  <c r="AB57" i="27" s="1"/>
  <c r="AD57" i="27" s="1"/>
  <c r="AF57" i="27" s="1"/>
  <c r="AH57" i="27" s="1"/>
  <c r="Y57" i="27"/>
  <c r="G57" i="27" s="1"/>
  <c r="Z67" i="26"/>
  <c r="Y67" i="26"/>
  <c r="X90" i="26"/>
  <c r="W90" i="26"/>
  <c r="Z60" i="27"/>
  <c r="Y60" i="27"/>
  <c r="T53" i="26"/>
  <c r="S53" i="26"/>
  <c r="S128" i="9"/>
  <c r="X61" i="26"/>
  <c r="W61" i="26"/>
  <c r="AD106" i="26"/>
  <c r="AC106" i="26"/>
  <c r="X65" i="26"/>
  <c r="W65" i="26"/>
  <c r="Z70" i="26"/>
  <c r="Y70" i="26"/>
  <c r="X64" i="26"/>
  <c r="W64" i="26"/>
  <c r="T52" i="26"/>
  <c r="S52" i="26"/>
  <c r="Z67" i="9"/>
  <c r="Y67" i="9"/>
  <c r="X115" i="9"/>
  <c r="W115" i="9"/>
  <c r="Y113" i="9"/>
  <c r="Z113" i="9"/>
  <c r="W114" i="9"/>
  <c r="X114" i="9"/>
  <c r="Q59" i="26"/>
  <c r="R59" i="26"/>
  <c r="T41" i="26"/>
  <c r="S41" i="26"/>
  <c r="X104" i="9"/>
  <c r="W104" i="9"/>
  <c r="U41" i="24"/>
  <c r="V41" i="24"/>
  <c r="Z85" i="7"/>
  <c r="Y85" i="7"/>
  <c r="Z85" i="1"/>
  <c r="Y85" i="1"/>
  <c r="AG93" i="1"/>
  <c r="AG84" i="1"/>
  <c r="Z85" i="8"/>
  <c r="Y85" i="8"/>
  <c r="Z86" i="9"/>
  <c r="Y86" i="9"/>
  <c r="Z43" i="1"/>
  <c r="Y43" i="1"/>
  <c r="X43" i="9"/>
  <c r="W43" i="9"/>
  <c r="V43" i="7"/>
  <c r="U43" i="7"/>
  <c r="V41" i="21"/>
  <c r="U41" i="21"/>
  <c r="AE100" i="9"/>
  <c r="AE101" i="9"/>
  <c r="AA96" i="21"/>
  <c r="AB96" i="21"/>
  <c r="Z65" i="21"/>
  <c r="Y65" i="21"/>
  <c r="AO120" i="17"/>
  <c r="AO130" i="17"/>
  <c r="AO131" i="17"/>
  <c r="AO3" i="17"/>
  <c r="AO35" i="17"/>
  <c r="AO63" i="17"/>
  <c r="AO57" i="17"/>
  <c r="AO54" i="17"/>
  <c r="AO66" i="17"/>
  <c r="AO65" i="17"/>
  <c r="AO64" i="17"/>
  <c r="AO53" i="17"/>
  <c r="AO62" i="17"/>
  <c r="AO61" i="17"/>
  <c r="AO60" i="17"/>
  <c r="AO59" i="17"/>
  <c r="AO58" i="17"/>
  <c r="AO56" i="17"/>
  <c r="AO55" i="17"/>
  <c r="AO42" i="17"/>
  <c r="AO48" i="17"/>
  <c r="AO43" i="17"/>
  <c r="AO41" i="17"/>
  <c r="AO49" i="17"/>
  <c r="AO52" i="17"/>
  <c r="AO51" i="17"/>
  <c r="AO50" i="17"/>
  <c r="AO46" i="17"/>
  <c r="AO45" i="17"/>
  <c r="AO44" i="17"/>
  <c r="AO47" i="17"/>
  <c r="AO40" i="17"/>
  <c r="AO39" i="17"/>
  <c r="AO37" i="17"/>
  <c r="AO129" i="17"/>
  <c r="AO128" i="17"/>
  <c r="AO79" i="17"/>
  <c r="AO77" i="17"/>
  <c r="AO124" i="17"/>
  <c r="AO123" i="17"/>
  <c r="AO122" i="17"/>
  <c r="AO119" i="17"/>
  <c r="X37" i="18"/>
  <c r="W37" i="18"/>
  <c r="Z66" i="21"/>
  <c r="Y66" i="21"/>
  <c r="Z68" i="21"/>
  <c r="Y68" i="21"/>
  <c r="G16" i="23"/>
  <c r="G10" i="23"/>
  <c r="G14" i="23"/>
  <c r="G11" i="23"/>
  <c r="G7" i="23"/>
  <c r="G8" i="23"/>
  <c r="G9" i="23"/>
  <c r="G15" i="23"/>
  <c r="G12" i="23"/>
  <c r="G13" i="23"/>
  <c r="P101" i="9"/>
  <c r="O101" i="9"/>
  <c r="AB95" i="21"/>
  <c r="AA95" i="21"/>
  <c r="W69" i="21"/>
  <c r="X69" i="21"/>
  <c r="AI185" i="16"/>
  <c r="AI181" i="16"/>
  <c r="AI177" i="16"/>
  <c r="AI173" i="16"/>
  <c r="AI169" i="16"/>
  <c r="AI165" i="16"/>
  <c r="AI161" i="16"/>
  <c r="AI157" i="16"/>
  <c r="AI186" i="16"/>
  <c r="AI179" i="16"/>
  <c r="AI178" i="16"/>
  <c r="AI171" i="16"/>
  <c r="AI170" i="16"/>
  <c r="AI163" i="16"/>
  <c r="AI162" i="16"/>
  <c r="AI155" i="16"/>
  <c r="AI151" i="16"/>
  <c r="AI183" i="16"/>
  <c r="AI182" i="16"/>
  <c r="AI175" i="16"/>
  <c r="AI174" i="16"/>
  <c r="AI167" i="16"/>
  <c r="AI166" i="16"/>
  <c r="AI159" i="16"/>
  <c r="AI158" i="16"/>
  <c r="AI153" i="16"/>
  <c r="AI149" i="16"/>
  <c r="AI180" i="16"/>
  <c r="AI172" i="16"/>
  <c r="AI164" i="16"/>
  <c r="AI156" i="16"/>
  <c r="AI150" i="16"/>
  <c r="AI148" i="16"/>
  <c r="AI152" i="16"/>
  <c r="AI184" i="16"/>
  <c r="AI176" i="16"/>
  <c r="AI168" i="16"/>
  <c r="AI160" i="16"/>
  <c r="AI154" i="16"/>
  <c r="Z63" i="21"/>
  <c r="Y63" i="21"/>
  <c r="Z93" i="1"/>
  <c r="Y93" i="1"/>
  <c r="X58" i="21"/>
  <c r="W58" i="21"/>
  <c r="Z38" i="21"/>
  <c r="Y38" i="21"/>
  <c r="V127" i="9"/>
  <c r="X127" i="9" s="1"/>
  <c r="R100" i="9"/>
  <c r="Q100" i="9"/>
  <c r="P99" i="9"/>
  <c r="O99" i="9"/>
  <c r="P98" i="9"/>
  <c r="O98" i="9"/>
  <c r="X49" i="21"/>
  <c r="W49" i="21"/>
  <c r="Y130" i="17"/>
  <c r="Z130" i="17"/>
  <c r="X131" i="17"/>
  <c r="W131" i="17"/>
  <c r="AB35" i="17"/>
  <c r="AA35" i="17"/>
  <c r="Z3" i="17"/>
  <c r="Y3" i="17"/>
  <c r="V59" i="17"/>
  <c r="U59" i="17"/>
  <c r="R57" i="17"/>
  <c r="Q57" i="17"/>
  <c r="S58" i="17"/>
  <c r="T58" i="17"/>
  <c r="L63" i="17"/>
  <c r="O62" i="17"/>
  <c r="G63" i="17"/>
  <c r="E64" i="17"/>
  <c r="R61" i="17"/>
  <c r="Q61" i="17"/>
  <c r="S60" i="17"/>
  <c r="T60" i="17"/>
  <c r="G55" i="17"/>
  <c r="E54" i="17"/>
  <c r="O56" i="17"/>
  <c r="L55" i="17"/>
  <c r="AE94" i="9"/>
  <c r="AE60" i="9"/>
  <c r="AE61" i="9"/>
  <c r="AE63" i="9"/>
  <c r="AE93" i="9"/>
  <c r="AE46" i="9"/>
  <c r="AE45" i="9"/>
  <c r="AE88" i="9"/>
  <c r="Z94" i="9"/>
  <c r="Y94" i="9"/>
  <c r="Z93" i="8"/>
  <c r="Y93" i="8"/>
  <c r="AI93" i="8"/>
  <c r="AI61" i="8"/>
  <c r="AI60" i="8"/>
  <c r="AI92" i="8"/>
  <c r="AI59" i="8"/>
  <c r="AI58" i="8"/>
  <c r="AI46" i="8"/>
  <c r="AI45" i="8"/>
  <c r="AI87" i="8"/>
  <c r="AE93" i="7"/>
  <c r="AE61" i="7"/>
  <c r="AE60" i="7"/>
  <c r="AE92" i="7"/>
  <c r="AE46" i="7"/>
  <c r="AE87" i="7"/>
  <c r="Z93" i="7"/>
  <c r="Y93" i="7"/>
  <c r="V42" i="7"/>
  <c r="U42" i="7"/>
  <c r="V39" i="7"/>
  <c r="U39" i="7"/>
  <c r="V54" i="7"/>
  <c r="U54" i="7"/>
  <c r="S50" i="7"/>
  <c r="T50" i="7"/>
  <c r="Z70" i="1"/>
  <c r="Y70" i="1"/>
  <c r="W38" i="7"/>
  <c r="Z92" i="1"/>
  <c r="Y92" i="1"/>
  <c r="AG60" i="1"/>
  <c r="AG61" i="1"/>
  <c r="AG92" i="1"/>
  <c r="Z60" i="1"/>
  <c r="AB60" i="1" s="1"/>
  <c r="AD60" i="1" s="1"/>
  <c r="AF60" i="1" s="1"/>
  <c r="AH60" i="1" s="1"/>
  <c r="AJ60" i="1" s="1"/>
  <c r="Y60" i="1"/>
  <c r="Q120" i="9"/>
  <c r="V60" i="9"/>
  <c r="U60" i="9"/>
  <c r="Z61" i="9"/>
  <c r="AB61" i="9" s="1"/>
  <c r="AD61" i="9" s="1"/>
  <c r="AF61" i="9" s="1"/>
  <c r="AH61" i="9" s="1"/>
  <c r="AJ61" i="9" s="1"/>
  <c r="Y61" i="9"/>
  <c r="V62" i="9"/>
  <c r="U62" i="9"/>
  <c r="Z63" i="9"/>
  <c r="Y63" i="9"/>
  <c r="Z61" i="7"/>
  <c r="AB61" i="7" s="1"/>
  <c r="AD61" i="7" s="1"/>
  <c r="AF61" i="7" s="1"/>
  <c r="AH61" i="7" s="1"/>
  <c r="AJ61" i="7" s="1"/>
  <c r="Y61" i="7"/>
  <c r="U38" i="7"/>
  <c r="V60" i="7"/>
  <c r="U60" i="7"/>
  <c r="T92" i="7"/>
  <c r="S92" i="7"/>
  <c r="R44" i="17"/>
  <c r="Q44" i="17"/>
  <c r="L48" i="17"/>
  <c r="O47" i="17"/>
  <c r="E41" i="17"/>
  <c r="G42" i="17"/>
  <c r="E49" i="17"/>
  <c r="G48" i="17"/>
  <c r="S45" i="17"/>
  <c r="T45" i="17"/>
  <c r="O43" i="17"/>
  <c r="L42" i="17"/>
  <c r="R46" i="17"/>
  <c r="Q46" i="17"/>
  <c r="V93" i="9"/>
  <c r="U93" i="9"/>
  <c r="T50" i="9"/>
  <c r="S50" i="9"/>
  <c r="V137" i="9"/>
  <c r="X137" i="9" s="1"/>
  <c r="Z60" i="18"/>
  <c r="Y60" i="18"/>
  <c r="AG87" i="1"/>
  <c r="AG97" i="1"/>
  <c r="AG96" i="1"/>
  <c r="AG98" i="1"/>
  <c r="Z57" i="18"/>
  <c r="AB57" i="18" s="1"/>
  <c r="AD57" i="18" s="1"/>
  <c r="AF57" i="18" s="1"/>
  <c r="AH57" i="18" s="1"/>
  <c r="Y57" i="18"/>
  <c r="G57" i="18" s="1"/>
  <c r="Z58" i="18"/>
  <c r="Y58" i="18"/>
  <c r="Z55" i="18"/>
  <c r="AB55" i="18" s="1"/>
  <c r="AD55" i="18" s="1"/>
  <c r="AF55" i="18" s="1"/>
  <c r="AH55" i="18" s="1"/>
  <c r="Y55" i="18"/>
  <c r="G55" i="18" s="1"/>
  <c r="Z59" i="1"/>
  <c r="Y59" i="1"/>
  <c r="Z58" i="1"/>
  <c r="Y58" i="1"/>
  <c r="V136" i="9"/>
  <c r="W136" i="9" s="1"/>
  <c r="V122" i="9"/>
  <c r="W122" i="9" s="1"/>
  <c r="S129" i="9"/>
  <c r="W36" i="7"/>
  <c r="Q129" i="9"/>
  <c r="V58" i="9"/>
  <c r="U58" i="9"/>
  <c r="X59" i="9"/>
  <c r="W59" i="9"/>
  <c r="V59" i="8"/>
  <c r="U59" i="8"/>
  <c r="X59" i="7"/>
  <c r="W59" i="7"/>
  <c r="V58" i="7"/>
  <c r="U58" i="7"/>
  <c r="Q131" i="9"/>
  <c r="R131" i="9"/>
  <c r="G37" i="17"/>
  <c r="V130" i="9"/>
  <c r="X130" i="9" s="1"/>
  <c r="Z61" i="18"/>
  <c r="Y61" i="18"/>
  <c r="U128" i="9"/>
  <c r="R126" i="9"/>
  <c r="Q126" i="9"/>
  <c r="U36" i="7"/>
  <c r="Q162" i="16"/>
  <c r="R162" i="16"/>
  <c r="T162" i="16" s="1"/>
  <c r="V162" i="16" s="1"/>
  <c r="X162" i="16" s="1"/>
  <c r="Z162" i="16" s="1"/>
  <c r="AB162" i="16" s="1"/>
  <c r="AD162" i="16" s="1"/>
  <c r="AF162" i="16" s="1"/>
  <c r="AH162" i="16" s="1"/>
  <c r="AJ162" i="16" s="1"/>
  <c r="H166" i="16"/>
  <c r="K165" i="16"/>
  <c r="O163" i="16"/>
  <c r="P163" i="16"/>
  <c r="N164" i="16"/>
  <c r="M164" i="16"/>
  <c r="AI145" i="16"/>
  <c r="AI141" i="16"/>
  <c r="AI137" i="16"/>
  <c r="AI147" i="16"/>
  <c r="AI143" i="16"/>
  <c r="AI139" i="16"/>
  <c r="AI144" i="16"/>
  <c r="AI140" i="16"/>
  <c r="AI136" i="16"/>
  <c r="AI146" i="16"/>
  <c r="AI138" i="16"/>
  <c r="AI142" i="16"/>
  <c r="AI187" i="16"/>
  <c r="AI135" i="16"/>
  <c r="V45" i="9"/>
  <c r="U45" i="9"/>
  <c r="Y129" i="17"/>
  <c r="Z129" i="17"/>
  <c r="W128" i="17"/>
  <c r="X128" i="17"/>
  <c r="AE45" i="7"/>
  <c r="AE86" i="7"/>
  <c r="AG46" i="1"/>
  <c r="AG45" i="1"/>
  <c r="V45" i="7"/>
  <c r="U45" i="7"/>
  <c r="U37" i="9"/>
  <c r="AE91" i="9"/>
  <c r="AE83" i="9"/>
  <c r="AE79" i="9"/>
  <c r="AE75" i="9"/>
  <c r="AE65" i="9"/>
  <c r="AE51" i="9"/>
  <c r="AE41" i="9"/>
  <c r="AE52" i="9"/>
  <c r="AE47" i="9"/>
  <c r="AE66" i="9"/>
  <c r="AE82" i="9"/>
  <c r="AE78" i="9"/>
  <c r="AE74" i="9"/>
  <c r="AE50" i="9"/>
  <c r="AE56" i="9"/>
  <c r="AG31" i="9"/>
  <c r="AE84" i="9"/>
  <c r="AE80" i="9"/>
  <c r="AE76" i="9"/>
  <c r="AE54" i="9"/>
  <c r="AE48" i="9"/>
  <c r="AE57" i="9"/>
  <c r="AE81" i="9"/>
  <c r="AE77" i="9"/>
  <c r="AE73" i="9"/>
  <c r="AE55" i="9"/>
  <c r="AE44" i="9"/>
  <c r="AE53" i="9"/>
  <c r="AE68" i="9"/>
  <c r="AE87" i="9"/>
  <c r="T132" i="9"/>
  <c r="S132" i="9"/>
  <c r="AI88" i="8"/>
  <c r="AI86" i="8"/>
  <c r="V129" i="9"/>
  <c r="U129" i="9"/>
  <c r="V139" i="9"/>
  <c r="U139" i="9"/>
  <c r="X135" i="9"/>
  <c r="W135" i="9"/>
  <c r="V119" i="9"/>
  <c r="U119" i="9"/>
  <c r="U29" i="17"/>
  <c r="V29" i="17"/>
  <c r="U121" i="17"/>
  <c r="V121" i="17"/>
  <c r="L85" i="17"/>
  <c r="O86" i="17"/>
  <c r="G25" i="17"/>
  <c r="E24" i="17"/>
  <c r="G24" i="17" s="1"/>
  <c r="T122" i="17"/>
  <c r="S122" i="17"/>
  <c r="Q71" i="17"/>
  <c r="R71" i="17"/>
  <c r="L91" i="17"/>
  <c r="O90" i="17"/>
  <c r="T32" i="17"/>
  <c r="S32" i="17"/>
  <c r="L77" i="17"/>
  <c r="U108" i="17"/>
  <c r="V108" i="17"/>
  <c r="Q123" i="17"/>
  <c r="R123" i="17"/>
  <c r="E116" i="17"/>
  <c r="G115" i="17"/>
  <c r="Q89" i="17"/>
  <c r="R89" i="17"/>
  <c r="S28" i="17"/>
  <c r="T28" i="17"/>
  <c r="E80" i="17"/>
  <c r="G78" i="17"/>
  <c r="X30" i="17"/>
  <c r="W30" i="17"/>
  <c r="O26" i="17"/>
  <c r="L25" i="17"/>
  <c r="T74" i="17"/>
  <c r="S74" i="17"/>
  <c r="T120" i="9"/>
  <c r="S120" i="9"/>
  <c r="S112" i="17"/>
  <c r="T112" i="17"/>
  <c r="U133" i="17"/>
  <c r="V133" i="17"/>
  <c r="T72" i="17"/>
  <c r="S72" i="17"/>
  <c r="L78" i="17"/>
  <c r="O76" i="17"/>
  <c r="S88" i="17"/>
  <c r="T88" i="17"/>
  <c r="Z127" i="17"/>
  <c r="Y127" i="17"/>
  <c r="Q114" i="17"/>
  <c r="R114" i="17"/>
  <c r="O117" i="17"/>
  <c r="L118" i="17"/>
  <c r="O118" i="17" s="1"/>
  <c r="U31" i="17"/>
  <c r="V31" i="17"/>
  <c r="Q33" i="17"/>
  <c r="R33" i="17"/>
  <c r="S133" i="9"/>
  <c r="T133" i="9"/>
  <c r="Q124" i="17"/>
  <c r="R124" i="17"/>
  <c r="G85" i="17"/>
  <c r="E84" i="17"/>
  <c r="U119" i="17"/>
  <c r="V119" i="17"/>
  <c r="E92" i="17"/>
  <c r="G91" i="17"/>
  <c r="T125" i="17"/>
  <c r="S125" i="17"/>
  <c r="O34" i="17"/>
  <c r="L36" i="17"/>
  <c r="L37" i="17" s="1"/>
  <c r="L38" i="17" s="1"/>
  <c r="V109" i="17"/>
  <c r="U109" i="17"/>
  <c r="V111" i="17"/>
  <c r="U111" i="17"/>
  <c r="V73" i="17"/>
  <c r="U73" i="17"/>
  <c r="S134" i="17"/>
  <c r="T134" i="17"/>
  <c r="S121" i="9"/>
  <c r="T121" i="9"/>
  <c r="X110" i="17"/>
  <c r="W110" i="17"/>
  <c r="L69" i="17"/>
  <c r="O70" i="17"/>
  <c r="Q113" i="17"/>
  <c r="R113" i="17"/>
  <c r="Q116" i="17"/>
  <c r="R116" i="17"/>
  <c r="R87" i="17"/>
  <c r="Q87" i="17"/>
  <c r="Z126" i="17"/>
  <c r="Y126" i="17"/>
  <c r="R27" i="17"/>
  <c r="Q27" i="17"/>
  <c r="G69" i="17"/>
  <c r="E68" i="17"/>
  <c r="G123" i="17"/>
  <c r="E124" i="17"/>
  <c r="G124" i="17" s="1"/>
  <c r="T132" i="17"/>
  <c r="S132" i="17"/>
  <c r="Q75" i="17"/>
  <c r="R75" i="17"/>
  <c r="S115" i="17"/>
  <c r="T115" i="17"/>
  <c r="G38" i="17"/>
  <c r="G36" i="17"/>
  <c r="G120" i="17"/>
  <c r="E119" i="17"/>
  <c r="G119" i="17" s="1"/>
  <c r="Q120" i="17"/>
  <c r="R120" i="17"/>
  <c r="AO121" i="17"/>
  <c r="AO110" i="17"/>
  <c r="AO115" i="17"/>
  <c r="AO111" i="17"/>
  <c r="AO118" i="17"/>
  <c r="AO113" i="17"/>
  <c r="AO109" i="17"/>
  <c r="AO108" i="17"/>
  <c r="AO107" i="17"/>
  <c r="AO103" i="17"/>
  <c r="AO101" i="17"/>
  <c r="AO100" i="17"/>
  <c r="AO116" i="17"/>
  <c r="AO104" i="17"/>
  <c r="AO99" i="17"/>
  <c r="AO96" i="17"/>
  <c r="AO95" i="17"/>
  <c r="AO117" i="17"/>
  <c r="AO105" i="17"/>
  <c r="AO98" i="17"/>
  <c r="AO97" i="17"/>
  <c r="AO106" i="17"/>
  <c r="AO102" i="17"/>
  <c r="AO114" i="17"/>
  <c r="AO112" i="17"/>
  <c r="AO83" i="17"/>
  <c r="AO91" i="17"/>
  <c r="AO90" i="17"/>
  <c r="AO88" i="17"/>
  <c r="AO87" i="17"/>
  <c r="AO84" i="17"/>
  <c r="AO92" i="17"/>
  <c r="AO89" i="17"/>
  <c r="AO86" i="17"/>
  <c r="AO85" i="17"/>
  <c r="AO94" i="17"/>
  <c r="AO93" i="17"/>
  <c r="AO82" i="17"/>
  <c r="AO76" i="17"/>
  <c r="AO75" i="17"/>
  <c r="AO74" i="17"/>
  <c r="AO71" i="17"/>
  <c r="AO68" i="17"/>
  <c r="AO67" i="17"/>
  <c r="AO81" i="17"/>
  <c r="AO73" i="17"/>
  <c r="AO72" i="17"/>
  <c r="AO78" i="17"/>
  <c r="AO69" i="17"/>
  <c r="AO80" i="17"/>
  <c r="AO70" i="17"/>
  <c r="AO28" i="17"/>
  <c r="AO27" i="17"/>
  <c r="AO26" i="17"/>
  <c r="AO25" i="17"/>
  <c r="AO24" i="17"/>
  <c r="AO29" i="17"/>
  <c r="AO36" i="17"/>
  <c r="AO32" i="17"/>
  <c r="AO38" i="17"/>
  <c r="AO33" i="17"/>
  <c r="AO34" i="17"/>
  <c r="AO31" i="17"/>
  <c r="AO30" i="17"/>
  <c r="AO134" i="17"/>
  <c r="AO133" i="17"/>
  <c r="AO127" i="17"/>
  <c r="AO126" i="17"/>
  <c r="AO132" i="17"/>
  <c r="AO125" i="17"/>
  <c r="N51" i="16"/>
  <c r="M51" i="16"/>
  <c r="AC29" i="16"/>
  <c r="AD29" i="16"/>
  <c r="N55" i="16"/>
  <c r="M55" i="16"/>
  <c r="P50" i="16"/>
  <c r="O50" i="16"/>
  <c r="AB34" i="16"/>
  <c r="AA34" i="16"/>
  <c r="V43" i="16"/>
  <c r="U43" i="16"/>
  <c r="AC31" i="16"/>
  <c r="AD31" i="16"/>
  <c r="S42" i="16"/>
  <c r="T42" i="16"/>
  <c r="V39" i="16"/>
  <c r="U39" i="16"/>
  <c r="Q45" i="16"/>
  <c r="R45" i="16"/>
  <c r="K54" i="16"/>
  <c r="K58" i="16"/>
  <c r="T44" i="16"/>
  <c r="S44" i="16"/>
  <c r="Y35" i="16"/>
  <c r="Z35" i="16"/>
  <c r="Y37" i="16"/>
  <c r="Z37" i="16"/>
  <c r="N53" i="16"/>
  <c r="M53" i="16"/>
  <c r="AB30" i="16"/>
  <c r="AA30" i="16"/>
  <c r="W38" i="16"/>
  <c r="X38" i="16"/>
  <c r="R49" i="16"/>
  <c r="Q49" i="16"/>
  <c r="AD27" i="16"/>
  <c r="AC27" i="16"/>
  <c r="X40" i="16"/>
  <c r="W40" i="16"/>
  <c r="K56" i="16"/>
  <c r="U41" i="16"/>
  <c r="V41" i="16"/>
  <c r="T46" i="16"/>
  <c r="S46" i="16"/>
  <c r="X36" i="16"/>
  <c r="W36" i="16"/>
  <c r="Z33" i="16"/>
  <c r="Y33" i="16"/>
  <c r="P48" i="16"/>
  <c r="O48" i="16"/>
  <c r="P52" i="16"/>
  <c r="O52" i="16"/>
  <c r="R47" i="16"/>
  <c r="Q47" i="16"/>
  <c r="AB32" i="16"/>
  <c r="AA32" i="16"/>
  <c r="AI123" i="16"/>
  <c r="AI122" i="16"/>
  <c r="AI121" i="16"/>
  <c r="AI120" i="16"/>
  <c r="AI112" i="16"/>
  <c r="AI108" i="16"/>
  <c r="AI106" i="16"/>
  <c r="AI102" i="16"/>
  <c r="AI99" i="16"/>
  <c r="AI92" i="16"/>
  <c r="AI90" i="16"/>
  <c r="AI87" i="16"/>
  <c r="AI85" i="16"/>
  <c r="AI83" i="16"/>
  <c r="AI81" i="16"/>
  <c r="AI79" i="16"/>
  <c r="AI76" i="16"/>
  <c r="AI127" i="16"/>
  <c r="AI126" i="16"/>
  <c r="AI115" i="16"/>
  <c r="AI114" i="16"/>
  <c r="AI113" i="16"/>
  <c r="AI110" i="16"/>
  <c r="AI104" i="16"/>
  <c r="AI101" i="16"/>
  <c r="AI97" i="16"/>
  <c r="AI95" i="16"/>
  <c r="AI86" i="16"/>
  <c r="AI84" i="16"/>
  <c r="AI82" i="16"/>
  <c r="AI80" i="16"/>
  <c r="AI78" i="16"/>
  <c r="AI74" i="16"/>
  <c r="AI71" i="16"/>
  <c r="AI69" i="16"/>
  <c r="AI132" i="16"/>
  <c r="AI131" i="16"/>
  <c r="AI130" i="16"/>
  <c r="AI129" i="16"/>
  <c r="AI124" i="16"/>
  <c r="AI119" i="16"/>
  <c r="AI109" i="16"/>
  <c r="AI94" i="16"/>
  <c r="AI93" i="16"/>
  <c r="AI75" i="16"/>
  <c r="AI66" i="16"/>
  <c r="AI64" i="16"/>
  <c r="AI63" i="16"/>
  <c r="AI60" i="16"/>
  <c r="AI57" i="16"/>
  <c r="AI54" i="16"/>
  <c r="AI47" i="16"/>
  <c r="AI39" i="16"/>
  <c r="AI35" i="16"/>
  <c r="AI32" i="16"/>
  <c r="AI29" i="16"/>
  <c r="AI25" i="16"/>
  <c r="AI21" i="16"/>
  <c r="AI128" i="16"/>
  <c r="AI118" i="16"/>
  <c r="AI117" i="16"/>
  <c r="AI100" i="16"/>
  <c r="AI91" i="16"/>
  <c r="AI89" i="16"/>
  <c r="AI68" i="16"/>
  <c r="AI65" i="16"/>
  <c r="AI62" i="16"/>
  <c r="AI55" i="16"/>
  <c r="AI52" i="16"/>
  <c r="AI49" i="16"/>
  <c r="AI46" i="16"/>
  <c r="AI44" i="16"/>
  <c r="AI41" i="16"/>
  <c r="AI37" i="16"/>
  <c r="AI33" i="16"/>
  <c r="AI31" i="16"/>
  <c r="AI27" i="16"/>
  <c r="AI23" i="16"/>
  <c r="AI19" i="16"/>
  <c r="AI125" i="16"/>
  <c r="AI116" i="16"/>
  <c r="AI111" i="16"/>
  <c r="AI88" i="16"/>
  <c r="AI77" i="16"/>
  <c r="AI73" i="16"/>
  <c r="AI72" i="16"/>
  <c r="AI70" i="16"/>
  <c r="AI67" i="16"/>
  <c r="AI61" i="16"/>
  <c r="AI58" i="16"/>
  <c r="AI51" i="16"/>
  <c r="AI48" i="16"/>
  <c r="AI43" i="16"/>
  <c r="AI40" i="16"/>
  <c r="AI36" i="16"/>
  <c r="AI28" i="16"/>
  <c r="AI20" i="16"/>
  <c r="AI38" i="16"/>
  <c r="AI105" i="16"/>
  <c r="AI98" i="16"/>
  <c r="AI50" i="16"/>
  <c r="AI26" i="16"/>
  <c r="AI107" i="16"/>
  <c r="AI103" i="16"/>
  <c r="AI96" i="16"/>
  <c r="AI59" i="16"/>
  <c r="AI34" i="16"/>
  <c r="AI30" i="16"/>
  <c r="AI22" i="16"/>
  <c r="AI56" i="16"/>
  <c r="AI45" i="16"/>
  <c r="AI24" i="16"/>
  <c r="AI53" i="16"/>
  <c r="AI42" i="16"/>
  <c r="AI18" i="16"/>
  <c r="AK17" i="16"/>
  <c r="AH87" i="9"/>
  <c r="AG86" i="1"/>
  <c r="AH86" i="1"/>
  <c r="W51" i="7"/>
  <c r="X51" i="7"/>
  <c r="V51" i="9"/>
  <c r="U51" i="9"/>
  <c r="AE57" i="7"/>
  <c r="AE88" i="7"/>
  <c r="AD89" i="9"/>
  <c r="AC89" i="9"/>
  <c r="AG53" i="1"/>
  <c r="AG52" i="1"/>
  <c r="AG83" i="1"/>
  <c r="AG57" i="1"/>
  <c r="W62" i="1"/>
  <c r="X62" i="1"/>
  <c r="Y52" i="1"/>
  <c r="Z52" i="1"/>
  <c r="AB52" i="1" s="1"/>
  <c r="AD52" i="1" s="1"/>
  <c r="AF52" i="1" s="1"/>
  <c r="AH52" i="1" s="1"/>
  <c r="AJ52" i="1" s="1"/>
  <c r="Y90" i="1"/>
  <c r="Z90" i="1"/>
  <c r="AD83" i="1"/>
  <c r="AC83" i="1"/>
  <c r="AD90" i="7"/>
  <c r="AC90" i="7"/>
  <c r="W124" i="9"/>
  <c r="X124" i="9"/>
  <c r="W138" i="9"/>
  <c r="X138" i="9"/>
  <c r="W125" i="9"/>
  <c r="X125" i="9"/>
  <c r="W140" i="9"/>
  <c r="X140" i="9"/>
  <c r="W134" i="9"/>
  <c r="X134" i="9"/>
  <c r="X118" i="9"/>
  <c r="W118" i="9"/>
  <c r="X123" i="9"/>
  <c r="W123" i="9"/>
  <c r="X128" i="9"/>
  <c r="W128" i="9"/>
  <c r="X108" i="9"/>
  <c r="W108" i="9"/>
  <c r="W71" i="9"/>
  <c r="X71" i="9"/>
  <c r="AE16" i="12"/>
  <c r="AD107" i="9"/>
  <c r="AC107" i="9"/>
  <c r="AI53" i="8"/>
  <c r="AI57" i="8"/>
  <c r="AI62" i="8"/>
  <c r="AI52" i="8"/>
  <c r="AD96" i="8"/>
  <c r="AC96" i="8"/>
  <c r="AE53" i="7"/>
  <c r="AE52" i="7"/>
  <c r="AB33" i="7"/>
  <c r="AA33" i="7"/>
  <c r="X62" i="7"/>
  <c r="W62" i="7"/>
  <c r="X41" i="8"/>
  <c r="W41" i="8"/>
  <c r="AI69" i="8"/>
  <c r="AI70" i="8"/>
  <c r="W35" i="7"/>
  <c r="X35" i="7"/>
  <c r="AG32" i="1"/>
  <c r="AG70" i="1"/>
  <c r="AG69" i="1"/>
  <c r="AI31" i="1"/>
  <c r="AG88" i="1"/>
  <c r="AG82" i="1"/>
  <c r="AG81" i="1"/>
  <c r="AG80" i="1"/>
  <c r="AG79" i="1"/>
  <c r="AG78" i="1"/>
  <c r="AG77" i="1"/>
  <c r="AG76" i="1"/>
  <c r="AG75" i="1"/>
  <c r="AG74" i="1"/>
  <c r="AG73" i="1"/>
  <c r="AG72" i="1"/>
  <c r="AG68" i="1"/>
  <c r="AG67" i="1"/>
  <c r="AG66" i="1"/>
  <c r="AG65" i="1"/>
  <c r="AG63" i="1"/>
  <c r="AG56" i="1"/>
  <c r="AG55" i="1"/>
  <c r="AG54" i="1"/>
  <c r="AG51" i="1"/>
  <c r="AG50" i="1"/>
  <c r="AG48" i="1"/>
  <c r="AG47" i="1"/>
  <c r="AG44" i="1"/>
  <c r="Z34" i="1"/>
  <c r="Y34" i="1"/>
  <c r="AB41" i="1"/>
  <c r="AA41" i="1"/>
  <c r="Z35" i="1"/>
  <c r="Y35" i="1"/>
  <c r="AB68" i="1"/>
  <c r="AA68" i="1"/>
  <c r="X36" i="1"/>
  <c r="W36" i="1"/>
  <c r="Z67" i="1"/>
  <c r="Y67" i="1"/>
  <c r="Z40" i="1"/>
  <c r="Y40" i="1"/>
  <c r="Z64" i="1"/>
  <c r="Y64" i="1"/>
  <c r="Z65" i="1"/>
  <c r="Y65" i="1"/>
  <c r="Z66" i="1"/>
  <c r="Y66" i="1"/>
  <c r="Z63" i="1"/>
  <c r="Y63" i="1"/>
  <c r="Z51" i="1"/>
  <c r="AB51" i="1" s="1"/>
  <c r="AD51" i="1" s="1"/>
  <c r="AF51" i="1" s="1"/>
  <c r="AH51" i="1" s="1"/>
  <c r="AJ51" i="1" s="1"/>
  <c r="Y51" i="1"/>
  <c r="X54" i="1"/>
  <c r="W54" i="1"/>
  <c r="X49" i="1"/>
  <c r="W49" i="1"/>
  <c r="X42" i="1"/>
  <c r="W42" i="1"/>
  <c r="X37" i="1"/>
  <c r="W37" i="1"/>
  <c r="X39" i="1"/>
  <c r="W39" i="1"/>
  <c r="X50" i="1"/>
  <c r="W50" i="1"/>
  <c r="Z69" i="1"/>
  <c r="Y69" i="1"/>
  <c r="AA70" i="9"/>
  <c r="AB70" i="9"/>
  <c r="AB69" i="8"/>
  <c r="AA69" i="8"/>
  <c r="AA70" i="8"/>
  <c r="AB70" i="8"/>
  <c r="Y69" i="7"/>
  <c r="Z69" i="7"/>
  <c r="AB70" i="7"/>
  <c r="AA70" i="7"/>
  <c r="AB32" i="9"/>
  <c r="AA32" i="9"/>
  <c r="X38" i="1"/>
  <c r="W38" i="1"/>
  <c r="Z34" i="9"/>
  <c r="Y34" i="9"/>
  <c r="Z40" i="9"/>
  <c r="Y40" i="9"/>
  <c r="Z64" i="9"/>
  <c r="Y64" i="9"/>
  <c r="Z69" i="9"/>
  <c r="Y69" i="9"/>
  <c r="Z65" i="9"/>
  <c r="Y65" i="9"/>
  <c r="AB33" i="9"/>
  <c r="AA33" i="9"/>
  <c r="AB66" i="9"/>
  <c r="AD66" i="9" s="1"/>
  <c r="AF66" i="9" s="1"/>
  <c r="AH66" i="9" s="1"/>
  <c r="AJ66" i="9" s="1"/>
  <c r="AA66" i="9"/>
  <c r="X49" i="9"/>
  <c r="W49" i="9"/>
  <c r="Z35" i="9"/>
  <c r="Y35" i="9"/>
  <c r="AB68" i="9"/>
  <c r="AA68" i="9"/>
  <c r="X38" i="9"/>
  <c r="W38" i="9"/>
  <c r="X36" i="9"/>
  <c r="W36" i="9"/>
  <c r="X42" i="9"/>
  <c r="W42" i="9"/>
  <c r="X37" i="9"/>
  <c r="W37" i="9"/>
  <c r="X54" i="9"/>
  <c r="W54" i="9"/>
  <c r="X39" i="9"/>
  <c r="W39" i="9"/>
  <c r="AI66" i="8"/>
  <c r="AI83" i="8"/>
  <c r="AI82" i="8"/>
  <c r="AI81" i="8"/>
  <c r="AI80" i="8"/>
  <c r="AI79" i="8"/>
  <c r="AI78" i="8"/>
  <c r="AI77" i="8"/>
  <c r="AI76" i="8"/>
  <c r="AI75" i="8"/>
  <c r="AI74" i="8"/>
  <c r="AI73" i="8"/>
  <c r="AI72" i="8"/>
  <c r="AI68" i="8"/>
  <c r="AI67" i="8"/>
  <c r="AI65" i="8"/>
  <c r="AI64" i="8"/>
  <c r="AI63" i="8"/>
  <c r="AI56" i="8"/>
  <c r="AI49" i="8"/>
  <c r="AI48" i="8"/>
  <c r="AI55" i="8"/>
  <c r="AI54" i="8"/>
  <c r="AI51" i="8"/>
  <c r="AI50" i="8"/>
  <c r="AI47" i="8"/>
  <c r="AI44" i="8"/>
  <c r="AI42" i="8"/>
  <c r="AI41" i="8"/>
  <c r="AI40" i="8"/>
  <c r="AI39" i="8"/>
  <c r="AI33" i="8"/>
  <c r="AI32" i="8"/>
  <c r="AK31" i="8"/>
  <c r="AI38" i="8"/>
  <c r="AI37" i="8"/>
  <c r="AI36" i="8"/>
  <c r="AB33" i="8"/>
  <c r="AA33" i="8"/>
  <c r="AD32" i="8"/>
  <c r="AC32" i="8"/>
  <c r="Z37" i="7"/>
  <c r="Y37" i="7"/>
  <c r="Z36" i="7"/>
  <c r="Y36" i="7"/>
  <c r="Z38" i="7"/>
  <c r="Y38" i="7"/>
  <c r="AB64" i="7"/>
  <c r="AA64" i="7"/>
  <c r="Z41" i="7"/>
  <c r="Y41" i="7"/>
  <c r="AB68" i="7"/>
  <c r="AA68" i="7"/>
  <c r="AB63" i="7"/>
  <c r="AD63" i="7" s="1"/>
  <c r="AF63" i="7" s="1"/>
  <c r="AH63" i="7" s="1"/>
  <c r="AJ63" i="7" s="1"/>
  <c r="AA63" i="7"/>
  <c r="AB40" i="7"/>
  <c r="AA40" i="7"/>
  <c r="Z49" i="7"/>
  <c r="Y49" i="7"/>
  <c r="AB67" i="7"/>
  <c r="AA67" i="7"/>
  <c r="AB65" i="7"/>
  <c r="AD65" i="7" s="1"/>
  <c r="AF65" i="7" s="1"/>
  <c r="AH65" i="7" s="1"/>
  <c r="AJ65" i="7" s="1"/>
  <c r="AA65" i="7"/>
  <c r="AB66" i="7"/>
  <c r="AD66" i="7" s="1"/>
  <c r="AF66" i="7" s="1"/>
  <c r="AH66" i="7" s="1"/>
  <c r="AJ66" i="7" s="1"/>
  <c r="AA66" i="7"/>
  <c r="AE66" i="7"/>
  <c r="AE83" i="7"/>
  <c r="AE82" i="7"/>
  <c r="AE81" i="7"/>
  <c r="AE80" i="7"/>
  <c r="AE79" i="7"/>
  <c r="AE78" i="7"/>
  <c r="AE77" i="7"/>
  <c r="AE76" i="7"/>
  <c r="AE75" i="7"/>
  <c r="AE74" i="7"/>
  <c r="AE73" i="7"/>
  <c r="AE72" i="7"/>
  <c r="AE67" i="7"/>
  <c r="AE65" i="7"/>
  <c r="AE63" i="7"/>
  <c r="AE56" i="7"/>
  <c r="AE48" i="7"/>
  <c r="AE55" i="7"/>
  <c r="AE54" i="7"/>
  <c r="AE51" i="7"/>
  <c r="AE50" i="7"/>
  <c r="AE47" i="7"/>
  <c r="AE44" i="7"/>
  <c r="AE34" i="7"/>
  <c r="AE32" i="7"/>
  <c r="AG31" i="7"/>
  <c r="AD33" i="7" l="1"/>
  <c r="AC33" i="7"/>
  <c r="AB38" i="21"/>
  <c r="AA38" i="21"/>
  <c r="AF33" i="1"/>
  <c r="AE33" i="1"/>
  <c r="AD33" i="8"/>
  <c r="AC33" i="8"/>
  <c r="AD33" i="9"/>
  <c r="AC33" i="9"/>
  <c r="X45" i="9"/>
  <c r="Z45" i="9" s="1"/>
  <c r="AB45" i="9" s="1"/>
  <c r="AD45" i="9" s="1"/>
  <c r="AF45" i="9" s="1"/>
  <c r="AH45" i="9" s="1"/>
  <c r="AJ45" i="9" s="1"/>
  <c r="W45" i="9"/>
  <c r="AB49" i="7"/>
  <c r="AA49" i="7"/>
  <c r="AB37" i="7"/>
  <c r="AA37" i="7"/>
  <c r="AB38" i="7"/>
  <c r="AA38" i="7"/>
  <c r="X45" i="7"/>
  <c r="Z45" i="7" s="1"/>
  <c r="AB45" i="7" s="1"/>
  <c r="AD45" i="7" s="1"/>
  <c r="AF45" i="7" s="1"/>
  <c r="AH45" i="7" s="1"/>
  <c r="AJ45" i="7" s="1"/>
  <c r="W45" i="7"/>
  <c r="I223" i="16"/>
  <c r="I253" i="16"/>
  <c r="AK317" i="16"/>
  <c r="AK309" i="16"/>
  <c r="AK301" i="16"/>
  <c r="AK293" i="16"/>
  <c r="AK285" i="16"/>
  <c r="AK277" i="16"/>
  <c r="AK269" i="16"/>
  <c r="I269" i="16" s="1"/>
  <c r="AK261" i="16"/>
  <c r="I261" i="16" s="1"/>
  <c r="AK253" i="16"/>
  <c r="AK314" i="16"/>
  <c r="AK306" i="16"/>
  <c r="AK298" i="16"/>
  <c r="AK290" i="16"/>
  <c r="AK282" i="16"/>
  <c r="AK274" i="16"/>
  <c r="I274" i="16" s="1"/>
  <c r="AK266" i="16"/>
  <c r="I266" i="16" s="1"/>
  <c r="AK258" i="16"/>
  <c r="I258" i="16" s="1"/>
  <c r="AK250" i="16"/>
  <c r="I250" i="16" s="1"/>
  <c r="AK316" i="16"/>
  <c r="AK308" i="16"/>
  <c r="AK300" i="16"/>
  <c r="AK292" i="16"/>
  <c r="AK284" i="16"/>
  <c r="AK276" i="16"/>
  <c r="I276" i="16" s="1"/>
  <c r="AK268" i="16"/>
  <c r="I268" i="16" s="1"/>
  <c r="AK260" i="16"/>
  <c r="I260" i="16" s="1"/>
  <c r="AK252" i="16"/>
  <c r="I252" i="16" s="1"/>
  <c r="AK313" i="16"/>
  <c r="AK305" i="16"/>
  <c r="AK297" i="16"/>
  <c r="AK289" i="16"/>
  <c r="AK281" i="16"/>
  <c r="AK273" i="16"/>
  <c r="I273" i="16" s="1"/>
  <c r="AK265" i="16"/>
  <c r="I265" i="16" s="1"/>
  <c r="AK257" i="16"/>
  <c r="I257" i="16" s="1"/>
  <c r="AK315" i="16"/>
  <c r="AK307" i="16"/>
  <c r="AK299" i="16"/>
  <c r="AK291" i="16"/>
  <c r="AK283" i="16"/>
  <c r="AK275" i="16"/>
  <c r="I275" i="16" s="1"/>
  <c r="AK267" i="16"/>
  <c r="I267" i="16" s="1"/>
  <c r="AK259" i="16"/>
  <c r="I259" i="16" s="1"/>
  <c r="AK251" i="16"/>
  <c r="I251" i="16" s="1"/>
  <c r="AK295" i="16"/>
  <c r="AK303" i="16"/>
  <c r="AK311" i="16"/>
  <c r="AK279" i="16"/>
  <c r="AK243" i="16"/>
  <c r="I243" i="16" s="1"/>
  <c r="AK235" i="16"/>
  <c r="I235" i="16" s="1"/>
  <c r="AK227" i="16"/>
  <c r="I227" i="16" s="1"/>
  <c r="AK219" i="16"/>
  <c r="I219" i="16" s="1"/>
  <c r="AK304" i="16"/>
  <c r="AK294" i="16"/>
  <c r="AK272" i="16"/>
  <c r="I272" i="16" s="1"/>
  <c r="AK262" i="16"/>
  <c r="I262" i="16" s="1"/>
  <c r="AK248" i="16"/>
  <c r="I248" i="16" s="1"/>
  <c r="AK240" i="16"/>
  <c r="I240" i="16" s="1"/>
  <c r="AK232" i="16"/>
  <c r="I232" i="16" s="1"/>
  <c r="AK224" i="16"/>
  <c r="I224" i="16" s="1"/>
  <c r="AK287" i="16"/>
  <c r="AK255" i="16"/>
  <c r="I255" i="16" s="1"/>
  <c r="AK245" i="16"/>
  <c r="I245" i="16" s="1"/>
  <c r="AK237" i="16"/>
  <c r="I237" i="16" s="1"/>
  <c r="AK229" i="16"/>
  <c r="I229" i="16" s="1"/>
  <c r="AK221" i="16"/>
  <c r="I221" i="16" s="1"/>
  <c r="AK213" i="16"/>
  <c r="I213" i="16" s="1"/>
  <c r="AK296" i="16"/>
  <c r="AK286" i="16"/>
  <c r="AK264" i="16"/>
  <c r="I264" i="16" s="1"/>
  <c r="AK242" i="16"/>
  <c r="I242" i="16" s="1"/>
  <c r="AK241" i="16"/>
  <c r="I241" i="16" s="1"/>
  <c r="AK231" i="16"/>
  <c r="I231" i="16" s="1"/>
  <c r="AK230" i="16"/>
  <c r="I230" i="16" s="1"/>
  <c r="AK312" i="16"/>
  <c r="AK302" i="16"/>
  <c r="AK288" i="16"/>
  <c r="AK280" i="16"/>
  <c r="AK263" i="16"/>
  <c r="I263" i="16" s="1"/>
  <c r="AK256" i="16"/>
  <c r="I256" i="16" s="1"/>
  <c r="AK254" i="16"/>
  <c r="I254" i="16" s="1"/>
  <c r="AK244" i="16"/>
  <c r="I244" i="16" s="1"/>
  <c r="AK234" i="16"/>
  <c r="I234" i="16" s="1"/>
  <c r="AK233" i="16"/>
  <c r="I233" i="16" s="1"/>
  <c r="AK223" i="16"/>
  <c r="AK222" i="16"/>
  <c r="I222" i="16" s="1"/>
  <c r="AK218" i="16"/>
  <c r="I218" i="16" s="1"/>
  <c r="AK270" i="16"/>
  <c r="I270" i="16" s="1"/>
  <c r="AK247" i="16"/>
  <c r="I247" i="16" s="1"/>
  <c r="AK246" i="16"/>
  <c r="I246" i="16" s="1"/>
  <c r="AK236" i="16"/>
  <c r="I236" i="16" s="1"/>
  <c r="AK226" i="16"/>
  <c r="I226" i="16" s="1"/>
  <c r="AK225" i="16"/>
  <c r="I225" i="16" s="1"/>
  <c r="AK217" i="16"/>
  <c r="I217" i="16" s="1"/>
  <c r="AK212" i="16"/>
  <c r="I212" i="16" s="1"/>
  <c r="AK203" i="16"/>
  <c r="I203" i="16" s="1"/>
  <c r="AK195" i="16"/>
  <c r="I195" i="16" s="1"/>
  <c r="AK310" i="16"/>
  <c r="AK208" i="16"/>
  <c r="I208" i="16" s="1"/>
  <c r="AK200" i="16"/>
  <c r="I200" i="16" s="1"/>
  <c r="AK192" i="16"/>
  <c r="I192" i="16" s="1"/>
  <c r="AK249" i="16"/>
  <c r="I249" i="16" s="1"/>
  <c r="AK239" i="16"/>
  <c r="I239" i="16" s="1"/>
  <c r="AK238" i="16"/>
  <c r="I238" i="16" s="1"/>
  <c r="AK228" i="16"/>
  <c r="I228" i="16" s="1"/>
  <c r="AK216" i="16"/>
  <c r="I216" i="16" s="1"/>
  <c r="AK211" i="16"/>
  <c r="I211" i="16" s="1"/>
  <c r="AK205" i="16"/>
  <c r="I205" i="16" s="1"/>
  <c r="AK197" i="16"/>
  <c r="I197" i="16" s="1"/>
  <c r="AK204" i="16"/>
  <c r="I204" i="16" s="1"/>
  <c r="AK194" i="16"/>
  <c r="I194" i="16" s="1"/>
  <c r="AK193" i="16"/>
  <c r="I193" i="16" s="1"/>
  <c r="AK206" i="16"/>
  <c r="I206" i="16" s="1"/>
  <c r="AK278" i="16"/>
  <c r="AK207" i="16"/>
  <c r="I207" i="16" s="1"/>
  <c r="AK196" i="16"/>
  <c r="I196" i="16" s="1"/>
  <c r="AK220" i="16"/>
  <c r="I220" i="16" s="1"/>
  <c r="AK214" i="16"/>
  <c r="I214" i="16" s="1"/>
  <c r="AK190" i="16"/>
  <c r="I190" i="16" s="1"/>
  <c r="AK209" i="16"/>
  <c r="I209" i="16" s="1"/>
  <c r="AK199" i="16"/>
  <c r="I199" i="16" s="1"/>
  <c r="AK198" i="16"/>
  <c r="I198" i="16" s="1"/>
  <c r="AK271" i="16"/>
  <c r="I271" i="16" s="1"/>
  <c r="AK215" i="16"/>
  <c r="I215" i="16" s="1"/>
  <c r="AK202" i="16"/>
  <c r="I202" i="16" s="1"/>
  <c r="AK201" i="16"/>
  <c r="I201" i="16" s="1"/>
  <c r="AK210" i="16"/>
  <c r="I210" i="16" s="1"/>
  <c r="AK191" i="16"/>
  <c r="I191" i="16" s="1"/>
  <c r="Q277" i="16"/>
  <c r="I277" i="16" s="1"/>
  <c r="R277" i="16"/>
  <c r="T277" i="16" s="1"/>
  <c r="V277" i="16" s="1"/>
  <c r="X277" i="16" s="1"/>
  <c r="Z277" i="16" s="1"/>
  <c r="AB277" i="16" s="1"/>
  <c r="AD277" i="16" s="1"/>
  <c r="AF277" i="16" s="1"/>
  <c r="AH277" i="16" s="1"/>
  <c r="AJ277" i="16" s="1"/>
  <c r="H281" i="16"/>
  <c r="K280" i="16"/>
  <c r="F280" i="16"/>
  <c r="O278" i="16"/>
  <c r="P278" i="16"/>
  <c r="M279" i="16"/>
  <c r="N279" i="16"/>
  <c r="Z68" i="26"/>
  <c r="Y68" i="26"/>
  <c r="AK85" i="8"/>
  <c r="AK84" i="8"/>
  <c r="G84" i="8" s="1"/>
  <c r="AK43" i="8"/>
  <c r="AG67" i="9"/>
  <c r="AG115" i="9"/>
  <c r="AG112" i="9"/>
  <c r="AG113" i="9"/>
  <c r="AG114" i="9"/>
  <c r="AG104" i="9"/>
  <c r="AG85" i="9"/>
  <c r="Z64" i="26"/>
  <c r="Y64" i="26"/>
  <c r="Z61" i="27"/>
  <c r="Y61" i="27"/>
  <c r="AB66" i="26"/>
  <c r="AD66" i="26" s="1"/>
  <c r="AF66" i="26" s="1"/>
  <c r="AH66" i="26" s="1"/>
  <c r="AJ66" i="26" s="1"/>
  <c r="AA66" i="26"/>
  <c r="G66" i="26" s="1"/>
  <c r="Z61" i="26"/>
  <c r="AB61" i="26" s="1"/>
  <c r="AD61" i="26" s="1"/>
  <c r="AF61" i="26" s="1"/>
  <c r="AH61" i="26" s="1"/>
  <c r="AJ61" i="26" s="1"/>
  <c r="Y61" i="26"/>
  <c r="G61" i="26" s="1"/>
  <c r="Z90" i="26"/>
  <c r="Y90" i="26"/>
  <c r="Z35" i="26"/>
  <c r="Y35" i="26"/>
  <c r="V33" i="26"/>
  <c r="U33" i="26"/>
  <c r="AB67" i="26"/>
  <c r="AA67" i="26"/>
  <c r="X70" i="24"/>
  <c r="W70" i="24"/>
  <c r="Z65" i="26"/>
  <c r="Y65" i="26"/>
  <c r="AB70" i="26"/>
  <c r="AA70" i="26"/>
  <c r="V53" i="26"/>
  <c r="X53" i="26" s="1"/>
  <c r="Z53" i="26" s="1"/>
  <c r="AB53" i="26" s="1"/>
  <c r="AD53" i="26" s="1"/>
  <c r="AF53" i="26" s="1"/>
  <c r="AH53" i="26" s="1"/>
  <c r="AJ53" i="26" s="1"/>
  <c r="U53" i="26"/>
  <c r="G53" i="26" s="1"/>
  <c r="AB58" i="27"/>
  <c r="AD58" i="27" s="1"/>
  <c r="AF58" i="27" s="1"/>
  <c r="AH58" i="27" s="1"/>
  <c r="AA58" i="27"/>
  <c r="G58" i="27" s="1"/>
  <c r="AB103" i="26"/>
  <c r="AD103" i="26" s="1"/>
  <c r="AF103" i="26" s="1"/>
  <c r="AH103" i="26" s="1"/>
  <c r="AJ103" i="26" s="1"/>
  <c r="AA103" i="26"/>
  <c r="G103" i="26" s="1"/>
  <c r="AC107" i="26"/>
  <c r="AD107" i="26"/>
  <c r="Z34" i="26"/>
  <c r="Y34" i="26"/>
  <c r="AD69" i="26"/>
  <c r="AC69" i="26"/>
  <c r="V52" i="26"/>
  <c r="U52" i="26"/>
  <c r="AG84" i="7"/>
  <c r="AF106" i="26"/>
  <c r="AH106" i="26" s="1"/>
  <c r="AJ106" i="26" s="1"/>
  <c r="AE106" i="26"/>
  <c r="G106" i="26" s="1"/>
  <c r="AB60" i="27"/>
  <c r="AA60" i="27"/>
  <c r="Y40" i="26"/>
  <c r="Z40" i="26"/>
  <c r="Z63" i="26"/>
  <c r="Y63" i="26"/>
  <c r="AB67" i="9"/>
  <c r="AA67" i="9"/>
  <c r="AD64" i="7"/>
  <c r="AC64" i="7"/>
  <c r="AB113" i="9"/>
  <c r="AA113" i="9"/>
  <c r="Z115" i="9"/>
  <c r="Y115" i="9"/>
  <c r="V41" i="26"/>
  <c r="U41" i="26"/>
  <c r="Z114" i="9"/>
  <c r="Y114" i="9"/>
  <c r="T59" i="26"/>
  <c r="S59" i="26"/>
  <c r="W127" i="9"/>
  <c r="Z104" i="9"/>
  <c r="Y104" i="9"/>
  <c r="W41" i="24"/>
  <c r="X41" i="24"/>
  <c r="AB86" i="9"/>
  <c r="AA86" i="9"/>
  <c r="AB85" i="7"/>
  <c r="AA85" i="7"/>
  <c r="AB85" i="1"/>
  <c r="AA85" i="1"/>
  <c r="AI93" i="1"/>
  <c r="AI84" i="1"/>
  <c r="AI43" i="1"/>
  <c r="AB43" i="1"/>
  <c r="AA43" i="1"/>
  <c r="AB85" i="8"/>
  <c r="AA85" i="8"/>
  <c r="X43" i="7"/>
  <c r="W43" i="7"/>
  <c r="Z43" i="9"/>
  <c r="Y43" i="9"/>
  <c r="Z58" i="21"/>
  <c r="Y58" i="21"/>
  <c r="AB63" i="21"/>
  <c r="AD63" i="21" s="1"/>
  <c r="AF63" i="21" s="1"/>
  <c r="AH63" i="21" s="1"/>
  <c r="AJ63" i="21" s="1"/>
  <c r="AA63" i="21"/>
  <c r="G63" i="21" s="1"/>
  <c r="R101" i="9"/>
  <c r="Q101" i="9"/>
  <c r="AB68" i="21"/>
  <c r="AA68" i="21"/>
  <c r="Y37" i="18"/>
  <c r="Z37" i="18"/>
  <c r="X41" i="21"/>
  <c r="W41" i="21"/>
  <c r="AK185" i="16"/>
  <c r="AK186" i="16"/>
  <c r="AK182" i="16"/>
  <c r="AK178" i="16"/>
  <c r="AK174" i="16"/>
  <c r="AK170" i="16"/>
  <c r="AK166" i="16"/>
  <c r="AK162" i="16"/>
  <c r="I162" i="16" s="1"/>
  <c r="AK158" i="16"/>
  <c r="I158" i="16" s="1"/>
  <c r="AK184" i="16"/>
  <c r="AK177" i="16"/>
  <c r="AK176" i="16"/>
  <c r="AK169" i="16"/>
  <c r="AK168" i="16"/>
  <c r="AK161" i="16"/>
  <c r="I161" i="16" s="1"/>
  <c r="AK160" i="16"/>
  <c r="I160" i="16" s="1"/>
  <c r="AK152" i="16"/>
  <c r="I152" i="16" s="1"/>
  <c r="AK148" i="16"/>
  <c r="I148" i="16" s="1"/>
  <c r="AK181" i="16"/>
  <c r="AK180" i="16"/>
  <c r="AK173" i="16"/>
  <c r="AK172" i="16"/>
  <c r="AK165" i="16"/>
  <c r="AK164" i="16"/>
  <c r="AK157" i="16"/>
  <c r="I157" i="16" s="1"/>
  <c r="AK156" i="16"/>
  <c r="I156" i="16" s="1"/>
  <c r="AK154" i="16"/>
  <c r="AK150" i="16"/>
  <c r="I150" i="16" s="1"/>
  <c r="AK171" i="16"/>
  <c r="AK155" i="16"/>
  <c r="I155" i="16" s="1"/>
  <c r="AK153" i="16"/>
  <c r="I153" i="16" s="1"/>
  <c r="AK159" i="16"/>
  <c r="I159" i="16" s="1"/>
  <c r="AK179" i="16"/>
  <c r="AK163" i="16"/>
  <c r="AK151" i="16"/>
  <c r="I151" i="16" s="1"/>
  <c r="AK149" i="16"/>
  <c r="I149" i="16" s="1"/>
  <c r="AK183" i="16"/>
  <c r="AK175" i="16"/>
  <c r="AK167" i="16"/>
  <c r="AG100" i="9"/>
  <c r="AG101" i="9"/>
  <c r="Z69" i="21"/>
  <c r="Y69" i="21"/>
  <c r="AD95" i="21"/>
  <c r="AC95" i="21"/>
  <c r="AB65" i="21"/>
  <c r="AD65" i="21" s="1"/>
  <c r="AF65" i="21" s="1"/>
  <c r="AH65" i="21" s="1"/>
  <c r="AJ65" i="21" s="1"/>
  <c r="AA65" i="21"/>
  <c r="G65" i="21" s="1"/>
  <c r="AB93" i="1"/>
  <c r="AD93" i="1" s="1"/>
  <c r="AF93" i="1" s="1"/>
  <c r="AH93" i="1" s="1"/>
  <c r="AJ93" i="1" s="1"/>
  <c r="AA93" i="1"/>
  <c r="I154" i="16"/>
  <c r="AB66" i="21"/>
  <c r="AA66" i="21"/>
  <c r="AD96" i="21"/>
  <c r="AC96" i="21"/>
  <c r="T100" i="9"/>
  <c r="S100" i="9"/>
  <c r="R98" i="9"/>
  <c r="Q98" i="9"/>
  <c r="R99" i="9"/>
  <c r="Q99" i="9"/>
  <c r="AG87" i="9"/>
  <c r="Y49" i="21"/>
  <c r="Z49" i="21"/>
  <c r="AB130" i="17"/>
  <c r="AA130" i="17"/>
  <c r="AD35" i="17"/>
  <c r="AC35" i="17"/>
  <c r="AB3" i="17"/>
  <c r="AA3" i="17"/>
  <c r="Z131" i="17"/>
  <c r="Y131" i="17"/>
  <c r="O55" i="17"/>
  <c r="L54" i="17"/>
  <c r="U60" i="17"/>
  <c r="V60" i="17"/>
  <c r="L64" i="17"/>
  <c r="O63" i="17"/>
  <c r="T57" i="17"/>
  <c r="S57" i="17"/>
  <c r="Q56" i="17"/>
  <c r="R56" i="17"/>
  <c r="G64" i="17"/>
  <c r="E65" i="17"/>
  <c r="U58" i="17"/>
  <c r="V58" i="17"/>
  <c r="G54" i="17"/>
  <c r="E53" i="17"/>
  <c r="G53" i="17" s="1"/>
  <c r="X59" i="17"/>
  <c r="W59" i="17"/>
  <c r="T61" i="17"/>
  <c r="S61" i="17"/>
  <c r="Q62" i="17"/>
  <c r="R62" i="17"/>
  <c r="AG94" i="9"/>
  <c r="AG63" i="9"/>
  <c r="AG60" i="9"/>
  <c r="AG61" i="9"/>
  <c r="AG93" i="9"/>
  <c r="AG45" i="9"/>
  <c r="AG46" i="9"/>
  <c r="AG126" i="9"/>
  <c r="AG88" i="9"/>
  <c r="AB94" i="9"/>
  <c r="AD94" i="9" s="1"/>
  <c r="AF94" i="9" s="1"/>
  <c r="AH94" i="9" s="1"/>
  <c r="AJ94" i="9" s="1"/>
  <c r="AA94" i="9"/>
  <c r="AB93" i="8"/>
  <c r="AD93" i="8" s="1"/>
  <c r="AF93" i="8" s="1"/>
  <c r="AH93" i="8" s="1"/>
  <c r="AJ93" i="8" s="1"/>
  <c r="AA93" i="8"/>
  <c r="AK93" i="8"/>
  <c r="AK60" i="8"/>
  <c r="AK61" i="8"/>
  <c r="AK92" i="8"/>
  <c r="AK58" i="8"/>
  <c r="AK59" i="8"/>
  <c r="AK45" i="8"/>
  <c r="AK46" i="8"/>
  <c r="AK87" i="8"/>
  <c r="G87" i="8" s="1"/>
  <c r="AG93" i="7"/>
  <c r="AG60" i="7"/>
  <c r="AG61" i="7"/>
  <c r="AG92" i="7"/>
  <c r="AG46" i="7"/>
  <c r="AG87" i="7"/>
  <c r="AB93" i="7"/>
  <c r="AD93" i="7" s="1"/>
  <c r="AF93" i="7" s="1"/>
  <c r="AH93" i="7" s="1"/>
  <c r="AJ93" i="7" s="1"/>
  <c r="AA93" i="7"/>
  <c r="X54" i="7"/>
  <c r="W54" i="7"/>
  <c r="W39" i="7"/>
  <c r="X39" i="7"/>
  <c r="W42" i="7"/>
  <c r="X42" i="7"/>
  <c r="V50" i="7"/>
  <c r="U50" i="7"/>
  <c r="AB92" i="1"/>
  <c r="AD92" i="1" s="1"/>
  <c r="AF92" i="1" s="1"/>
  <c r="AH92" i="1" s="1"/>
  <c r="AJ92" i="1" s="1"/>
  <c r="AA92" i="1"/>
  <c r="AI61" i="1"/>
  <c r="AI60" i="1"/>
  <c r="AI92" i="1"/>
  <c r="AA70" i="1"/>
  <c r="AB70" i="1"/>
  <c r="X62" i="9"/>
  <c r="W62" i="9"/>
  <c r="X60" i="9"/>
  <c r="W60" i="9"/>
  <c r="W137" i="9"/>
  <c r="X122" i="9"/>
  <c r="Z122" i="9" s="1"/>
  <c r="AB63" i="9"/>
  <c r="AD63" i="9" s="1"/>
  <c r="AF63" i="9" s="1"/>
  <c r="AH63" i="9" s="1"/>
  <c r="AJ63" i="9" s="1"/>
  <c r="AA63" i="9"/>
  <c r="X60" i="7"/>
  <c r="W60" i="7"/>
  <c r="V92" i="7"/>
  <c r="U92" i="7"/>
  <c r="Q43" i="17"/>
  <c r="R43" i="17"/>
  <c r="L49" i="17"/>
  <c r="O48" i="17"/>
  <c r="V45" i="17"/>
  <c r="U45" i="17"/>
  <c r="T46" i="17"/>
  <c r="S46" i="17"/>
  <c r="G41" i="17"/>
  <c r="E40" i="17"/>
  <c r="T44" i="17"/>
  <c r="S44" i="17"/>
  <c r="G49" i="17"/>
  <c r="E50" i="17"/>
  <c r="O42" i="17"/>
  <c r="L41" i="17"/>
  <c r="R47" i="17"/>
  <c r="Q47" i="17"/>
  <c r="X93" i="9"/>
  <c r="W93" i="9"/>
  <c r="V50" i="9"/>
  <c r="U50" i="9"/>
  <c r="X136" i="9"/>
  <c r="Y136" i="9" s="1"/>
  <c r="AI59" i="1"/>
  <c r="AI58" i="1"/>
  <c r="AI87" i="1"/>
  <c r="AI98" i="1"/>
  <c r="AI97" i="1"/>
  <c r="AI96" i="1"/>
  <c r="AB58" i="1"/>
  <c r="AA58" i="1"/>
  <c r="AB60" i="18"/>
  <c r="AA60" i="18"/>
  <c r="AB59" i="1"/>
  <c r="AA59" i="1"/>
  <c r="AB58" i="18"/>
  <c r="AD58" i="18" s="1"/>
  <c r="AF58" i="18" s="1"/>
  <c r="AH58" i="18" s="1"/>
  <c r="AA58" i="18"/>
  <c r="G58" i="18" s="1"/>
  <c r="X58" i="9"/>
  <c r="W58" i="9"/>
  <c r="W130" i="9"/>
  <c r="Z59" i="9"/>
  <c r="Y59" i="9"/>
  <c r="X59" i="8"/>
  <c r="W59" i="8"/>
  <c r="Z59" i="7"/>
  <c r="Y59" i="7"/>
  <c r="X58" i="7"/>
  <c r="W58" i="7"/>
  <c r="S131" i="9"/>
  <c r="T131" i="9"/>
  <c r="O37" i="17"/>
  <c r="AB61" i="18"/>
  <c r="AA61" i="18"/>
  <c r="T126" i="9"/>
  <c r="S126" i="9"/>
  <c r="Q163" i="16"/>
  <c r="R163" i="16"/>
  <c r="T163" i="16" s="1"/>
  <c r="V163" i="16" s="1"/>
  <c r="X163" i="16" s="1"/>
  <c r="Z163" i="16" s="1"/>
  <c r="AB163" i="16" s="1"/>
  <c r="AD163" i="16" s="1"/>
  <c r="AF163" i="16" s="1"/>
  <c r="AH163" i="16" s="1"/>
  <c r="AJ163" i="16" s="1"/>
  <c r="H167" i="16"/>
  <c r="K166" i="16"/>
  <c r="O164" i="16"/>
  <c r="P164" i="16"/>
  <c r="N165" i="16"/>
  <c r="M165" i="16"/>
  <c r="AK146" i="16"/>
  <c r="I146" i="16" s="1"/>
  <c r="AK142" i="16"/>
  <c r="I142" i="16" s="1"/>
  <c r="AK138" i="16"/>
  <c r="I138" i="16" s="1"/>
  <c r="AK144" i="16"/>
  <c r="I144" i="16" s="1"/>
  <c r="AK140" i="16"/>
  <c r="I140" i="16" s="1"/>
  <c r="AK136" i="16"/>
  <c r="I136" i="16" s="1"/>
  <c r="AK145" i="16"/>
  <c r="I145" i="16" s="1"/>
  <c r="AK141" i="16"/>
  <c r="I141" i="16" s="1"/>
  <c r="AK137" i="16"/>
  <c r="I137" i="16" s="1"/>
  <c r="AK147" i="16"/>
  <c r="I147" i="16" s="1"/>
  <c r="AK139" i="16"/>
  <c r="I139" i="16" s="1"/>
  <c r="AK143" i="16"/>
  <c r="I143" i="16" s="1"/>
  <c r="AK135" i="16"/>
  <c r="I135" i="16" s="1"/>
  <c r="AK187" i="16"/>
  <c r="Y128" i="17"/>
  <c r="Z128" i="17"/>
  <c r="AB129" i="17"/>
  <c r="AA129" i="17"/>
  <c r="AG45" i="7"/>
  <c r="AG86" i="7"/>
  <c r="AI46" i="1"/>
  <c r="AI45" i="1"/>
  <c r="AG132" i="9"/>
  <c r="AG119" i="9"/>
  <c r="AG128" i="9"/>
  <c r="AG136" i="9"/>
  <c r="AG130" i="9"/>
  <c r="AG123" i="9"/>
  <c r="AG107" i="9"/>
  <c r="AG47" i="9"/>
  <c r="AG83" i="9"/>
  <c r="AG79" i="9"/>
  <c r="AG75" i="9"/>
  <c r="AG68" i="9"/>
  <c r="AG55" i="9"/>
  <c r="AG44" i="9"/>
  <c r="AI31" i="9"/>
  <c r="AG129" i="9"/>
  <c r="AG91" i="9"/>
  <c r="AG140" i="9"/>
  <c r="AG134" i="9"/>
  <c r="AG127" i="9"/>
  <c r="AG122" i="9"/>
  <c r="AG57" i="9"/>
  <c r="AG70" i="9"/>
  <c r="AG66" i="9"/>
  <c r="AG82" i="9"/>
  <c r="AG78" i="9"/>
  <c r="AG74" i="9"/>
  <c r="AG65" i="9"/>
  <c r="AG54" i="9"/>
  <c r="AG139" i="9"/>
  <c r="AG53" i="9"/>
  <c r="AG138" i="9"/>
  <c r="AG133" i="9"/>
  <c r="AG125" i="9"/>
  <c r="AG121" i="9"/>
  <c r="AG81" i="9"/>
  <c r="AG77" i="9"/>
  <c r="AG73" i="9"/>
  <c r="AG51" i="9"/>
  <c r="AG41" i="9"/>
  <c r="AG48" i="9"/>
  <c r="AG135" i="9"/>
  <c r="AG120" i="9"/>
  <c r="AG137" i="9"/>
  <c r="AG131" i="9"/>
  <c r="AG124" i="9"/>
  <c r="AG118" i="9"/>
  <c r="AG52" i="9"/>
  <c r="AG71" i="9"/>
  <c r="AG84" i="9"/>
  <c r="AG80" i="9"/>
  <c r="AG76" i="9"/>
  <c r="AG69" i="9"/>
  <c r="AG56" i="9"/>
  <c r="AG50" i="9"/>
  <c r="V132" i="9"/>
  <c r="U132" i="9"/>
  <c r="AK88" i="8"/>
  <c r="G88" i="8" s="1"/>
  <c r="AK86" i="8"/>
  <c r="G86" i="8" s="1"/>
  <c r="X129" i="9"/>
  <c r="W129" i="9"/>
  <c r="X139" i="9"/>
  <c r="W139" i="9"/>
  <c r="Z135" i="9"/>
  <c r="Y135" i="9"/>
  <c r="X119" i="9"/>
  <c r="W119" i="9"/>
  <c r="T113" i="17"/>
  <c r="S113" i="17"/>
  <c r="O36" i="17"/>
  <c r="O38" i="17"/>
  <c r="E83" i="17"/>
  <c r="G84" i="17"/>
  <c r="W31" i="17"/>
  <c r="X31" i="17"/>
  <c r="V88" i="17"/>
  <c r="U88" i="17"/>
  <c r="U112" i="17"/>
  <c r="V112" i="17"/>
  <c r="X108" i="17"/>
  <c r="W108" i="17"/>
  <c r="T71" i="17"/>
  <c r="S71" i="17"/>
  <c r="X121" i="17"/>
  <c r="W121" i="17"/>
  <c r="T87" i="17"/>
  <c r="S87" i="17"/>
  <c r="Q34" i="17"/>
  <c r="R34" i="17"/>
  <c r="U72" i="17"/>
  <c r="V72" i="17"/>
  <c r="U74" i="17"/>
  <c r="V74" i="17"/>
  <c r="G116" i="17"/>
  <c r="E117" i="17"/>
  <c r="U32" i="17"/>
  <c r="V32" i="17"/>
  <c r="U115" i="17"/>
  <c r="V115" i="17"/>
  <c r="E67" i="17"/>
  <c r="G67" i="17" s="1"/>
  <c r="G68" i="17"/>
  <c r="S116" i="17"/>
  <c r="T116" i="17"/>
  <c r="R70" i="17"/>
  <c r="Q70" i="17"/>
  <c r="V121" i="9"/>
  <c r="U121" i="9"/>
  <c r="X119" i="17"/>
  <c r="W119" i="17"/>
  <c r="T124" i="17"/>
  <c r="S124" i="17"/>
  <c r="T33" i="17"/>
  <c r="S33" i="17"/>
  <c r="Q118" i="17"/>
  <c r="R118" i="17"/>
  <c r="R76" i="17"/>
  <c r="Q76" i="17"/>
  <c r="X133" i="17"/>
  <c r="W133" i="17"/>
  <c r="O25" i="17"/>
  <c r="L24" i="17"/>
  <c r="O24" i="17" s="1"/>
  <c r="T89" i="17"/>
  <c r="S89" i="17"/>
  <c r="S123" i="17"/>
  <c r="T123" i="17"/>
  <c r="Q90" i="17"/>
  <c r="R90" i="17"/>
  <c r="Q86" i="17"/>
  <c r="R86" i="17"/>
  <c r="W29" i="17"/>
  <c r="X29" i="17"/>
  <c r="T75" i="17"/>
  <c r="S75" i="17"/>
  <c r="U134" i="17"/>
  <c r="V134" i="17"/>
  <c r="V133" i="9"/>
  <c r="U133" i="9"/>
  <c r="S114" i="17"/>
  <c r="T114" i="17"/>
  <c r="U28" i="17"/>
  <c r="V28" i="17"/>
  <c r="S27" i="17"/>
  <c r="T27" i="17"/>
  <c r="Y110" i="17"/>
  <c r="Z110" i="17"/>
  <c r="W111" i="17"/>
  <c r="X111" i="17"/>
  <c r="E93" i="17"/>
  <c r="G92" i="17"/>
  <c r="Z30" i="17"/>
  <c r="Y30" i="17"/>
  <c r="V132" i="17"/>
  <c r="U132" i="17"/>
  <c r="AA126" i="17"/>
  <c r="AB126" i="17"/>
  <c r="L68" i="17"/>
  <c r="O69" i="17"/>
  <c r="W73" i="17"/>
  <c r="X73" i="17"/>
  <c r="X109" i="17"/>
  <c r="W109" i="17"/>
  <c r="V125" i="17"/>
  <c r="U125" i="17"/>
  <c r="Q117" i="17"/>
  <c r="R117" i="17"/>
  <c r="AA127" i="17"/>
  <c r="AB127" i="17"/>
  <c r="L80" i="17"/>
  <c r="O78" i="17"/>
  <c r="U120" i="9"/>
  <c r="V120" i="9"/>
  <c r="Q26" i="17"/>
  <c r="R26" i="17"/>
  <c r="E79" i="17"/>
  <c r="G79" i="17" s="1"/>
  <c r="L79" i="17" s="1"/>
  <c r="O79" i="17" s="1"/>
  <c r="G80" i="17"/>
  <c r="E81" i="17"/>
  <c r="G81" i="17" s="1"/>
  <c r="O77" i="17"/>
  <c r="O91" i="17"/>
  <c r="L92" i="17"/>
  <c r="U122" i="17"/>
  <c r="V122" i="17"/>
  <c r="L84" i="17"/>
  <c r="O85" i="17"/>
  <c r="S120" i="17"/>
  <c r="T120" i="17"/>
  <c r="N56" i="16"/>
  <c r="M56" i="16"/>
  <c r="K61" i="16"/>
  <c r="AF29" i="16"/>
  <c r="AH29" i="16" s="1"/>
  <c r="AJ29" i="16" s="1"/>
  <c r="AE29" i="16"/>
  <c r="R52" i="16"/>
  <c r="Q52" i="16"/>
  <c r="K59" i="16"/>
  <c r="AE27" i="16"/>
  <c r="AF27" i="16"/>
  <c r="AH27" i="16" s="1"/>
  <c r="AJ27" i="16" s="1"/>
  <c r="R50" i="16"/>
  <c r="Q50" i="16"/>
  <c r="W41" i="16"/>
  <c r="X41" i="16"/>
  <c r="AA37" i="16"/>
  <c r="AB37" i="16"/>
  <c r="K57" i="16"/>
  <c r="AE31" i="16"/>
  <c r="AF31" i="16"/>
  <c r="AH31" i="16" s="1"/>
  <c r="AJ31" i="16" s="1"/>
  <c r="Y38" i="16"/>
  <c r="Z38" i="16"/>
  <c r="AA35" i="16"/>
  <c r="AB35" i="16"/>
  <c r="T45" i="16"/>
  <c r="S45" i="16"/>
  <c r="V42" i="16"/>
  <c r="U42" i="16"/>
  <c r="AD32" i="16"/>
  <c r="AC32" i="16"/>
  <c r="AA33" i="16"/>
  <c r="AB33" i="16"/>
  <c r="V46" i="16"/>
  <c r="U46" i="16"/>
  <c r="P53" i="16"/>
  <c r="O53" i="16"/>
  <c r="N58" i="16"/>
  <c r="M58" i="16"/>
  <c r="X43" i="16"/>
  <c r="W43" i="16"/>
  <c r="T47" i="16"/>
  <c r="S47" i="16"/>
  <c r="R48" i="16"/>
  <c r="Q48" i="16"/>
  <c r="Z36" i="16"/>
  <c r="Y36" i="16"/>
  <c r="Z40" i="16"/>
  <c r="Y40" i="16"/>
  <c r="T49" i="16"/>
  <c r="S49" i="16"/>
  <c r="AC30" i="16"/>
  <c r="AD30" i="16"/>
  <c r="U44" i="16"/>
  <c r="V44" i="16"/>
  <c r="M54" i="16"/>
  <c r="N54" i="16"/>
  <c r="W39" i="16"/>
  <c r="X39" i="16"/>
  <c r="AC34" i="16"/>
  <c r="AD34" i="16"/>
  <c r="P55" i="16"/>
  <c r="O55" i="16"/>
  <c r="P51" i="16"/>
  <c r="O51" i="16"/>
  <c r="AK132" i="16"/>
  <c r="AK130" i="16"/>
  <c r="AK125" i="16"/>
  <c r="AK124" i="16"/>
  <c r="AK109" i="16"/>
  <c r="AK98" i="16"/>
  <c r="AK96" i="16"/>
  <c r="AK93" i="16"/>
  <c r="AK77" i="16"/>
  <c r="AK75" i="16"/>
  <c r="AK72" i="16"/>
  <c r="AK70" i="16"/>
  <c r="AK131" i="16"/>
  <c r="AK129" i="16"/>
  <c r="AK128" i="16"/>
  <c r="AK119" i="16"/>
  <c r="AK118" i="16"/>
  <c r="AK117" i="16"/>
  <c r="AK116" i="16"/>
  <c r="AK111" i="16"/>
  <c r="AK107" i="16"/>
  <c r="AK105" i="16"/>
  <c r="AK103" i="16"/>
  <c r="AK100" i="16"/>
  <c r="AK94" i="16"/>
  <c r="AK91" i="16"/>
  <c r="AK89" i="16"/>
  <c r="AK88" i="16"/>
  <c r="AK73" i="16"/>
  <c r="AK68" i="16"/>
  <c r="AK114" i="16"/>
  <c r="AK108" i="16"/>
  <c r="AK106" i="16"/>
  <c r="AK102" i="16"/>
  <c r="AK101" i="16"/>
  <c r="AK97" i="16"/>
  <c r="AK95" i="16"/>
  <c r="AK83" i="16"/>
  <c r="AK82" i="16"/>
  <c r="AK76" i="16"/>
  <c r="AK59" i="16"/>
  <c r="AK56" i="16"/>
  <c r="AK53" i="16"/>
  <c r="AK50" i="16"/>
  <c r="AK45" i="16"/>
  <c r="AK42" i="16"/>
  <c r="AK38" i="16"/>
  <c r="AK34" i="16"/>
  <c r="AK28" i="16"/>
  <c r="I28" i="16" s="1"/>
  <c r="AK24" i="16"/>
  <c r="I24" i="16" s="1"/>
  <c r="AK20" i="16"/>
  <c r="I20" i="16" s="1"/>
  <c r="AK127" i="16"/>
  <c r="AK123" i="16"/>
  <c r="AK121" i="16"/>
  <c r="AK126" i="16"/>
  <c r="AK112" i="16"/>
  <c r="AK87" i="16"/>
  <c r="AK86" i="16"/>
  <c r="AK79" i="16"/>
  <c r="AK78" i="16"/>
  <c r="AK71" i="16"/>
  <c r="AK69" i="16"/>
  <c r="AK67" i="16"/>
  <c r="AK61" i="16"/>
  <c r="AK58" i="16"/>
  <c r="AK51" i="16"/>
  <c r="AK48" i="16"/>
  <c r="AK43" i="16"/>
  <c r="AK40" i="16"/>
  <c r="AK36" i="16"/>
  <c r="AK30" i="16"/>
  <c r="AK26" i="16"/>
  <c r="I26" i="16" s="1"/>
  <c r="AK22" i="16"/>
  <c r="I22" i="16" s="1"/>
  <c r="AK122" i="16"/>
  <c r="AK120" i="16"/>
  <c r="AK115" i="16"/>
  <c r="AK110" i="16"/>
  <c r="AK85" i="16"/>
  <c r="AK84" i="16"/>
  <c r="AK74" i="16"/>
  <c r="AK66" i="16"/>
  <c r="AK64" i="16"/>
  <c r="AK63" i="16"/>
  <c r="AK60" i="16"/>
  <c r="AK57" i="16"/>
  <c r="AK54" i="16"/>
  <c r="AK47" i="16"/>
  <c r="AK39" i="16"/>
  <c r="AK35" i="16"/>
  <c r="AK99" i="16"/>
  <c r="AK80" i="16"/>
  <c r="AK33" i="16"/>
  <c r="AK29" i="16"/>
  <c r="AK21" i="16"/>
  <c r="I21" i="16" s="1"/>
  <c r="AK52" i="16"/>
  <c r="AK49" i="16"/>
  <c r="AK46" i="16"/>
  <c r="AK41" i="16"/>
  <c r="AK90" i="16"/>
  <c r="AK27" i="16"/>
  <c r="AK19" i="16"/>
  <c r="I19" i="16" s="1"/>
  <c r="AK81" i="16"/>
  <c r="AK44" i="16"/>
  <c r="AK37" i="16"/>
  <c r="AK32" i="16"/>
  <c r="AK31" i="16"/>
  <c r="AK23" i="16"/>
  <c r="I23" i="16" s="1"/>
  <c r="AK113" i="16"/>
  <c r="AK104" i="16"/>
  <c r="AK92" i="16"/>
  <c r="AK25" i="16"/>
  <c r="I25" i="16" s="1"/>
  <c r="AK65" i="16"/>
  <c r="AK62" i="16"/>
  <c r="AK55" i="16"/>
  <c r="AK18" i="16"/>
  <c r="I18" i="16" s="1"/>
  <c r="AJ87" i="9"/>
  <c r="AJ86" i="1"/>
  <c r="AI86" i="1"/>
  <c r="W51" i="9"/>
  <c r="X51" i="9"/>
  <c r="Z51" i="7"/>
  <c r="AB51" i="7" s="1"/>
  <c r="AD51" i="7" s="1"/>
  <c r="AF51" i="7" s="1"/>
  <c r="AH51" i="7" s="1"/>
  <c r="AJ51" i="7" s="1"/>
  <c r="Y51" i="7"/>
  <c r="AG88" i="7"/>
  <c r="AG57" i="7"/>
  <c r="AE63" i="12"/>
  <c r="AE62" i="12"/>
  <c r="AE42" i="12"/>
  <c r="AE41" i="12"/>
  <c r="AE24" i="12"/>
  <c r="AE51" i="12"/>
  <c r="AE50" i="12"/>
  <c r="AE49" i="12"/>
  <c r="AE61" i="12"/>
  <c r="AE60" i="12"/>
  <c r="AE23" i="12"/>
  <c r="AE48" i="12"/>
  <c r="AE54" i="12"/>
  <c r="AE59" i="12"/>
  <c r="AE58" i="12"/>
  <c r="AE57" i="12"/>
  <c r="AE56" i="12"/>
  <c r="AE55" i="12"/>
  <c r="AE47" i="12"/>
  <c r="AE46" i="12"/>
  <c r="AE45" i="12"/>
  <c r="AE53" i="12"/>
  <c r="AE64" i="12"/>
  <c r="AE52" i="12"/>
  <c r="AE43" i="12"/>
  <c r="AE66" i="12"/>
  <c r="AE44" i="12"/>
  <c r="AF89" i="9"/>
  <c r="AE89" i="9"/>
  <c r="AI83" i="1"/>
  <c r="AI57" i="1"/>
  <c r="AI62" i="1"/>
  <c r="AI53" i="1"/>
  <c r="AI52" i="1"/>
  <c r="AA90" i="1"/>
  <c r="AB90" i="1"/>
  <c r="Y62" i="1"/>
  <c r="Z62" i="1"/>
  <c r="AF83" i="1"/>
  <c r="AH83" i="1" s="1"/>
  <c r="AJ83" i="1" s="1"/>
  <c r="AE83" i="1"/>
  <c r="AF90" i="7"/>
  <c r="AE90" i="7"/>
  <c r="Z128" i="9"/>
  <c r="Y128" i="9"/>
  <c r="Y123" i="9"/>
  <c r="Z123" i="9"/>
  <c r="Z118" i="9"/>
  <c r="Y118" i="9"/>
  <c r="Z127" i="9"/>
  <c r="Y127" i="9"/>
  <c r="Z134" i="9"/>
  <c r="Y134" i="9"/>
  <c r="Z140" i="9"/>
  <c r="Y140" i="9"/>
  <c r="Z125" i="9"/>
  <c r="Y125" i="9"/>
  <c r="Z138" i="9"/>
  <c r="Y138" i="9"/>
  <c r="Z124" i="9"/>
  <c r="Y124" i="9"/>
  <c r="Z137" i="9"/>
  <c r="Y137" i="9"/>
  <c r="Z130" i="9"/>
  <c r="Y130" i="9"/>
  <c r="Y108" i="9"/>
  <c r="Z108" i="9"/>
  <c r="Y71" i="9"/>
  <c r="Z71" i="9"/>
  <c r="AE36" i="12"/>
  <c r="AE35" i="12"/>
  <c r="AE34" i="12"/>
  <c r="AE33" i="12"/>
  <c r="AE32" i="12"/>
  <c r="AE31" i="12"/>
  <c r="AE26" i="12"/>
  <c r="AE22" i="12"/>
  <c r="AE21" i="12"/>
  <c r="AE40" i="12"/>
  <c r="AE39" i="12"/>
  <c r="AE38" i="12"/>
  <c r="AE37" i="12"/>
  <c r="AE30" i="12"/>
  <c r="AE29" i="12"/>
  <c r="AE28" i="12"/>
  <c r="AE27" i="12"/>
  <c r="AE25" i="12"/>
  <c r="AE17" i="12"/>
  <c r="AG16" i="12"/>
  <c r="AE18" i="12"/>
  <c r="AF107" i="9"/>
  <c r="AH107" i="9" s="1"/>
  <c r="AJ107" i="9" s="1"/>
  <c r="AE107" i="9"/>
  <c r="AK57" i="8"/>
  <c r="AK62" i="8"/>
  <c r="AK52" i="8"/>
  <c r="AK53" i="8"/>
  <c r="AF96" i="8"/>
  <c r="AE96" i="8"/>
  <c r="AG53" i="7"/>
  <c r="AG52" i="7"/>
  <c r="Z62" i="7"/>
  <c r="Y62" i="7"/>
  <c r="Z41" i="8"/>
  <c r="Y41" i="8"/>
  <c r="AK70" i="8"/>
  <c r="AK69" i="8"/>
  <c r="AG70" i="7"/>
  <c r="AG69" i="7"/>
  <c r="Y35" i="7"/>
  <c r="Z35" i="7"/>
  <c r="AB69" i="1"/>
  <c r="AA69" i="1"/>
  <c r="Z50" i="1"/>
  <c r="AB50" i="1" s="1"/>
  <c r="AD50" i="1" s="1"/>
  <c r="AF50" i="1" s="1"/>
  <c r="AH50" i="1" s="1"/>
  <c r="AJ50" i="1" s="1"/>
  <c r="Y50" i="1"/>
  <c r="Z39" i="1"/>
  <c r="Y39" i="1"/>
  <c r="Z37" i="1"/>
  <c r="Y37" i="1"/>
  <c r="Z42" i="1"/>
  <c r="Y42" i="1"/>
  <c r="Z49" i="1"/>
  <c r="Y49" i="1"/>
  <c r="Z54" i="1"/>
  <c r="AB54" i="1" s="1"/>
  <c r="AD54" i="1" s="1"/>
  <c r="AF54" i="1" s="1"/>
  <c r="AH54" i="1" s="1"/>
  <c r="AJ54" i="1" s="1"/>
  <c r="Y54" i="1"/>
  <c r="AB63" i="1"/>
  <c r="AD63" i="1" s="1"/>
  <c r="AF63" i="1" s="1"/>
  <c r="AH63" i="1" s="1"/>
  <c r="AJ63" i="1" s="1"/>
  <c r="AA63" i="1"/>
  <c r="AB66" i="1"/>
  <c r="AD66" i="1" s="1"/>
  <c r="AF66" i="1" s="1"/>
  <c r="AH66" i="1" s="1"/>
  <c r="AJ66" i="1" s="1"/>
  <c r="AA66" i="1"/>
  <c r="AB65" i="1"/>
  <c r="AD65" i="1" s="1"/>
  <c r="AF65" i="1" s="1"/>
  <c r="AH65" i="1" s="1"/>
  <c r="AJ65" i="1" s="1"/>
  <c r="AA65" i="1"/>
  <c r="AB64" i="1"/>
  <c r="AA64" i="1"/>
  <c r="AB40" i="1"/>
  <c r="AA40" i="1"/>
  <c r="AB67" i="1"/>
  <c r="AA67" i="1"/>
  <c r="Z36" i="1"/>
  <c r="Y36" i="1"/>
  <c r="AD68" i="1"/>
  <c r="AC68" i="1"/>
  <c r="AB35" i="1"/>
  <c r="AA35" i="1"/>
  <c r="AD41" i="1"/>
  <c r="AC41" i="1"/>
  <c r="AB34" i="1"/>
  <c r="AA34" i="1"/>
  <c r="AI88" i="1"/>
  <c r="AI70" i="1"/>
  <c r="AI69" i="1"/>
  <c r="AK31" i="1"/>
  <c r="AI41" i="1"/>
  <c r="AI56" i="1"/>
  <c r="AI73" i="1"/>
  <c r="AI79" i="1"/>
  <c r="AI32" i="1"/>
  <c r="AI36" i="1"/>
  <c r="AI38" i="1"/>
  <c r="AI40" i="1"/>
  <c r="AI42" i="1"/>
  <c r="AI47" i="1"/>
  <c r="AI49" i="1"/>
  <c r="AI51" i="1"/>
  <c r="AI55" i="1"/>
  <c r="AI63" i="1"/>
  <c r="AI65" i="1"/>
  <c r="AI67" i="1"/>
  <c r="AI72" i="1"/>
  <c r="AI74" i="1"/>
  <c r="AI76" i="1"/>
  <c r="AI78" i="1"/>
  <c r="AI80" i="1"/>
  <c r="AI82" i="1"/>
  <c r="AI33" i="1"/>
  <c r="AI37" i="1"/>
  <c r="AI39" i="1"/>
  <c r="AI44" i="1"/>
  <c r="AI48" i="1"/>
  <c r="AI50" i="1"/>
  <c r="AI54" i="1"/>
  <c r="AI64" i="1"/>
  <c r="AI66" i="1"/>
  <c r="AI68" i="1"/>
  <c r="AI75" i="1"/>
  <c r="AI77" i="1"/>
  <c r="AI81" i="1"/>
  <c r="AC70" i="9"/>
  <c r="AD70" i="9"/>
  <c r="AD69" i="8"/>
  <c r="AC69" i="8"/>
  <c r="AC70" i="8"/>
  <c r="AD70" i="8"/>
  <c r="AD70" i="7"/>
  <c r="AC70" i="7"/>
  <c r="AA69" i="7"/>
  <c r="AB69" i="7"/>
  <c r="AD32" i="9"/>
  <c r="AC32" i="9"/>
  <c r="Z38" i="1"/>
  <c r="Y38" i="1"/>
  <c r="Z39" i="9"/>
  <c r="Y39" i="9"/>
  <c r="Z54" i="9"/>
  <c r="AB54" i="9" s="1"/>
  <c r="AD54" i="9" s="1"/>
  <c r="AF54" i="9" s="1"/>
  <c r="AH54" i="9" s="1"/>
  <c r="AJ54" i="9" s="1"/>
  <c r="Y54" i="9"/>
  <c r="Z37" i="9"/>
  <c r="Y37" i="9"/>
  <c r="Z42" i="9"/>
  <c r="Y42" i="9"/>
  <c r="Z36" i="9"/>
  <c r="Y36" i="9"/>
  <c r="Z38" i="9"/>
  <c r="Y38" i="9"/>
  <c r="AD68" i="9"/>
  <c r="AF68" i="9" s="1"/>
  <c r="AH68" i="9" s="1"/>
  <c r="AJ68" i="9" s="1"/>
  <c r="AC68" i="9"/>
  <c r="AB35" i="9"/>
  <c r="AA35" i="9"/>
  <c r="Z49" i="9"/>
  <c r="Y49" i="9"/>
  <c r="AB65" i="9"/>
  <c r="AD65" i="9" s="1"/>
  <c r="AF65" i="9" s="1"/>
  <c r="AH65" i="9" s="1"/>
  <c r="AJ65" i="9" s="1"/>
  <c r="AA65" i="9"/>
  <c r="AB69" i="9"/>
  <c r="AA69" i="9"/>
  <c r="AB64" i="9"/>
  <c r="AA64" i="9"/>
  <c r="AB40" i="9"/>
  <c r="AA40" i="9"/>
  <c r="AB34" i="9"/>
  <c r="AA34" i="9"/>
  <c r="AF32" i="8"/>
  <c r="AE32" i="8"/>
  <c r="AK66" i="8"/>
  <c r="AK83" i="8"/>
  <c r="G83" i="8" s="1"/>
  <c r="AK82" i="8"/>
  <c r="G82" i="8" s="1"/>
  <c r="AK81" i="8"/>
  <c r="G81" i="8" s="1"/>
  <c r="AK80" i="8"/>
  <c r="G80" i="8" s="1"/>
  <c r="AK79" i="8"/>
  <c r="G79" i="8" s="1"/>
  <c r="AK78" i="8"/>
  <c r="G78" i="8" s="1"/>
  <c r="AK77" i="8"/>
  <c r="G77" i="8" s="1"/>
  <c r="AK76" i="8"/>
  <c r="G76" i="8" s="1"/>
  <c r="AK75" i="8"/>
  <c r="G75" i="8" s="1"/>
  <c r="AK74" i="8"/>
  <c r="G74" i="8" s="1"/>
  <c r="AK73" i="8"/>
  <c r="G73" i="8" s="1"/>
  <c r="AK72" i="8"/>
  <c r="G72" i="8" s="1"/>
  <c r="AK68" i="8"/>
  <c r="AK67" i="8"/>
  <c r="AK65" i="8"/>
  <c r="AK64" i="8"/>
  <c r="AK49" i="8"/>
  <c r="AK48" i="8"/>
  <c r="AK63" i="8"/>
  <c r="AK56" i="8"/>
  <c r="AK55" i="8"/>
  <c r="AK54" i="8"/>
  <c r="AK51" i="8"/>
  <c r="AK50" i="8"/>
  <c r="AK47" i="8"/>
  <c r="AK44" i="8"/>
  <c r="AK42" i="8"/>
  <c r="AK41" i="8"/>
  <c r="AK40" i="8"/>
  <c r="AK39" i="8"/>
  <c r="AK38" i="8"/>
  <c r="AK37" i="8"/>
  <c r="AK36" i="8"/>
  <c r="AK33" i="8"/>
  <c r="AK32" i="8"/>
  <c r="AG66" i="7"/>
  <c r="AG83" i="7"/>
  <c r="AG82" i="7"/>
  <c r="AG81" i="7"/>
  <c r="AG80" i="7"/>
  <c r="AG79" i="7"/>
  <c r="AG78" i="7"/>
  <c r="AG77" i="7"/>
  <c r="AG76" i="7"/>
  <c r="AG75" i="7"/>
  <c r="AG74" i="7"/>
  <c r="AG73" i="7"/>
  <c r="AG72" i="7"/>
  <c r="AG68" i="7"/>
  <c r="AG67" i="7"/>
  <c r="AG65" i="7"/>
  <c r="AG48" i="7"/>
  <c r="AG63" i="7"/>
  <c r="AG56" i="7"/>
  <c r="AG55" i="7"/>
  <c r="AG54" i="7"/>
  <c r="AG51" i="7"/>
  <c r="AG50" i="7"/>
  <c r="AG47" i="7"/>
  <c r="AG44" i="7"/>
  <c r="AG34" i="7"/>
  <c r="AI31" i="7"/>
  <c r="AG32" i="7"/>
  <c r="AD67" i="7"/>
  <c r="AF67" i="7" s="1"/>
  <c r="AH67" i="7" s="1"/>
  <c r="AJ67" i="7" s="1"/>
  <c r="AC67" i="7"/>
  <c r="AD40" i="7"/>
  <c r="AC40" i="7"/>
  <c r="AD68" i="7"/>
  <c r="AC68" i="7"/>
  <c r="AB41" i="7"/>
  <c r="AA41" i="7"/>
  <c r="AB36" i="7"/>
  <c r="AA36" i="7"/>
  <c r="AB38" i="9" l="1"/>
  <c r="AA38" i="9"/>
  <c r="AB49" i="21"/>
  <c r="AA49" i="21"/>
  <c r="AF33" i="8"/>
  <c r="AE33" i="8"/>
  <c r="AB49" i="1"/>
  <c r="AA49" i="1"/>
  <c r="AB49" i="9"/>
  <c r="AA49" i="9"/>
  <c r="AD58" i="1"/>
  <c r="AC58" i="1"/>
  <c r="AB62" i="1"/>
  <c r="AA62" i="1"/>
  <c r="AH33" i="1"/>
  <c r="AJ33" i="1" s="1"/>
  <c r="AG33" i="1"/>
  <c r="AB38" i="1"/>
  <c r="AA38" i="1"/>
  <c r="AB37" i="1"/>
  <c r="AA37" i="1"/>
  <c r="AD38" i="21"/>
  <c r="AC38" i="21"/>
  <c r="AH32" i="8"/>
  <c r="AJ32" i="8" s="1"/>
  <c r="AG32" i="8"/>
  <c r="G32" i="8" s="1"/>
  <c r="AB37" i="9"/>
  <c r="AA37" i="9"/>
  <c r="AF33" i="9"/>
  <c r="AE33" i="9"/>
  <c r="AF33" i="7"/>
  <c r="AE33" i="7"/>
  <c r="AD59" i="1"/>
  <c r="AC59" i="1"/>
  <c r="AD43" i="1"/>
  <c r="AC43" i="1"/>
  <c r="AB62" i="7"/>
  <c r="AA62" i="7"/>
  <c r="AD38" i="7"/>
  <c r="AC38" i="7"/>
  <c r="AD37" i="7"/>
  <c r="AC37" i="7"/>
  <c r="AD36" i="7"/>
  <c r="AC36" i="7"/>
  <c r="AD49" i="7"/>
  <c r="AC49" i="7"/>
  <c r="I163" i="16"/>
  <c r="N280" i="16"/>
  <c r="M280" i="16"/>
  <c r="F281" i="16"/>
  <c r="H282" i="16"/>
  <c r="K281" i="16"/>
  <c r="P279" i="16"/>
  <c r="O279" i="16"/>
  <c r="R278" i="16"/>
  <c r="T278" i="16" s="1"/>
  <c r="V278" i="16" s="1"/>
  <c r="X278" i="16" s="1"/>
  <c r="Z278" i="16" s="1"/>
  <c r="AB278" i="16" s="1"/>
  <c r="AD278" i="16" s="1"/>
  <c r="AF278" i="16" s="1"/>
  <c r="AH278" i="16" s="1"/>
  <c r="AJ278" i="16" s="1"/>
  <c r="Q278" i="16"/>
  <c r="I278" i="16" s="1"/>
  <c r="X52" i="26"/>
  <c r="W52" i="26"/>
  <c r="W33" i="26"/>
  <c r="X33" i="26"/>
  <c r="AB65" i="26"/>
  <c r="AD65" i="26" s="1"/>
  <c r="AF65" i="26" s="1"/>
  <c r="AH65" i="26" s="1"/>
  <c r="AJ65" i="26" s="1"/>
  <c r="AA65" i="26"/>
  <c r="G65" i="26" s="1"/>
  <c r="AB35" i="26"/>
  <c r="AA35" i="26"/>
  <c r="AB61" i="27"/>
  <c r="AA61" i="27"/>
  <c r="AB68" i="26"/>
  <c r="AA68" i="26"/>
  <c r="AD60" i="27"/>
  <c r="AF60" i="27" s="1"/>
  <c r="AH60" i="27" s="1"/>
  <c r="AC60" i="27"/>
  <c r="G60" i="27" s="1"/>
  <c r="AB34" i="26"/>
  <c r="AA34" i="26"/>
  <c r="Z70" i="24"/>
  <c r="Y70" i="24"/>
  <c r="AF69" i="26"/>
  <c r="AH69" i="26" s="1"/>
  <c r="AJ69" i="26" s="1"/>
  <c r="AE69" i="26"/>
  <c r="G69" i="26" s="1"/>
  <c r="AI43" i="7"/>
  <c r="AI84" i="7"/>
  <c r="AF107" i="26"/>
  <c r="AE107" i="26"/>
  <c r="AB90" i="26"/>
  <c r="AA90" i="26"/>
  <c r="AI67" i="9"/>
  <c r="AI114" i="9"/>
  <c r="AI113" i="9"/>
  <c r="AI115" i="9"/>
  <c r="AI112" i="9"/>
  <c r="AI104" i="9"/>
  <c r="AI43" i="9"/>
  <c r="AI85" i="9"/>
  <c r="AA63" i="26"/>
  <c r="G63" i="26" s="1"/>
  <c r="AB63" i="26"/>
  <c r="AD63" i="26" s="1"/>
  <c r="AF63" i="26" s="1"/>
  <c r="AH63" i="26" s="1"/>
  <c r="AJ63" i="26" s="1"/>
  <c r="AD70" i="26"/>
  <c r="AC70" i="26"/>
  <c r="AD67" i="26"/>
  <c r="AF67" i="26" s="1"/>
  <c r="AH67" i="26" s="1"/>
  <c r="AJ67" i="26" s="1"/>
  <c r="AC67" i="26"/>
  <c r="G67" i="26" s="1"/>
  <c r="AB64" i="26"/>
  <c r="AA64" i="26"/>
  <c r="AB40" i="26"/>
  <c r="AA40" i="26"/>
  <c r="AD67" i="9"/>
  <c r="AF67" i="9" s="1"/>
  <c r="AH67" i="9" s="1"/>
  <c r="AJ67" i="9" s="1"/>
  <c r="AC67" i="9"/>
  <c r="AF64" i="7"/>
  <c r="AE64" i="7"/>
  <c r="AA115" i="9"/>
  <c r="AB115" i="9"/>
  <c r="AD64" i="1"/>
  <c r="AC64" i="1"/>
  <c r="AC113" i="9"/>
  <c r="AD113" i="9"/>
  <c r="V59" i="26"/>
  <c r="U59" i="26"/>
  <c r="X41" i="26"/>
  <c r="W41" i="26"/>
  <c r="AB114" i="9"/>
  <c r="AA114" i="9"/>
  <c r="AB104" i="9"/>
  <c r="AD104" i="9" s="1"/>
  <c r="AF104" i="9" s="1"/>
  <c r="AH104" i="9" s="1"/>
  <c r="AJ104" i="9" s="1"/>
  <c r="AA104" i="9"/>
  <c r="AD64" i="9"/>
  <c r="AC64" i="9"/>
  <c r="Z41" i="24"/>
  <c r="Y41" i="24"/>
  <c r="AK93" i="1"/>
  <c r="G93" i="1" s="1"/>
  <c r="AK84" i="1"/>
  <c r="G84" i="1" s="1"/>
  <c r="AK85" i="1"/>
  <c r="AK43" i="1"/>
  <c r="AD85" i="7"/>
  <c r="AC85" i="7"/>
  <c r="AD85" i="8"/>
  <c r="AC85" i="8"/>
  <c r="AD85" i="1"/>
  <c r="AC85" i="1"/>
  <c r="AD86" i="9"/>
  <c r="AC86" i="9"/>
  <c r="AB43" i="9"/>
  <c r="AA43" i="9"/>
  <c r="Z43" i="7"/>
  <c r="Y43" i="7"/>
  <c r="AD66" i="21"/>
  <c r="AF66" i="21" s="1"/>
  <c r="AH66" i="21" s="1"/>
  <c r="AJ66" i="21" s="1"/>
  <c r="AC66" i="21"/>
  <c r="G66" i="21" s="1"/>
  <c r="Y41" i="21"/>
  <c r="Z41" i="21"/>
  <c r="AD68" i="21"/>
  <c r="AC68" i="21"/>
  <c r="AA69" i="21"/>
  <c r="AB69" i="21"/>
  <c r="AB37" i="18"/>
  <c r="AA37" i="18"/>
  <c r="AB58" i="21"/>
  <c r="AA58" i="21"/>
  <c r="AI100" i="9"/>
  <c r="AI101" i="9"/>
  <c r="AE96" i="21"/>
  <c r="AF96" i="21"/>
  <c r="T101" i="9"/>
  <c r="S101" i="9"/>
  <c r="AF95" i="21"/>
  <c r="AH95" i="21" s="1"/>
  <c r="AJ95" i="21" s="1"/>
  <c r="AE95" i="21"/>
  <c r="G95" i="21" s="1"/>
  <c r="V100" i="9"/>
  <c r="U100" i="9"/>
  <c r="T99" i="9"/>
  <c r="S99" i="9"/>
  <c r="T98" i="9"/>
  <c r="S98" i="9"/>
  <c r="AI87" i="9"/>
  <c r="AD130" i="17"/>
  <c r="AC130" i="17"/>
  <c r="AD3" i="17"/>
  <c r="AC3" i="17"/>
  <c r="AB131" i="17"/>
  <c r="AA131" i="17"/>
  <c r="AE35" i="17"/>
  <c r="AF35" i="17"/>
  <c r="L65" i="17"/>
  <c r="O64" i="17"/>
  <c r="R55" i="17"/>
  <c r="Q55" i="17"/>
  <c r="V61" i="17"/>
  <c r="U61" i="17"/>
  <c r="E66" i="17"/>
  <c r="G66" i="17" s="1"/>
  <c r="G65" i="17"/>
  <c r="W60" i="17"/>
  <c r="X60" i="17"/>
  <c r="S62" i="17"/>
  <c r="T62" i="17"/>
  <c r="V57" i="17"/>
  <c r="U57" i="17"/>
  <c r="Z59" i="17"/>
  <c r="Y59" i="17"/>
  <c r="W58" i="17"/>
  <c r="X58" i="17"/>
  <c r="T56" i="17"/>
  <c r="S56" i="17"/>
  <c r="R63" i="17"/>
  <c r="Q63" i="17"/>
  <c r="O54" i="17"/>
  <c r="L53" i="17"/>
  <c r="O53" i="17" s="1"/>
  <c r="AI94" i="9"/>
  <c r="AI60" i="9"/>
  <c r="AI61" i="9"/>
  <c r="AI62" i="9"/>
  <c r="AI63" i="9"/>
  <c r="AI59" i="9"/>
  <c r="AI58" i="9"/>
  <c r="AI93" i="9"/>
  <c r="AI45" i="9"/>
  <c r="AI46" i="9"/>
  <c r="AI126" i="9"/>
  <c r="AI88" i="9"/>
  <c r="Y122" i="9"/>
  <c r="G93" i="8"/>
  <c r="AI93" i="7"/>
  <c r="AI60" i="7"/>
  <c r="AI61" i="7"/>
  <c r="AI92" i="7"/>
  <c r="AI58" i="7"/>
  <c r="AI59" i="7"/>
  <c r="AI46" i="7"/>
  <c r="AI87" i="7"/>
  <c r="Y39" i="7"/>
  <c r="Z39" i="7"/>
  <c r="Z42" i="7"/>
  <c r="Y42" i="7"/>
  <c r="X50" i="7"/>
  <c r="W50" i="7"/>
  <c r="Y54" i="7"/>
  <c r="Z54" i="7"/>
  <c r="AB54" i="7" s="1"/>
  <c r="AD54" i="7" s="1"/>
  <c r="AF54" i="7" s="1"/>
  <c r="AH54" i="7" s="1"/>
  <c r="AJ54" i="7" s="1"/>
  <c r="AC70" i="1"/>
  <c r="AD70" i="1"/>
  <c r="AK61" i="1"/>
  <c r="G61" i="1" s="1"/>
  <c r="AK60" i="1"/>
  <c r="G60" i="1" s="1"/>
  <c r="AK92" i="1"/>
  <c r="G92" i="1" s="1"/>
  <c r="Z136" i="9"/>
  <c r="AB136" i="9" s="1"/>
  <c r="Z60" i="9"/>
  <c r="AB60" i="9" s="1"/>
  <c r="AD60" i="9" s="1"/>
  <c r="AF60" i="9" s="1"/>
  <c r="AH60" i="9" s="1"/>
  <c r="AJ60" i="9" s="1"/>
  <c r="Y60" i="9"/>
  <c r="Z62" i="9"/>
  <c r="Y62" i="9"/>
  <c r="Z60" i="7"/>
  <c r="AB60" i="7" s="1"/>
  <c r="AD60" i="7" s="1"/>
  <c r="AF60" i="7" s="1"/>
  <c r="AH60" i="7" s="1"/>
  <c r="AJ60" i="7" s="1"/>
  <c r="Y60" i="7"/>
  <c r="X92" i="7"/>
  <c r="W92" i="7"/>
  <c r="S47" i="17"/>
  <c r="T47" i="17"/>
  <c r="L50" i="17"/>
  <c r="O49" i="17"/>
  <c r="L40" i="17"/>
  <c r="O41" i="17"/>
  <c r="T43" i="17"/>
  <c r="S43" i="17"/>
  <c r="E51" i="17"/>
  <c r="G50" i="17"/>
  <c r="E39" i="17"/>
  <c r="G39" i="17" s="1"/>
  <c r="G40" i="17"/>
  <c r="Q48" i="17"/>
  <c r="R48" i="17"/>
  <c r="W45" i="17"/>
  <c r="X45" i="17"/>
  <c r="R42" i="17"/>
  <c r="Q42" i="17"/>
  <c r="V44" i="17"/>
  <c r="U44" i="17"/>
  <c r="U46" i="17"/>
  <c r="V46" i="17"/>
  <c r="Z93" i="9"/>
  <c r="Y93" i="9"/>
  <c r="X50" i="9"/>
  <c r="W50" i="9"/>
  <c r="AK58" i="1"/>
  <c r="AK59" i="1"/>
  <c r="AK87" i="1"/>
  <c r="G87" i="1" s="1"/>
  <c r="AK98" i="1"/>
  <c r="G98" i="1" s="1"/>
  <c r="AK96" i="1"/>
  <c r="G96" i="1" s="1"/>
  <c r="AK97" i="1"/>
  <c r="G97" i="1" s="1"/>
  <c r="AD60" i="18"/>
  <c r="AF60" i="18" s="1"/>
  <c r="AH60" i="18" s="1"/>
  <c r="AC60" i="18"/>
  <c r="G60" i="18" s="1"/>
  <c r="Z58" i="9"/>
  <c r="Y58" i="9"/>
  <c r="AB59" i="9"/>
  <c r="AA59" i="9"/>
  <c r="Z59" i="8"/>
  <c r="Y59" i="8"/>
  <c r="AB59" i="7"/>
  <c r="AA59" i="7"/>
  <c r="Z58" i="7"/>
  <c r="Y58" i="7"/>
  <c r="U131" i="9"/>
  <c r="V131" i="9"/>
  <c r="R37" i="17"/>
  <c r="Q37" i="17"/>
  <c r="AC61" i="18"/>
  <c r="G61" i="18" s="1"/>
  <c r="AD61" i="18"/>
  <c r="AF61" i="18" s="1"/>
  <c r="AH61" i="18" s="1"/>
  <c r="U126" i="9"/>
  <c r="V126" i="9"/>
  <c r="H168" i="16"/>
  <c r="K167" i="16"/>
  <c r="Q164" i="16"/>
  <c r="I164" i="16" s="1"/>
  <c r="R164" i="16"/>
  <c r="T164" i="16" s="1"/>
  <c r="V164" i="16" s="1"/>
  <c r="X164" i="16" s="1"/>
  <c r="Z164" i="16" s="1"/>
  <c r="AB164" i="16" s="1"/>
  <c r="AD164" i="16" s="1"/>
  <c r="AF164" i="16" s="1"/>
  <c r="AH164" i="16" s="1"/>
  <c r="AJ164" i="16" s="1"/>
  <c r="O165" i="16"/>
  <c r="P165" i="16"/>
  <c r="N166" i="16"/>
  <c r="M166" i="16"/>
  <c r="AA128" i="17"/>
  <c r="AB128" i="17"/>
  <c r="AC129" i="17"/>
  <c r="AD129" i="17"/>
  <c r="AI45" i="7"/>
  <c r="AI86" i="7"/>
  <c r="AK45" i="1"/>
  <c r="G45" i="1" s="1"/>
  <c r="AK46" i="1"/>
  <c r="G46" i="1" s="1"/>
  <c r="AK86" i="1"/>
  <c r="G86" i="1" s="1"/>
  <c r="AI132" i="9"/>
  <c r="AI139" i="9"/>
  <c r="AI120" i="9"/>
  <c r="AI137" i="9"/>
  <c r="AI131" i="9"/>
  <c r="AI124" i="9"/>
  <c r="AI118" i="9"/>
  <c r="AI53" i="9"/>
  <c r="AI70" i="9"/>
  <c r="AI84" i="9"/>
  <c r="AI80" i="9"/>
  <c r="AI76" i="9"/>
  <c r="AI69" i="9"/>
  <c r="AI55" i="9"/>
  <c r="AI44" i="9"/>
  <c r="AI39" i="9"/>
  <c r="AI33" i="9"/>
  <c r="AI32" i="9"/>
  <c r="AI135" i="9"/>
  <c r="AI128" i="9"/>
  <c r="AI136" i="9"/>
  <c r="AI130" i="9"/>
  <c r="AI123" i="9"/>
  <c r="AI107" i="9"/>
  <c r="AI83" i="9"/>
  <c r="AI79" i="9"/>
  <c r="AI75" i="9"/>
  <c r="AI68" i="9"/>
  <c r="AI54" i="9"/>
  <c r="AI42" i="9"/>
  <c r="AI38" i="9"/>
  <c r="AI56" i="9"/>
  <c r="AK31" i="9"/>
  <c r="AI119" i="9"/>
  <c r="AI140" i="9"/>
  <c r="AI134" i="9"/>
  <c r="AI127" i="9"/>
  <c r="AI122" i="9"/>
  <c r="AI57" i="9"/>
  <c r="AI71" i="9"/>
  <c r="AI66" i="9"/>
  <c r="AI82" i="9"/>
  <c r="AI78" i="9"/>
  <c r="AI74" i="9"/>
  <c r="AI65" i="9"/>
  <c r="AI51" i="9"/>
  <c r="AI41" i="9"/>
  <c r="AI37" i="9"/>
  <c r="AI49" i="9"/>
  <c r="AI129" i="9"/>
  <c r="AI91" i="9"/>
  <c r="AI138" i="9"/>
  <c r="AI133" i="9"/>
  <c r="AI125" i="9"/>
  <c r="AI121" i="9"/>
  <c r="AI52" i="9"/>
  <c r="AI47" i="9"/>
  <c r="AI81" i="9"/>
  <c r="AI77" i="9"/>
  <c r="AI73" i="9"/>
  <c r="AI64" i="9"/>
  <c r="AI50" i="9"/>
  <c r="AI40" i="9"/>
  <c r="AI36" i="9"/>
  <c r="AI48" i="9"/>
  <c r="X132" i="9"/>
  <c r="W132" i="9"/>
  <c r="Z129" i="9"/>
  <c r="Y129" i="9"/>
  <c r="Z139" i="9"/>
  <c r="Y139" i="9"/>
  <c r="AB135" i="9"/>
  <c r="AA135" i="9"/>
  <c r="Z119" i="9"/>
  <c r="Y119" i="9"/>
  <c r="R79" i="17"/>
  <c r="Q79" i="17"/>
  <c r="W122" i="17"/>
  <c r="X122" i="17"/>
  <c r="T26" i="17"/>
  <c r="S26" i="17"/>
  <c r="R69" i="17"/>
  <c r="Q69" i="17"/>
  <c r="U114" i="17"/>
  <c r="V114" i="17"/>
  <c r="Z29" i="17"/>
  <c r="Y29" i="17"/>
  <c r="S90" i="17"/>
  <c r="T90" i="17"/>
  <c r="R25" i="17"/>
  <c r="Q25" i="17"/>
  <c r="T76" i="17"/>
  <c r="S76" i="17"/>
  <c r="Y119" i="17"/>
  <c r="Z119" i="17"/>
  <c r="T70" i="17"/>
  <c r="S70" i="17"/>
  <c r="V87" i="17"/>
  <c r="U87" i="17"/>
  <c r="X112" i="17"/>
  <c r="W112" i="17"/>
  <c r="Q38" i="17"/>
  <c r="R38" i="17"/>
  <c r="L67" i="17"/>
  <c r="O67" i="17" s="1"/>
  <c r="O68" i="17"/>
  <c r="T118" i="17"/>
  <c r="S118" i="17"/>
  <c r="U116" i="17"/>
  <c r="V116" i="17"/>
  <c r="X32" i="17"/>
  <c r="W32" i="17"/>
  <c r="T34" i="17"/>
  <c r="S34" i="17"/>
  <c r="V71" i="17"/>
  <c r="U71" i="17"/>
  <c r="Q36" i="17"/>
  <c r="R36" i="17"/>
  <c r="R85" i="17"/>
  <c r="Q85" i="17"/>
  <c r="L93" i="17"/>
  <c r="O92" i="17"/>
  <c r="X120" i="9"/>
  <c r="W120" i="9"/>
  <c r="AC127" i="17"/>
  <c r="AD127" i="17"/>
  <c r="Y73" i="17"/>
  <c r="Z73" i="17"/>
  <c r="AC126" i="17"/>
  <c r="AD126" i="17"/>
  <c r="Y111" i="17"/>
  <c r="Z111" i="17"/>
  <c r="U27" i="17"/>
  <c r="V27" i="17"/>
  <c r="X28" i="17"/>
  <c r="W28" i="17"/>
  <c r="S86" i="17"/>
  <c r="T86" i="17"/>
  <c r="V89" i="17"/>
  <c r="U89" i="17"/>
  <c r="Z133" i="17"/>
  <c r="Y133" i="17"/>
  <c r="V124" i="17"/>
  <c r="U124" i="17"/>
  <c r="W121" i="9"/>
  <c r="X121" i="9"/>
  <c r="R77" i="17"/>
  <c r="Q77" i="17"/>
  <c r="R78" i="17"/>
  <c r="Q78" i="17"/>
  <c r="S117" i="17"/>
  <c r="T117" i="17"/>
  <c r="AB110" i="17"/>
  <c r="AA110" i="17"/>
  <c r="X134" i="17"/>
  <c r="W134" i="17"/>
  <c r="V33" i="17"/>
  <c r="U33" i="17"/>
  <c r="Y31" i="17"/>
  <c r="Z31" i="17"/>
  <c r="L81" i="17"/>
  <c r="O81" i="17" s="1"/>
  <c r="O80" i="17"/>
  <c r="Z109" i="17"/>
  <c r="Y109" i="17"/>
  <c r="W132" i="17"/>
  <c r="X132" i="17"/>
  <c r="G93" i="17"/>
  <c r="E94" i="17"/>
  <c r="G94" i="17" s="1"/>
  <c r="W115" i="17"/>
  <c r="X115" i="17"/>
  <c r="X74" i="17"/>
  <c r="W74" i="17"/>
  <c r="L83" i="17"/>
  <c r="O84" i="17"/>
  <c r="R91" i="17"/>
  <c r="Q91" i="17"/>
  <c r="W125" i="17"/>
  <c r="X125" i="17"/>
  <c r="AA30" i="17"/>
  <c r="AB30" i="17"/>
  <c r="X133" i="9"/>
  <c r="W133" i="9"/>
  <c r="V75" i="17"/>
  <c r="U75" i="17"/>
  <c r="U123" i="17"/>
  <c r="V123" i="17"/>
  <c r="R24" i="17"/>
  <c r="Q24" i="17"/>
  <c r="E118" i="17"/>
  <c r="G118" i="17" s="1"/>
  <c r="G117" i="17"/>
  <c r="X72" i="17"/>
  <c r="W72" i="17"/>
  <c r="Y121" i="17"/>
  <c r="Z121" i="17"/>
  <c r="Z108" i="17"/>
  <c r="Y108" i="17"/>
  <c r="X88" i="17"/>
  <c r="W88" i="17"/>
  <c r="G83" i="17"/>
  <c r="E82" i="17"/>
  <c r="G82" i="17" s="1"/>
  <c r="U113" i="17"/>
  <c r="V113" i="17"/>
  <c r="U120" i="17"/>
  <c r="V120" i="17"/>
  <c r="I29" i="16"/>
  <c r="I31" i="16"/>
  <c r="Y39" i="16"/>
  <c r="Z39" i="16"/>
  <c r="X44" i="16"/>
  <c r="W44" i="16"/>
  <c r="N57" i="16"/>
  <c r="M57" i="16"/>
  <c r="Y41" i="16"/>
  <c r="Z41" i="16"/>
  <c r="V49" i="16"/>
  <c r="U49" i="16"/>
  <c r="V47" i="16"/>
  <c r="U47" i="16"/>
  <c r="X46" i="16"/>
  <c r="W46" i="16"/>
  <c r="K60" i="16"/>
  <c r="K64" i="16"/>
  <c r="I27" i="16"/>
  <c r="AF34" i="16"/>
  <c r="AH34" i="16" s="1"/>
  <c r="AJ34" i="16" s="1"/>
  <c r="AE34" i="16"/>
  <c r="I34" i="16" s="1"/>
  <c r="P54" i="16"/>
  <c r="O54" i="16"/>
  <c r="AF30" i="16"/>
  <c r="AH30" i="16" s="1"/>
  <c r="AJ30" i="16" s="1"/>
  <c r="AE30" i="16"/>
  <c r="I30" i="16" s="1"/>
  <c r="AD33" i="16"/>
  <c r="AC33" i="16"/>
  <c r="AC35" i="16"/>
  <c r="AD35" i="16"/>
  <c r="AD37" i="16"/>
  <c r="AC37" i="16"/>
  <c r="M59" i="16"/>
  <c r="N59" i="16"/>
  <c r="AA38" i="16"/>
  <c r="AB38" i="16"/>
  <c r="M61" i="16"/>
  <c r="N61" i="16"/>
  <c r="R55" i="16"/>
  <c r="Q55" i="16"/>
  <c r="AB36" i="16"/>
  <c r="AA36" i="16"/>
  <c r="O58" i="16"/>
  <c r="P58" i="16"/>
  <c r="AF32" i="16"/>
  <c r="AH32" i="16" s="1"/>
  <c r="AJ32" i="16" s="1"/>
  <c r="AE32" i="16"/>
  <c r="I32" i="16" s="1"/>
  <c r="V45" i="16"/>
  <c r="U45" i="16"/>
  <c r="T52" i="16"/>
  <c r="S52" i="16"/>
  <c r="R51" i="16"/>
  <c r="Q51" i="16"/>
  <c r="AA40" i="16"/>
  <c r="AB40" i="16"/>
  <c r="S48" i="16"/>
  <c r="T48" i="16"/>
  <c r="Z43" i="16"/>
  <c r="Y43" i="16"/>
  <c r="Q53" i="16"/>
  <c r="R53" i="16"/>
  <c r="X42" i="16"/>
  <c r="W42" i="16"/>
  <c r="T50" i="16"/>
  <c r="S50" i="16"/>
  <c r="K62" i="16"/>
  <c r="P56" i="16"/>
  <c r="O56" i="16"/>
  <c r="AH89" i="9"/>
  <c r="AG89" i="9"/>
  <c r="Z51" i="9"/>
  <c r="AB51" i="9" s="1"/>
  <c r="AD51" i="9" s="1"/>
  <c r="AF51" i="9" s="1"/>
  <c r="AH51" i="9" s="1"/>
  <c r="AJ51" i="9" s="1"/>
  <c r="Y51" i="9"/>
  <c r="AI57" i="7"/>
  <c r="AI88" i="7"/>
  <c r="AG61" i="12"/>
  <c r="AG60" i="12"/>
  <c r="AG23" i="12"/>
  <c r="AG48" i="12"/>
  <c r="AG54" i="12"/>
  <c r="AG59" i="12"/>
  <c r="AG58" i="12"/>
  <c r="AG57" i="12"/>
  <c r="AG56" i="12"/>
  <c r="AG55" i="12"/>
  <c r="AG47" i="12"/>
  <c r="AG46" i="12"/>
  <c r="AG45" i="12"/>
  <c r="AG49" i="12"/>
  <c r="AG66" i="12"/>
  <c r="AG53" i="12"/>
  <c r="AG64" i="12"/>
  <c r="AG52" i="12"/>
  <c r="AG44" i="12"/>
  <c r="AG43" i="12"/>
  <c r="AG62" i="12"/>
  <c r="AG42" i="12"/>
  <c r="AG24" i="12"/>
  <c r="AG50" i="12"/>
  <c r="AG63" i="12"/>
  <c r="AG41" i="12"/>
  <c r="AG51" i="12"/>
  <c r="AK53" i="1"/>
  <c r="G53" i="1" s="1"/>
  <c r="AK52" i="1"/>
  <c r="G52" i="1" s="1"/>
  <c r="AK83" i="1"/>
  <c r="G83" i="1" s="1"/>
  <c r="AK57" i="1"/>
  <c r="G57" i="1" s="1"/>
  <c r="AK62" i="1"/>
  <c r="AF41" i="1"/>
  <c r="AE41" i="1"/>
  <c r="AD90" i="1"/>
  <c r="AC90" i="1"/>
  <c r="AH90" i="7"/>
  <c r="AG90" i="7"/>
  <c r="AA130" i="9"/>
  <c r="AB130" i="9"/>
  <c r="AA137" i="9"/>
  <c r="AB137" i="9"/>
  <c r="AA124" i="9"/>
  <c r="AB124" i="9"/>
  <c r="AA138" i="9"/>
  <c r="AB138" i="9"/>
  <c r="AA125" i="9"/>
  <c r="AB125" i="9"/>
  <c r="AA140" i="9"/>
  <c r="AB140" i="9"/>
  <c r="AA134" i="9"/>
  <c r="AB134" i="9"/>
  <c r="AA127" i="9"/>
  <c r="AB127" i="9"/>
  <c r="AB118" i="9"/>
  <c r="AA118" i="9"/>
  <c r="AB128" i="9"/>
  <c r="AA128" i="9"/>
  <c r="AB122" i="9"/>
  <c r="AA122" i="9"/>
  <c r="AB123" i="9"/>
  <c r="AA123" i="9"/>
  <c r="AB71" i="9"/>
  <c r="AA71" i="9"/>
  <c r="AA108" i="9"/>
  <c r="AB108" i="9"/>
  <c r="AG40" i="12"/>
  <c r="AG39" i="12"/>
  <c r="AG38" i="12"/>
  <c r="AG37" i="12"/>
  <c r="AG30" i="12"/>
  <c r="AG29" i="12"/>
  <c r="AG28" i="12"/>
  <c r="AG27" i="12"/>
  <c r="AG25" i="12"/>
  <c r="AG36" i="12"/>
  <c r="AG35" i="12"/>
  <c r="AG34" i="12"/>
  <c r="AG33" i="12"/>
  <c r="AG32" i="12"/>
  <c r="AG31" i="12"/>
  <c r="AG26" i="12"/>
  <c r="AG22" i="12"/>
  <c r="AG21" i="12"/>
  <c r="AG17" i="12"/>
  <c r="AG18" i="12"/>
  <c r="AI16" i="12"/>
  <c r="AH96" i="8"/>
  <c r="AG96" i="8"/>
  <c r="AI53" i="7"/>
  <c r="AI62" i="7"/>
  <c r="AI52" i="7"/>
  <c r="AB41" i="8"/>
  <c r="AA41" i="8"/>
  <c r="AI69" i="7"/>
  <c r="AI70" i="7"/>
  <c r="AA35" i="7"/>
  <c r="AB35" i="7"/>
  <c r="AK88" i="1"/>
  <c r="G88" i="1" s="1"/>
  <c r="AK70" i="1"/>
  <c r="AK69" i="1"/>
  <c r="AK63" i="1"/>
  <c r="G63" i="1" s="1"/>
  <c r="AK82" i="1"/>
  <c r="G82" i="1" s="1"/>
  <c r="AK33" i="1"/>
  <c r="G33" i="1" s="1"/>
  <c r="AK37" i="1"/>
  <c r="AK39" i="1"/>
  <c r="AK41" i="1"/>
  <c r="AK44" i="1"/>
  <c r="G44" i="1" s="1"/>
  <c r="AK48" i="1"/>
  <c r="G48" i="1" s="1"/>
  <c r="AK50" i="1"/>
  <c r="G50" i="1" s="1"/>
  <c r="AK54" i="1"/>
  <c r="G54" i="1" s="1"/>
  <c r="AK56" i="1"/>
  <c r="G56" i="1" s="1"/>
  <c r="AK64" i="1"/>
  <c r="AK66" i="1"/>
  <c r="G66" i="1" s="1"/>
  <c r="AK68" i="1"/>
  <c r="AK73" i="1"/>
  <c r="G73" i="1" s="1"/>
  <c r="AK75" i="1"/>
  <c r="G75" i="1" s="1"/>
  <c r="AK77" i="1"/>
  <c r="G77" i="1" s="1"/>
  <c r="AK79" i="1"/>
  <c r="G79" i="1" s="1"/>
  <c r="AK81" i="1"/>
  <c r="G81" i="1" s="1"/>
  <c r="AK32" i="1"/>
  <c r="G32" i="1" s="1"/>
  <c r="AK36" i="1"/>
  <c r="AK38" i="1"/>
  <c r="AK40" i="1"/>
  <c r="AK42" i="1"/>
  <c r="AK47" i="1"/>
  <c r="G47" i="1" s="1"/>
  <c r="AK49" i="1"/>
  <c r="AK51" i="1"/>
  <c r="G51" i="1" s="1"/>
  <c r="AK55" i="1"/>
  <c r="G55" i="1" s="1"/>
  <c r="AK65" i="1"/>
  <c r="G65" i="1" s="1"/>
  <c r="AK67" i="1"/>
  <c r="AK72" i="1"/>
  <c r="G72" i="1" s="1"/>
  <c r="AK74" i="1"/>
  <c r="G74" i="1" s="1"/>
  <c r="AK76" i="1"/>
  <c r="G76" i="1" s="1"/>
  <c r="AK78" i="1"/>
  <c r="G78" i="1" s="1"/>
  <c r="AK80" i="1"/>
  <c r="G80" i="1" s="1"/>
  <c r="AD34" i="1"/>
  <c r="AC34" i="1"/>
  <c r="AD35" i="1"/>
  <c r="AC35" i="1"/>
  <c r="AF68" i="1"/>
  <c r="AH68" i="1" s="1"/>
  <c r="AJ68" i="1" s="1"/>
  <c r="AE68" i="1"/>
  <c r="AB36" i="1"/>
  <c r="AA36" i="1"/>
  <c r="AD67" i="1"/>
  <c r="AF67" i="1" s="1"/>
  <c r="AH67" i="1" s="1"/>
  <c r="AJ67" i="1" s="1"/>
  <c r="AC67" i="1"/>
  <c r="AD40" i="1"/>
  <c r="AC40" i="1"/>
  <c r="AB42" i="1"/>
  <c r="AA42" i="1"/>
  <c r="AB39" i="1"/>
  <c r="AA39" i="1"/>
  <c r="AC69" i="1"/>
  <c r="AD69" i="1"/>
  <c r="AE70" i="9"/>
  <c r="AF70" i="9"/>
  <c r="AH70" i="9" s="1"/>
  <c r="AJ70" i="9" s="1"/>
  <c r="AF69" i="8"/>
  <c r="AH69" i="8" s="1"/>
  <c r="AJ69" i="8" s="1"/>
  <c r="AE69" i="8"/>
  <c r="G69" i="8" s="1"/>
  <c r="AE70" i="8"/>
  <c r="G70" i="8" s="1"/>
  <c r="AF70" i="8"/>
  <c r="AH70" i="8" s="1"/>
  <c r="AJ70" i="8" s="1"/>
  <c r="AF70" i="7"/>
  <c r="AH70" i="7" s="1"/>
  <c r="AJ70" i="7" s="1"/>
  <c r="AE70" i="7"/>
  <c r="AC69" i="7"/>
  <c r="AD69" i="7"/>
  <c r="AF32" i="9"/>
  <c r="AE32" i="9"/>
  <c r="AD34" i="9"/>
  <c r="AC34" i="9"/>
  <c r="AD40" i="9"/>
  <c r="AC40" i="9"/>
  <c r="AD69" i="9"/>
  <c r="AC69" i="9"/>
  <c r="AD35" i="9"/>
  <c r="AC35" i="9"/>
  <c r="AB36" i="9"/>
  <c r="AA36" i="9"/>
  <c r="AB42" i="9"/>
  <c r="AA42" i="9"/>
  <c r="AB39" i="9"/>
  <c r="AA39" i="9"/>
  <c r="AD41" i="7"/>
  <c r="AC41" i="7"/>
  <c r="AF68" i="7"/>
  <c r="AH68" i="7" s="1"/>
  <c r="AJ68" i="7" s="1"/>
  <c r="AE68" i="7"/>
  <c r="AF40" i="7"/>
  <c r="AE40" i="7"/>
  <c r="AI66" i="7"/>
  <c r="AI83" i="7"/>
  <c r="AI82" i="7"/>
  <c r="AI81" i="7"/>
  <c r="AI80" i="7"/>
  <c r="AI79" i="7"/>
  <c r="AI78" i="7"/>
  <c r="AI77" i="7"/>
  <c r="AI76" i="7"/>
  <c r="AI75" i="7"/>
  <c r="AI74" i="7"/>
  <c r="AI73" i="7"/>
  <c r="AI72" i="7"/>
  <c r="AI68" i="7"/>
  <c r="AI67" i="7"/>
  <c r="AI65" i="7"/>
  <c r="AI64" i="7"/>
  <c r="AI63" i="7"/>
  <c r="AI56" i="7"/>
  <c r="AI49" i="7"/>
  <c r="AI48" i="7"/>
  <c r="AI55" i="7"/>
  <c r="AI54" i="7"/>
  <c r="AI51" i="7"/>
  <c r="AI50" i="7"/>
  <c r="AI47" i="7"/>
  <c r="AI44" i="7"/>
  <c r="AI42" i="7"/>
  <c r="AI41" i="7"/>
  <c r="AI40" i="7"/>
  <c r="AI39" i="7"/>
  <c r="AI38" i="7"/>
  <c r="AI37" i="7"/>
  <c r="AI36" i="7"/>
  <c r="AI34" i="7"/>
  <c r="AI33" i="7"/>
  <c r="AI32" i="7"/>
  <c r="AK31" i="7"/>
  <c r="AH33" i="7" l="1"/>
  <c r="AJ33" i="7" s="1"/>
  <c r="AG33" i="7"/>
  <c r="AF38" i="21"/>
  <c r="AE38" i="21"/>
  <c r="AD62" i="1"/>
  <c r="AC62" i="1"/>
  <c r="AD49" i="1"/>
  <c r="AC49" i="1"/>
  <c r="AH33" i="9"/>
  <c r="AJ33" i="9" s="1"/>
  <c r="AG33" i="9"/>
  <c r="AD37" i="1"/>
  <c r="AC37" i="1"/>
  <c r="AH33" i="8"/>
  <c r="AJ33" i="8" s="1"/>
  <c r="AG33" i="8"/>
  <c r="G33" i="8" s="1"/>
  <c r="AB62" i="9"/>
  <c r="AA62" i="9"/>
  <c r="AF58" i="1"/>
  <c r="AE58" i="1"/>
  <c r="AD37" i="9"/>
  <c r="AC37" i="9"/>
  <c r="AD38" i="1"/>
  <c r="AC38" i="1"/>
  <c r="AD49" i="21"/>
  <c r="AC49" i="21"/>
  <c r="AH32" i="9"/>
  <c r="AJ32" i="9" s="1"/>
  <c r="AG32" i="9"/>
  <c r="AD49" i="9"/>
  <c r="AC49" i="9"/>
  <c r="AD36" i="9"/>
  <c r="AC36" i="9"/>
  <c r="AD36" i="1"/>
  <c r="AC36" i="1"/>
  <c r="AD38" i="9"/>
  <c r="AC38" i="9"/>
  <c r="AD59" i="9"/>
  <c r="AC59" i="9"/>
  <c r="AD58" i="21"/>
  <c r="AC58" i="21"/>
  <c r="AH41" i="1"/>
  <c r="AJ41" i="1" s="1"/>
  <c r="AG41" i="1"/>
  <c r="AF59" i="1"/>
  <c r="AE59" i="1"/>
  <c r="AD42" i="1"/>
  <c r="AC42" i="1"/>
  <c r="AD42" i="9"/>
  <c r="AC42" i="9"/>
  <c r="AD39" i="1"/>
  <c r="AC39" i="1"/>
  <c r="AD43" i="9"/>
  <c r="AC43" i="9"/>
  <c r="AD39" i="9"/>
  <c r="AC39" i="9"/>
  <c r="AF43" i="1"/>
  <c r="AE43" i="1"/>
  <c r="AF36" i="7"/>
  <c r="AE36" i="7"/>
  <c r="AD59" i="7"/>
  <c r="AC59" i="7"/>
  <c r="AH40" i="7"/>
  <c r="AJ40" i="7" s="1"/>
  <c r="AG40" i="7"/>
  <c r="AF37" i="7"/>
  <c r="AE37" i="7"/>
  <c r="AF38" i="7"/>
  <c r="AE38" i="7"/>
  <c r="AF49" i="7"/>
  <c r="AE49" i="7"/>
  <c r="AD62" i="7"/>
  <c r="AC62" i="7"/>
  <c r="N281" i="16"/>
  <c r="M281" i="16"/>
  <c r="H283" i="16"/>
  <c r="K282" i="16"/>
  <c r="F282" i="16"/>
  <c r="Q279" i="16"/>
  <c r="I279" i="16" s="1"/>
  <c r="R279" i="16"/>
  <c r="T279" i="16" s="1"/>
  <c r="V279" i="16" s="1"/>
  <c r="X279" i="16" s="1"/>
  <c r="Z279" i="16" s="1"/>
  <c r="AB279" i="16" s="1"/>
  <c r="AD279" i="16" s="1"/>
  <c r="AF279" i="16" s="1"/>
  <c r="AH279" i="16" s="1"/>
  <c r="AJ279" i="16" s="1"/>
  <c r="O280" i="16"/>
  <c r="P280" i="16"/>
  <c r="AD34" i="26"/>
  <c r="AC34" i="26"/>
  <c r="AD35" i="26"/>
  <c r="AC35" i="26"/>
  <c r="AK85" i="7"/>
  <c r="AK84" i="7"/>
  <c r="G84" i="7" s="1"/>
  <c r="AK43" i="7"/>
  <c r="AF70" i="26"/>
  <c r="AH70" i="26" s="1"/>
  <c r="AJ70" i="26" s="1"/>
  <c r="AE70" i="26"/>
  <c r="G70" i="26" s="1"/>
  <c r="AD40" i="26"/>
  <c r="AC40" i="26"/>
  <c r="Y33" i="26"/>
  <c r="Z33" i="26"/>
  <c r="AK67" i="9"/>
  <c r="G67" i="9" s="1"/>
  <c r="AK112" i="9"/>
  <c r="G112" i="9" s="1"/>
  <c r="AK113" i="9"/>
  <c r="AK114" i="9"/>
  <c r="AK115" i="9"/>
  <c r="AK104" i="9"/>
  <c r="G104" i="9" s="1"/>
  <c r="AK85" i="9"/>
  <c r="G85" i="9" s="1"/>
  <c r="AK86" i="9"/>
  <c r="AK43" i="9"/>
  <c r="AD68" i="26"/>
  <c r="AC68" i="26"/>
  <c r="AD64" i="26"/>
  <c r="AC64" i="26"/>
  <c r="AD90" i="26"/>
  <c r="AC90" i="26"/>
  <c r="AB70" i="24"/>
  <c r="AA70" i="24"/>
  <c r="AD61" i="27"/>
  <c r="AF61" i="27" s="1"/>
  <c r="AH61" i="27" s="1"/>
  <c r="AC61" i="27"/>
  <c r="G61" i="27" s="1"/>
  <c r="AG107" i="26"/>
  <c r="AH107" i="26"/>
  <c r="Y52" i="26"/>
  <c r="G52" i="26" s="1"/>
  <c r="Z52" i="26"/>
  <c r="AB52" i="26" s="1"/>
  <c r="AD52" i="26" s="1"/>
  <c r="AF52" i="26" s="1"/>
  <c r="AH52" i="26" s="1"/>
  <c r="AJ52" i="26" s="1"/>
  <c r="AH64" i="7"/>
  <c r="AJ64" i="7" s="1"/>
  <c r="AG64" i="7"/>
  <c r="AF64" i="1"/>
  <c r="AE64" i="1"/>
  <c r="AE113" i="9"/>
  <c r="G113" i="9" s="1"/>
  <c r="AF113" i="9"/>
  <c r="AH113" i="9" s="1"/>
  <c r="AJ113" i="9" s="1"/>
  <c r="AC115" i="9"/>
  <c r="AD115" i="9"/>
  <c r="Y41" i="26"/>
  <c r="Z41" i="26"/>
  <c r="AC114" i="9"/>
  <c r="AD114" i="9"/>
  <c r="W59" i="26"/>
  <c r="X59" i="26"/>
  <c r="AF64" i="9"/>
  <c r="AE64" i="9"/>
  <c r="AB41" i="24"/>
  <c r="AA41" i="24"/>
  <c r="AF86" i="9"/>
  <c r="AE86" i="9"/>
  <c r="AF85" i="8"/>
  <c r="AE85" i="8"/>
  <c r="AF85" i="7"/>
  <c r="AE85" i="7"/>
  <c r="AF85" i="1"/>
  <c r="AE85" i="1"/>
  <c r="AB43" i="7"/>
  <c r="AA43" i="7"/>
  <c r="AK101" i="9"/>
  <c r="AK100" i="9"/>
  <c r="V101" i="9"/>
  <c r="U101" i="9"/>
  <c r="AD37" i="18"/>
  <c r="AF37" i="18" s="1"/>
  <c r="AH37" i="18" s="1"/>
  <c r="AC37" i="18"/>
  <c r="G37" i="18" s="1"/>
  <c r="AF68" i="21"/>
  <c r="AH68" i="21" s="1"/>
  <c r="AJ68" i="21" s="1"/>
  <c r="AE68" i="21"/>
  <c r="G68" i="21" s="1"/>
  <c r="AH96" i="21"/>
  <c r="AG96" i="21"/>
  <c r="AD69" i="21"/>
  <c r="AC69" i="21"/>
  <c r="AA41" i="21"/>
  <c r="AB41" i="21"/>
  <c r="X100" i="9"/>
  <c r="W100" i="9"/>
  <c r="V98" i="9"/>
  <c r="U98" i="9"/>
  <c r="V99" i="9"/>
  <c r="U99" i="9"/>
  <c r="AD131" i="17"/>
  <c r="AC131" i="17"/>
  <c r="AG35" i="17"/>
  <c r="AH35" i="17"/>
  <c r="AE130" i="17"/>
  <c r="AF130" i="17"/>
  <c r="AF3" i="17"/>
  <c r="AE3" i="17"/>
  <c r="Y58" i="17"/>
  <c r="Z58" i="17"/>
  <c r="T55" i="17"/>
  <c r="S55" i="17"/>
  <c r="T63" i="17"/>
  <c r="S63" i="17"/>
  <c r="Y60" i="17"/>
  <c r="Z60" i="17"/>
  <c r="Q64" i="17"/>
  <c r="R64" i="17"/>
  <c r="R53" i="17"/>
  <c r="Q53" i="17"/>
  <c r="X57" i="17"/>
  <c r="W57" i="17"/>
  <c r="X61" i="17"/>
  <c r="W61" i="17"/>
  <c r="L66" i="17"/>
  <c r="O66" i="17" s="1"/>
  <c r="O65" i="17"/>
  <c r="R54" i="17"/>
  <c r="Q54" i="17"/>
  <c r="U56" i="17"/>
  <c r="V56" i="17"/>
  <c r="AB59" i="17"/>
  <c r="AA59" i="17"/>
  <c r="U62" i="17"/>
  <c r="V62" i="17"/>
  <c r="AK94" i="9"/>
  <c r="G94" i="9" s="1"/>
  <c r="AK61" i="9"/>
  <c r="G61" i="9" s="1"/>
  <c r="AK62" i="9"/>
  <c r="AK63" i="9"/>
  <c r="G63" i="9" s="1"/>
  <c r="AK60" i="9"/>
  <c r="G60" i="9" s="1"/>
  <c r="AK59" i="9"/>
  <c r="AK58" i="9"/>
  <c r="AK45" i="9"/>
  <c r="G45" i="9" s="1"/>
  <c r="AK46" i="9"/>
  <c r="G46" i="9" s="1"/>
  <c r="AK126" i="9"/>
  <c r="AK88" i="9"/>
  <c r="G88" i="9" s="1"/>
  <c r="AK93" i="7"/>
  <c r="G93" i="7" s="1"/>
  <c r="AK60" i="7"/>
  <c r="G60" i="7" s="1"/>
  <c r="AK61" i="7"/>
  <c r="G61" i="7" s="1"/>
  <c r="AK92" i="7"/>
  <c r="AK59" i="7"/>
  <c r="AK58" i="7"/>
  <c r="AK46" i="7"/>
  <c r="G46" i="7" s="1"/>
  <c r="AK87" i="7"/>
  <c r="G87" i="7" s="1"/>
  <c r="AA136" i="9"/>
  <c r="AB42" i="7"/>
  <c r="AA42" i="7"/>
  <c r="AA39" i="7"/>
  <c r="AB39" i="7"/>
  <c r="Y50" i="7"/>
  <c r="Z50" i="7"/>
  <c r="AB50" i="7" s="1"/>
  <c r="AD50" i="7" s="1"/>
  <c r="AF50" i="7" s="1"/>
  <c r="AH50" i="7" s="1"/>
  <c r="AJ50" i="7" s="1"/>
  <c r="AE70" i="1"/>
  <c r="G70" i="1" s="1"/>
  <c r="AF70" i="1"/>
  <c r="AH70" i="1" s="1"/>
  <c r="AJ70" i="1" s="1"/>
  <c r="Z92" i="7"/>
  <c r="Y92" i="7"/>
  <c r="Z45" i="17"/>
  <c r="Y45" i="17"/>
  <c r="E52" i="17"/>
  <c r="G52" i="17" s="1"/>
  <c r="G51" i="17"/>
  <c r="V47" i="17"/>
  <c r="U47" i="17"/>
  <c r="O40" i="17"/>
  <c r="L39" i="17"/>
  <c r="O39" i="17" s="1"/>
  <c r="X46" i="17"/>
  <c r="W46" i="17"/>
  <c r="Q49" i="17"/>
  <c r="R49" i="17"/>
  <c r="R41" i="17"/>
  <c r="Q41" i="17"/>
  <c r="W44" i="17"/>
  <c r="X44" i="17"/>
  <c r="T42" i="17"/>
  <c r="S42" i="17"/>
  <c r="T48" i="17"/>
  <c r="S48" i="17"/>
  <c r="U43" i="17"/>
  <c r="V43" i="17"/>
  <c r="O50" i="17"/>
  <c r="L51" i="17"/>
  <c r="AB93" i="9"/>
  <c r="AD93" i="9" s="1"/>
  <c r="AF93" i="9" s="1"/>
  <c r="AH93" i="9" s="1"/>
  <c r="AJ93" i="9" s="1"/>
  <c r="AK93" i="9" s="1"/>
  <c r="AA93" i="9"/>
  <c r="Y50" i="9"/>
  <c r="Z50" i="9"/>
  <c r="AB50" i="9" s="1"/>
  <c r="AD50" i="9" s="1"/>
  <c r="AF50" i="9" s="1"/>
  <c r="AH50" i="9" s="1"/>
  <c r="AJ50" i="9" s="1"/>
  <c r="G67" i="1"/>
  <c r="G68" i="1"/>
  <c r="AB58" i="9"/>
  <c r="AA58" i="9"/>
  <c r="AB59" i="8"/>
  <c r="AA59" i="8"/>
  <c r="AB58" i="7"/>
  <c r="AA58" i="7"/>
  <c r="W131" i="9"/>
  <c r="X131" i="9"/>
  <c r="T37" i="17"/>
  <c r="S37" i="17"/>
  <c r="X126" i="9"/>
  <c r="W126" i="9"/>
  <c r="Q165" i="16"/>
  <c r="I165" i="16" s="1"/>
  <c r="R165" i="16"/>
  <c r="T165" i="16" s="1"/>
  <c r="V165" i="16" s="1"/>
  <c r="X165" i="16" s="1"/>
  <c r="Z165" i="16" s="1"/>
  <c r="AB165" i="16" s="1"/>
  <c r="AD165" i="16" s="1"/>
  <c r="AF165" i="16" s="1"/>
  <c r="AH165" i="16" s="1"/>
  <c r="AJ165" i="16" s="1"/>
  <c r="N167" i="16"/>
  <c r="M167" i="16"/>
  <c r="O166" i="16"/>
  <c r="P166" i="16"/>
  <c r="H169" i="16"/>
  <c r="K168" i="16"/>
  <c r="AC128" i="17"/>
  <c r="AD128" i="17"/>
  <c r="AF129" i="17"/>
  <c r="AE129" i="17"/>
  <c r="AK45" i="7"/>
  <c r="G45" i="7" s="1"/>
  <c r="AK86" i="7"/>
  <c r="G86" i="7" s="1"/>
  <c r="G41" i="1"/>
  <c r="AK132" i="9"/>
  <c r="AK129" i="9"/>
  <c r="AK91" i="9"/>
  <c r="G91" i="9" s="1"/>
  <c r="AK53" i="9"/>
  <c r="G53" i="9" s="1"/>
  <c r="AK138" i="9"/>
  <c r="AK133" i="9"/>
  <c r="AK125" i="9"/>
  <c r="AK121" i="9"/>
  <c r="AK66" i="9"/>
  <c r="G66" i="9" s="1"/>
  <c r="AK82" i="9"/>
  <c r="G82" i="9" s="1"/>
  <c r="AK78" i="9"/>
  <c r="G78" i="9" s="1"/>
  <c r="AK74" i="9"/>
  <c r="G74" i="9" s="1"/>
  <c r="AK65" i="9"/>
  <c r="G65" i="9" s="1"/>
  <c r="AK54" i="9"/>
  <c r="G54" i="9" s="1"/>
  <c r="AK42" i="9"/>
  <c r="AK38" i="9"/>
  <c r="AK49" i="9"/>
  <c r="AK139" i="9"/>
  <c r="AK120" i="9"/>
  <c r="AK137" i="9"/>
  <c r="AK131" i="9"/>
  <c r="AK124" i="9"/>
  <c r="AK118" i="9"/>
  <c r="AK52" i="9"/>
  <c r="G52" i="9" s="1"/>
  <c r="AK71" i="9"/>
  <c r="AK81" i="9"/>
  <c r="G81" i="9" s="1"/>
  <c r="AK77" i="9"/>
  <c r="G77" i="9" s="1"/>
  <c r="AK73" i="9"/>
  <c r="G73" i="9" s="1"/>
  <c r="AK64" i="9"/>
  <c r="AK51" i="9"/>
  <c r="G51" i="9" s="1"/>
  <c r="AK41" i="9"/>
  <c r="G41" i="9" s="1"/>
  <c r="AK37" i="9"/>
  <c r="AK48" i="9"/>
  <c r="G48" i="9" s="1"/>
  <c r="AK135" i="9"/>
  <c r="AK128" i="9"/>
  <c r="AK136" i="9"/>
  <c r="AK130" i="9"/>
  <c r="AK123" i="9"/>
  <c r="AK107" i="9"/>
  <c r="G107" i="9" s="1"/>
  <c r="AK47" i="9"/>
  <c r="G47" i="9" s="1"/>
  <c r="AK84" i="9"/>
  <c r="G84" i="9" s="1"/>
  <c r="AK80" i="9"/>
  <c r="G80" i="9" s="1"/>
  <c r="AK76" i="9"/>
  <c r="G76" i="9" s="1"/>
  <c r="AK69" i="9"/>
  <c r="AK56" i="9"/>
  <c r="G56" i="9" s="1"/>
  <c r="AK50" i="9"/>
  <c r="AK40" i="9"/>
  <c r="AK36" i="9"/>
  <c r="AK32" i="9"/>
  <c r="AK119" i="9"/>
  <c r="AK140" i="9"/>
  <c r="AK134" i="9"/>
  <c r="AK127" i="9"/>
  <c r="AK122" i="9"/>
  <c r="AK57" i="9"/>
  <c r="G57" i="9" s="1"/>
  <c r="AK70" i="9"/>
  <c r="G70" i="9" s="1"/>
  <c r="AK83" i="9"/>
  <c r="G83" i="9" s="1"/>
  <c r="AK79" i="9"/>
  <c r="G79" i="9" s="1"/>
  <c r="AK75" i="9"/>
  <c r="G75" i="9" s="1"/>
  <c r="AK68" i="9"/>
  <c r="G68" i="9" s="1"/>
  <c r="AK55" i="9"/>
  <c r="G55" i="9" s="1"/>
  <c r="AK44" i="9"/>
  <c r="G44" i="9" s="1"/>
  <c r="AK39" i="9"/>
  <c r="AK33" i="9"/>
  <c r="G33" i="9" s="1"/>
  <c r="G32" i="9"/>
  <c r="AK87" i="9"/>
  <c r="G87" i="9" s="1"/>
  <c r="Z132" i="9"/>
  <c r="Y132" i="9"/>
  <c r="AB129" i="9"/>
  <c r="AA129" i="9"/>
  <c r="AB139" i="9"/>
  <c r="AA139" i="9"/>
  <c r="AD135" i="9"/>
  <c r="AC135" i="9"/>
  <c r="AB119" i="9"/>
  <c r="AA119" i="9"/>
  <c r="Q84" i="17"/>
  <c r="R84" i="17"/>
  <c r="Q80" i="17"/>
  <c r="R80" i="17"/>
  <c r="W27" i="17"/>
  <c r="X27" i="17"/>
  <c r="AF126" i="17"/>
  <c r="AE126" i="17"/>
  <c r="AF127" i="17"/>
  <c r="AE127" i="17"/>
  <c r="R92" i="17"/>
  <c r="Q92" i="17"/>
  <c r="X71" i="17"/>
  <c r="W71" i="17"/>
  <c r="Z32" i="17"/>
  <c r="Y32" i="17"/>
  <c r="U118" i="17"/>
  <c r="V118" i="17"/>
  <c r="X87" i="17"/>
  <c r="W87" i="17"/>
  <c r="L82" i="17"/>
  <c r="O82" i="17" s="1"/>
  <c r="O83" i="17"/>
  <c r="W33" i="17"/>
  <c r="X33" i="17"/>
  <c r="AB133" i="17"/>
  <c r="AA133" i="17"/>
  <c r="L94" i="17"/>
  <c r="O94" i="17" s="1"/>
  <c r="O93" i="17"/>
  <c r="S36" i="17"/>
  <c r="T36" i="17"/>
  <c r="W116" i="17"/>
  <c r="X116" i="17"/>
  <c r="Q68" i="17"/>
  <c r="R68" i="17"/>
  <c r="AD30" i="17"/>
  <c r="AC30" i="17"/>
  <c r="AB31" i="17"/>
  <c r="AA31" i="17"/>
  <c r="U117" i="17"/>
  <c r="V117" i="17"/>
  <c r="AB111" i="17"/>
  <c r="AA111" i="17"/>
  <c r="AA73" i="17"/>
  <c r="AB73" i="17"/>
  <c r="U34" i="17"/>
  <c r="V34" i="17"/>
  <c r="R67" i="17"/>
  <c r="Q67" i="17"/>
  <c r="Z112" i="17"/>
  <c r="Y112" i="17"/>
  <c r="V70" i="17"/>
  <c r="U70" i="17"/>
  <c r="V76" i="17"/>
  <c r="U76" i="17"/>
  <c r="U26" i="17"/>
  <c r="V26" i="17"/>
  <c r="W113" i="17"/>
  <c r="X113" i="17"/>
  <c r="AA121" i="17"/>
  <c r="AB121" i="17"/>
  <c r="X123" i="17"/>
  <c r="W123" i="17"/>
  <c r="Z125" i="17"/>
  <c r="Y125" i="17"/>
  <c r="Z115" i="17"/>
  <c r="Y115" i="17"/>
  <c r="Z132" i="17"/>
  <c r="Y132" i="17"/>
  <c r="Y121" i="9"/>
  <c r="Z121" i="9"/>
  <c r="V86" i="17"/>
  <c r="U86" i="17"/>
  <c r="T25" i="17"/>
  <c r="S25" i="17"/>
  <c r="AA29" i="17"/>
  <c r="AB29" i="17"/>
  <c r="T69" i="17"/>
  <c r="S69" i="17"/>
  <c r="Z88" i="17"/>
  <c r="Y88" i="17"/>
  <c r="Y133" i="9"/>
  <c r="Z133" i="9"/>
  <c r="Q81" i="17"/>
  <c r="R81" i="17"/>
  <c r="AD110" i="17"/>
  <c r="AC110" i="17"/>
  <c r="S78" i="17"/>
  <c r="T78" i="17"/>
  <c r="U90" i="17"/>
  <c r="V90" i="17"/>
  <c r="W114" i="17"/>
  <c r="X114" i="17"/>
  <c r="AB108" i="17"/>
  <c r="AA108" i="17"/>
  <c r="Y72" i="17"/>
  <c r="Z72" i="17"/>
  <c r="S24" i="17"/>
  <c r="T24" i="17"/>
  <c r="W75" i="17"/>
  <c r="X75" i="17"/>
  <c r="T91" i="17"/>
  <c r="S91" i="17"/>
  <c r="Y74" i="17"/>
  <c r="Z74" i="17"/>
  <c r="AB109" i="17"/>
  <c r="AA109" i="17"/>
  <c r="Z134" i="17"/>
  <c r="Y134" i="17"/>
  <c r="S77" i="17"/>
  <c r="T77" i="17"/>
  <c r="X124" i="17"/>
  <c r="W124" i="17"/>
  <c r="W89" i="17"/>
  <c r="X89" i="17"/>
  <c r="Y28" i="17"/>
  <c r="Z28" i="17"/>
  <c r="Y120" i="9"/>
  <c r="Z120" i="9"/>
  <c r="T85" i="17"/>
  <c r="S85" i="17"/>
  <c r="S38" i="17"/>
  <c r="T38" i="17"/>
  <c r="AA119" i="17"/>
  <c r="AB119" i="17"/>
  <c r="Z122" i="17"/>
  <c r="Y122" i="17"/>
  <c r="S79" i="17"/>
  <c r="T79" i="17"/>
  <c r="X120" i="17"/>
  <c r="W120" i="17"/>
  <c r="M62" i="16"/>
  <c r="N62" i="16"/>
  <c r="AB43" i="16"/>
  <c r="AA43" i="16"/>
  <c r="AF37" i="16"/>
  <c r="AH37" i="16" s="1"/>
  <c r="AJ37" i="16" s="1"/>
  <c r="AE37" i="16"/>
  <c r="I37" i="16" s="1"/>
  <c r="AF33" i="16"/>
  <c r="AH33" i="16" s="1"/>
  <c r="AJ33" i="16" s="1"/>
  <c r="AE33" i="16"/>
  <c r="I33" i="16" s="1"/>
  <c r="X47" i="16"/>
  <c r="W47" i="16"/>
  <c r="AA39" i="16"/>
  <c r="AB39" i="16"/>
  <c r="T53" i="16"/>
  <c r="S53" i="16"/>
  <c r="U48" i="16"/>
  <c r="V48" i="16"/>
  <c r="P61" i="16"/>
  <c r="O61" i="16"/>
  <c r="P59" i="16"/>
  <c r="O59" i="16"/>
  <c r="AF35" i="16"/>
  <c r="AH35" i="16" s="1"/>
  <c r="AJ35" i="16" s="1"/>
  <c r="AE35" i="16"/>
  <c r="I35" i="16" s="1"/>
  <c r="N64" i="16"/>
  <c r="M64" i="16"/>
  <c r="P57" i="16"/>
  <c r="O57" i="16"/>
  <c r="R56" i="16"/>
  <c r="Q56" i="16"/>
  <c r="V50" i="16"/>
  <c r="U50" i="16"/>
  <c r="T51" i="16"/>
  <c r="S51" i="16"/>
  <c r="V52" i="16"/>
  <c r="U52" i="16"/>
  <c r="AC36" i="16"/>
  <c r="AD36" i="16"/>
  <c r="K67" i="16"/>
  <c r="Z46" i="16"/>
  <c r="Y46" i="16"/>
  <c r="X49" i="16"/>
  <c r="W49" i="16"/>
  <c r="AA41" i="16"/>
  <c r="AB41" i="16"/>
  <c r="Z42" i="16"/>
  <c r="Y42" i="16"/>
  <c r="X45" i="16"/>
  <c r="W45" i="16"/>
  <c r="T55" i="16"/>
  <c r="S55" i="16"/>
  <c r="Q54" i="16"/>
  <c r="R54" i="16"/>
  <c r="K63" i="16"/>
  <c r="K65" i="16"/>
  <c r="AD40" i="16"/>
  <c r="AC40" i="16"/>
  <c r="Q58" i="16"/>
  <c r="R58" i="16"/>
  <c r="AD38" i="16"/>
  <c r="AC38" i="16"/>
  <c r="N60" i="16"/>
  <c r="M60" i="16"/>
  <c r="Z44" i="16"/>
  <c r="Y44" i="16"/>
  <c r="AJ89" i="9"/>
  <c r="AK89" i="9" s="1"/>
  <c r="AI89" i="9"/>
  <c r="AK57" i="7"/>
  <c r="G57" i="7" s="1"/>
  <c r="AK88" i="7"/>
  <c r="G88" i="7" s="1"/>
  <c r="AI54" i="12"/>
  <c r="AI59" i="12"/>
  <c r="AI58" i="12"/>
  <c r="AI57" i="12"/>
  <c r="AI56" i="12"/>
  <c r="AI55" i="12"/>
  <c r="AI47" i="12"/>
  <c r="AI46" i="12"/>
  <c r="AI45" i="12"/>
  <c r="AI66" i="12"/>
  <c r="AI53" i="12"/>
  <c r="AI64" i="12"/>
  <c r="AI52" i="12"/>
  <c r="AI44" i="12"/>
  <c r="AI43" i="12"/>
  <c r="AI23" i="12"/>
  <c r="AI63" i="12"/>
  <c r="AI62" i="12"/>
  <c r="AI42" i="12"/>
  <c r="AI41" i="12"/>
  <c r="AI24" i="12"/>
  <c r="AI51" i="12"/>
  <c r="AI50" i="12"/>
  <c r="AI49" i="12"/>
  <c r="AI60" i="12"/>
  <c r="AI61" i="12"/>
  <c r="AI48" i="12"/>
  <c r="AF90" i="1"/>
  <c r="AE90" i="1"/>
  <c r="AJ90" i="7"/>
  <c r="AK90" i="7" s="1"/>
  <c r="AI90" i="7"/>
  <c r="AC123" i="9"/>
  <c r="AD123" i="9"/>
  <c r="AD122" i="9"/>
  <c r="AC122" i="9"/>
  <c r="AD128" i="9"/>
  <c r="AC128" i="9"/>
  <c r="AD118" i="9"/>
  <c r="AC118" i="9"/>
  <c r="AD127" i="9"/>
  <c r="AC127" i="9"/>
  <c r="AD134" i="9"/>
  <c r="AC134" i="9"/>
  <c r="AD140" i="9"/>
  <c r="AC140" i="9"/>
  <c r="AD125" i="9"/>
  <c r="AC125" i="9"/>
  <c r="AD138" i="9"/>
  <c r="AC138" i="9"/>
  <c r="AD124" i="9"/>
  <c r="AC124" i="9"/>
  <c r="AD137" i="9"/>
  <c r="AC137" i="9"/>
  <c r="AD130" i="9"/>
  <c r="AC130" i="9"/>
  <c r="AD136" i="9"/>
  <c r="AC136" i="9"/>
  <c r="AD71" i="9"/>
  <c r="AC71" i="9"/>
  <c r="AC108" i="9"/>
  <c r="AD108" i="9"/>
  <c r="AI36" i="12"/>
  <c r="AI35" i="12"/>
  <c r="AI34" i="12"/>
  <c r="AI33" i="12"/>
  <c r="AI32" i="12"/>
  <c r="AI31" i="12"/>
  <c r="AI26" i="12"/>
  <c r="AI22" i="12"/>
  <c r="AI21" i="12"/>
  <c r="AI40" i="12"/>
  <c r="AI39" i="12"/>
  <c r="AI38" i="12"/>
  <c r="AI37" i="12"/>
  <c r="AI30" i="12"/>
  <c r="AI29" i="12"/>
  <c r="AI28" i="12"/>
  <c r="AI27" i="12"/>
  <c r="AI25" i="12"/>
  <c r="AI17" i="12"/>
  <c r="AI18" i="12"/>
  <c r="AE19" i="12"/>
  <c r="AE20" i="12"/>
  <c r="AJ96" i="8"/>
  <c r="AK96" i="8" s="1"/>
  <c r="AI96" i="8"/>
  <c r="AK53" i="7"/>
  <c r="G53" i="7" s="1"/>
  <c r="AK62" i="7"/>
  <c r="AK52" i="7"/>
  <c r="G52" i="7" s="1"/>
  <c r="AF41" i="7"/>
  <c r="AE41" i="7"/>
  <c r="AD41" i="8"/>
  <c r="AC41" i="8"/>
  <c r="AK70" i="7"/>
  <c r="G70" i="7" s="1"/>
  <c r="AK69" i="7"/>
  <c r="AC35" i="7"/>
  <c r="AD35" i="7"/>
  <c r="AF34" i="1"/>
  <c r="AE34" i="1"/>
  <c r="AF40" i="1"/>
  <c r="AE40" i="1"/>
  <c r="AF35" i="1"/>
  <c r="AE35" i="1"/>
  <c r="AE69" i="1"/>
  <c r="G69" i="1" s="1"/>
  <c r="AF69" i="1"/>
  <c r="AH69" i="1" s="1"/>
  <c r="AJ69" i="1" s="1"/>
  <c r="AE69" i="7"/>
  <c r="AF69" i="7"/>
  <c r="AH69" i="7" s="1"/>
  <c r="AJ69" i="7" s="1"/>
  <c r="AF35" i="9"/>
  <c r="AE35" i="9"/>
  <c r="AF69" i="9"/>
  <c r="AH69" i="9" s="1"/>
  <c r="AJ69" i="9" s="1"/>
  <c r="AE69" i="9"/>
  <c r="AF40" i="9"/>
  <c r="AE40" i="9"/>
  <c r="AF34" i="9"/>
  <c r="AE34" i="9"/>
  <c r="AK66" i="7"/>
  <c r="G66" i="7" s="1"/>
  <c r="AK83" i="7"/>
  <c r="G83" i="7" s="1"/>
  <c r="AK82" i="7"/>
  <c r="G82" i="7" s="1"/>
  <c r="AK81" i="7"/>
  <c r="G81" i="7" s="1"/>
  <c r="AK80" i="7"/>
  <c r="G80" i="7" s="1"/>
  <c r="AK79" i="7"/>
  <c r="G79" i="7" s="1"/>
  <c r="AK78" i="7"/>
  <c r="G78" i="7" s="1"/>
  <c r="AK77" i="7"/>
  <c r="G77" i="7" s="1"/>
  <c r="AK76" i="7"/>
  <c r="G76" i="7" s="1"/>
  <c r="AK75" i="7"/>
  <c r="G75" i="7" s="1"/>
  <c r="AK74" i="7"/>
  <c r="G74" i="7" s="1"/>
  <c r="AK73" i="7"/>
  <c r="G73" i="7" s="1"/>
  <c r="AK72" i="7"/>
  <c r="G72" i="7" s="1"/>
  <c r="AK68" i="7"/>
  <c r="G68" i="7" s="1"/>
  <c r="AK67" i="7"/>
  <c r="G67" i="7" s="1"/>
  <c r="AK65" i="7"/>
  <c r="G65" i="7" s="1"/>
  <c r="AK64" i="7"/>
  <c r="G64" i="7" s="1"/>
  <c r="AK49" i="7"/>
  <c r="AK48" i="7"/>
  <c r="G48" i="7" s="1"/>
  <c r="AK63" i="7"/>
  <c r="G63" i="7" s="1"/>
  <c r="AK56" i="7"/>
  <c r="G56" i="7" s="1"/>
  <c r="AK55" i="7"/>
  <c r="G55" i="7" s="1"/>
  <c r="AK54" i="7"/>
  <c r="G54" i="7" s="1"/>
  <c r="AK51" i="7"/>
  <c r="G51" i="7" s="1"/>
  <c r="AK50" i="7"/>
  <c r="AK47" i="7"/>
  <c r="G47" i="7" s="1"/>
  <c r="AK44" i="7"/>
  <c r="G44" i="7" s="1"/>
  <c r="AK42" i="7"/>
  <c r="AK41" i="7"/>
  <c r="AK40" i="7"/>
  <c r="G40" i="7" s="1"/>
  <c r="AK39" i="7"/>
  <c r="AK38" i="7"/>
  <c r="AK37" i="7"/>
  <c r="AK36" i="7"/>
  <c r="AK34" i="7"/>
  <c r="G34" i="7" s="1"/>
  <c r="AK33" i="7"/>
  <c r="G33" i="7" s="1"/>
  <c r="AK32" i="7"/>
  <c r="G32" i="7" s="1"/>
  <c r="AF38" i="9" l="1"/>
  <c r="AE38" i="9"/>
  <c r="AF49" i="9"/>
  <c r="AE49" i="9"/>
  <c r="AF37" i="9"/>
  <c r="AE37" i="9"/>
  <c r="AF62" i="1"/>
  <c r="AE62" i="1"/>
  <c r="AF37" i="1"/>
  <c r="AE37" i="1"/>
  <c r="AH58" i="1"/>
  <c r="AJ58" i="1" s="1"/>
  <c r="AG58" i="1"/>
  <c r="G58" i="1" s="1"/>
  <c r="AH38" i="21"/>
  <c r="AJ38" i="21" s="1"/>
  <c r="AG38" i="21"/>
  <c r="G38" i="21" s="1"/>
  <c r="AF36" i="1"/>
  <c r="AE36" i="1"/>
  <c r="AF49" i="21"/>
  <c r="AE49" i="21"/>
  <c r="AD62" i="9"/>
  <c r="AC62" i="9"/>
  <c r="AF36" i="9"/>
  <c r="AE36" i="9"/>
  <c r="AF38" i="1"/>
  <c r="AE38" i="1"/>
  <c r="AD58" i="9"/>
  <c r="AC58" i="9"/>
  <c r="AF49" i="1"/>
  <c r="AE49" i="1"/>
  <c r="AH41" i="7"/>
  <c r="AJ41" i="7" s="1"/>
  <c r="AG41" i="7"/>
  <c r="AF58" i="21"/>
  <c r="AE58" i="21"/>
  <c r="AD59" i="8"/>
  <c r="AC59" i="8"/>
  <c r="AH59" i="1"/>
  <c r="AJ59" i="1" s="1"/>
  <c r="AG59" i="1"/>
  <c r="G59" i="1" s="1"/>
  <c r="AF59" i="9"/>
  <c r="AE59" i="9"/>
  <c r="AF42" i="9"/>
  <c r="AE42" i="9"/>
  <c r="AF42" i="1"/>
  <c r="AE42" i="1"/>
  <c r="AH43" i="1"/>
  <c r="AJ43" i="1" s="1"/>
  <c r="AG43" i="1"/>
  <c r="G43" i="1" s="1"/>
  <c r="AF39" i="9"/>
  <c r="AE39" i="9"/>
  <c r="AF43" i="9"/>
  <c r="AE43" i="9"/>
  <c r="AF39" i="1"/>
  <c r="AE39" i="1"/>
  <c r="AD58" i="7"/>
  <c r="AC58" i="7"/>
  <c r="AD43" i="7"/>
  <c r="AC43" i="7"/>
  <c r="AH37" i="7"/>
  <c r="AJ37" i="7" s="1"/>
  <c r="AG37" i="7"/>
  <c r="G37" i="7" s="1"/>
  <c r="AD39" i="7"/>
  <c r="AC39" i="7"/>
  <c r="G40" i="1"/>
  <c r="AF62" i="7"/>
  <c r="AE62" i="7"/>
  <c r="AH40" i="9"/>
  <c r="AJ40" i="9" s="1"/>
  <c r="AG40" i="9"/>
  <c r="AH40" i="1"/>
  <c r="AJ40" i="1" s="1"/>
  <c r="AG40" i="1"/>
  <c r="AD42" i="7"/>
  <c r="AC42" i="7"/>
  <c r="AH49" i="7"/>
  <c r="AJ49" i="7" s="1"/>
  <c r="AG49" i="7"/>
  <c r="G49" i="7" s="1"/>
  <c r="AF59" i="7"/>
  <c r="AE59" i="7"/>
  <c r="AH38" i="7"/>
  <c r="AJ38" i="7" s="1"/>
  <c r="AG38" i="7"/>
  <c r="G38" i="7" s="1"/>
  <c r="AH36" i="7"/>
  <c r="AJ36" i="7" s="1"/>
  <c r="AG36" i="7"/>
  <c r="G36" i="7" s="1"/>
  <c r="I280" i="16"/>
  <c r="N282" i="16"/>
  <c r="M282" i="16"/>
  <c r="K283" i="16"/>
  <c r="H284" i="16"/>
  <c r="F283" i="16"/>
  <c r="R280" i="16"/>
  <c r="T280" i="16" s="1"/>
  <c r="V280" i="16" s="1"/>
  <c r="X280" i="16" s="1"/>
  <c r="Z280" i="16" s="1"/>
  <c r="AB280" i="16" s="1"/>
  <c r="AD280" i="16" s="1"/>
  <c r="AF280" i="16" s="1"/>
  <c r="AH280" i="16" s="1"/>
  <c r="AJ280" i="16" s="1"/>
  <c r="Q280" i="16"/>
  <c r="P281" i="16"/>
  <c r="O281" i="16"/>
  <c r="AD70" i="24"/>
  <c r="AC70" i="24"/>
  <c r="AI107" i="26"/>
  <c r="AJ107" i="26"/>
  <c r="AK107" i="26" s="1"/>
  <c r="AB33" i="26"/>
  <c r="AA33" i="26"/>
  <c r="AF90" i="26"/>
  <c r="AE90" i="26"/>
  <c r="AF64" i="26"/>
  <c r="AE64" i="26"/>
  <c r="AF40" i="26"/>
  <c r="AE40" i="26"/>
  <c r="AF35" i="26"/>
  <c r="AE35" i="26"/>
  <c r="AF68" i="26"/>
  <c r="AH68" i="26" s="1"/>
  <c r="AJ68" i="26" s="1"/>
  <c r="AE68" i="26"/>
  <c r="G68" i="26" s="1"/>
  <c r="AF34" i="26"/>
  <c r="AE34" i="26"/>
  <c r="AF115" i="9"/>
  <c r="AH115" i="9" s="1"/>
  <c r="AJ115" i="9" s="1"/>
  <c r="AE115" i="9"/>
  <c r="G115" i="9" s="1"/>
  <c r="AH64" i="1"/>
  <c r="AJ64" i="1" s="1"/>
  <c r="AG64" i="1"/>
  <c r="G64" i="1" s="1"/>
  <c r="AB41" i="26"/>
  <c r="AA41" i="26"/>
  <c r="Z59" i="26"/>
  <c r="Y59" i="26"/>
  <c r="AF114" i="9"/>
  <c r="AH114" i="9" s="1"/>
  <c r="AJ114" i="9" s="1"/>
  <c r="AE114" i="9"/>
  <c r="G114" i="9" s="1"/>
  <c r="AH64" i="9"/>
  <c r="AJ64" i="9" s="1"/>
  <c r="AG64" i="9"/>
  <c r="G64" i="9" s="1"/>
  <c r="AD41" i="24"/>
  <c r="AC41" i="24"/>
  <c r="AH85" i="1"/>
  <c r="AG85" i="1"/>
  <c r="AH86" i="9"/>
  <c r="AG86" i="9"/>
  <c r="AH85" i="7"/>
  <c r="AG85" i="7"/>
  <c r="AH85" i="8"/>
  <c r="AG85" i="8"/>
  <c r="AE69" i="21"/>
  <c r="G69" i="21" s="1"/>
  <c r="AF69" i="21"/>
  <c r="AH69" i="21" s="1"/>
  <c r="AJ69" i="21" s="1"/>
  <c r="X101" i="9"/>
  <c r="W101" i="9"/>
  <c r="AD41" i="21"/>
  <c r="AC41" i="21"/>
  <c r="AI96" i="21"/>
  <c r="AJ96" i="21"/>
  <c r="AK96" i="21" s="1"/>
  <c r="Z100" i="9"/>
  <c r="AB100" i="9" s="1"/>
  <c r="AD100" i="9" s="1"/>
  <c r="AF100" i="9" s="1"/>
  <c r="AH100" i="9" s="1"/>
  <c r="AJ100" i="9" s="1"/>
  <c r="Y100" i="9"/>
  <c r="G100" i="9" s="1"/>
  <c r="X99" i="9"/>
  <c r="W99" i="9"/>
  <c r="X98" i="9"/>
  <c r="W98" i="9"/>
  <c r="AF131" i="17"/>
  <c r="AE131" i="17"/>
  <c r="AJ35" i="17"/>
  <c r="AL35" i="17" s="1"/>
  <c r="AN35" i="17" s="1"/>
  <c r="AI35" i="17"/>
  <c r="M35" i="17" s="1"/>
  <c r="AG130" i="17"/>
  <c r="AH130" i="17"/>
  <c r="AH3" i="17"/>
  <c r="AG3" i="17"/>
  <c r="AD59" i="17"/>
  <c r="AC59" i="17"/>
  <c r="S54" i="17"/>
  <c r="T54" i="17"/>
  <c r="Z61" i="17"/>
  <c r="Y61" i="17"/>
  <c r="T53" i="17"/>
  <c r="S53" i="17"/>
  <c r="W62" i="17"/>
  <c r="X62" i="17"/>
  <c r="X56" i="17"/>
  <c r="W56" i="17"/>
  <c r="Q65" i="17"/>
  <c r="R65" i="17"/>
  <c r="S64" i="17"/>
  <c r="T64" i="17"/>
  <c r="V55" i="17"/>
  <c r="U55" i="17"/>
  <c r="Q66" i="17"/>
  <c r="R66" i="17"/>
  <c r="Z57" i="17"/>
  <c r="Y57" i="17"/>
  <c r="AA58" i="17"/>
  <c r="AB58" i="17"/>
  <c r="AA60" i="17"/>
  <c r="AB60" i="17"/>
  <c r="V63" i="17"/>
  <c r="U63" i="17"/>
  <c r="G50" i="7"/>
  <c r="G93" i="9"/>
  <c r="AB92" i="7"/>
  <c r="AD92" i="7" s="1"/>
  <c r="AF92" i="7" s="1"/>
  <c r="AH92" i="7" s="1"/>
  <c r="AJ92" i="7" s="1"/>
  <c r="AA92" i="7"/>
  <c r="G92" i="7" s="1"/>
  <c r="R39" i="17"/>
  <c r="Q39" i="17"/>
  <c r="V42" i="17"/>
  <c r="U42" i="17"/>
  <c r="R40" i="17"/>
  <c r="Q40" i="17"/>
  <c r="L52" i="17"/>
  <c r="O52" i="17" s="1"/>
  <c r="O51" i="17"/>
  <c r="Z44" i="17"/>
  <c r="Y44" i="17"/>
  <c r="X43" i="17"/>
  <c r="W43" i="17"/>
  <c r="T41" i="17"/>
  <c r="S41" i="17"/>
  <c r="R50" i="17"/>
  <c r="Q50" i="17"/>
  <c r="V48" i="17"/>
  <c r="U48" i="17"/>
  <c r="T49" i="17"/>
  <c r="S49" i="17"/>
  <c r="Z46" i="17"/>
  <c r="Y46" i="17"/>
  <c r="X47" i="17"/>
  <c r="W47" i="17"/>
  <c r="AB45" i="17"/>
  <c r="AA45" i="17"/>
  <c r="G50" i="9"/>
  <c r="U37" i="17"/>
  <c r="V37" i="17"/>
  <c r="Z131" i="9"/>
  <c r="Y131" i="9"/>
  <c r="Y126" i="9"/>
  <c r="Z126" i="9"/>
  <c r="N168" i="16"/>
  <c r="M168" i="16"/>
  <c r="H170" i="16"/>
  <c r="K169" i="16"/>
  <c r="O167" i="16"/>
  <c r="P167" i="16"/>
  <c r="Q166" i="16"/>
  <c r="I166" i="16" s="1"/>
  <c r="R166" i="16"/>
  <c r="T166" i="16" s="1"/>
  <c r="V166" i="16" s="1"/>
  <c r="X166" i="16" s="1"/>
  <c r="Z166" i="16" s="1"/>
  <c r="AB166" i="16" s="1"/>
  <c r="AD166" i="16" s="1"/>
  <c r="AF166" i="16" s="1"/>
  <c r="AH166" i="16" s="1"/>
  <c r="AJ166" i="16" s="1"/>
  <c r="AG129" i="17"/>
  <c r="AH129" i="17"/>
  <c r="AF128" i="17"/>
  <c r="AE128" i="17"/>
  <c r="G69" i="9"/>
  <c r="G40" i="9"/>
  <c r="AB132" i="9"/>
  <c r="AA132" i="9"/>
  <c r="AD129" i="9"/>
  <c r="AC129" i="9"/>
  <c r="AD139" i="9"/>
  <c r="AC139" i="9"/>
  <c r="AF135" i="9"/>
  <c r="AH135" i="9" s="1"/>
  <c r="AJ135" i="9" s="1"/>
  <c r="AE135" i="9"/>
  <c r="G135" i="9" s="1"/>
  <c r="AD119" i="9"/>
  <c r="AC119" i="9"/>
  <c r="V79" i="17"/>
  <c r="U79" i="17"/>
  <c r="AC119" i="17"/>
  <c r="AD119" i="17"/>
  <c r="Z124" i="17"/>
  <c r="Y124" i="17"/>
  <c r="V69" i="17"/>
  <c r="U69" i="17"/>
  <c r="V25" i="17"/>
  <c r="U25" i="17"/>
  <c r="AB115" i="17"/>
  <c r="AA115" i="17"/>
  <c r="Z123" i="17"/>
  <c r="Y123" i="17"/>
  <c r="X76" i="17"/>
  <c r="W76" i="17"/>
  <c r="AB112" i="17"/>
  <c r="AA112" i="17"/>
  <c r="S68" i="17"/>
  <c r="T68" i="17"/>
  <c r="U36" i="17"/>
  <c r="V36" i="17"/>
  <c r="R83" i="17"/>
  <c r="Q83" i="17"/>
  <c r="V78" i="17"/>
  <c r="U78" i="17"/>
  <c r="S81" i="17"/>
  <c r="T81" i="17"/>
  <c r="AC73" i="17"/>
  <c r="AD73" i="17"/>
  <c r="AC31" i="17"/>
  <c r="AD31" i="17"/>
  <c r="AH127" i="17"/>
  <c r="AG127" i="17"/>
  <c r="S84" i="17"/>
  <c r="T84" i="17"/>
  <c r="V85" i="17"/>
  <c r="U85" i="17"/>
  <c r="AC109" i="17"/>
  <c r="AD109" i="17"/>
  <c r="V91" i="17"/>
  <c r="U91" i="17"/>
  <c r="AC108" i="17"/>
  <c r="AD108" i="17"/>
  <c r="AA88" i="17"/>
  <c r="AB88" i="17"/>
  <c r="X86" i="17"/>
  <c r="W86" i="17"/>
  <c r="AB132" i="17"/>
  <c r="AA132" i="17"/>
  <c r="AA125" i="17"/>
  <c r="AB125" i="17"/>
  <c r="W70" i="17"/>
  <c r="X70" i="17"/>
  <c r="S67" i="17"/>
  <c r="T67" i="17"/>
  <c r="Y116" i="17"/>
  <c r="Z116" i="17"/>
  <c r="Q93" i="17"/>
  <c r="R93" i="17"/>
  <c r="Z33" i="17"/>
  <c r="Y33" i="17"/>
  <c r="AB134" i="17"/>
  <c r="AA134" i="17"/>
  <c r="AE110" i="17"/>
  <c r="AF110" i="17"/>
  <c r="AC111" i="17"/>
  <c r="AD111" i="17"/>
  <c r="W118" i="17"/>
  <c r="X118" i="17"/>
  <c r="Z27" i="17"/>
  <c r="Y27" i="17"/>
  <c r="Z89" i="17"/>
  <c r="Y89" i="17"/>
  <c r="V77" i="17"/>
  <c r="U77" i="17"/>
  <c r="U24" i="17"/>
  <c r="V24" i="17"/>
  <c r="W90" i="17"/>
  <c r="X90" i="17"/>
  <c r="AD29" i="17"/>
  <c r="AC29" i="17"/>
  <c r="AC121" i="17"/>
  <c r="AD121" i="17"/>
  <c r="X26" i="17"/>
  <c r="W26" i="17"/>
  <c r="W117" i="17"/>
  <c r="X117" i="17"/>
  <c r="AC133" i="17"/>
  <c r="AD133" i="17"/>
  <c r="Q82" i="17"/>
  <c r="R82" i="17"/>
  <c r="Y71" i="17"/>
  <c r="Z71" i="17"/>
  <c r="AA122" i="17"/>
  <c r="AB122" i="17"/>
  <c r="V38" i="17"/>
  <c r="U38" i="17"/>
  <c r="AA120" i="9"/>
  <c r="AB120" i="9"/>
  <c r="AB28" i="17"/>
  <c r="AA28" i="17"/>
  <c r="AA74" i="17"/>
  <c r="AB74" i="17"/>
  <c r="Z75" i="17"/>
  <c r="Y75" i="17"/>
  <c r="AB72" i="17"/>
  <c r="AA72" i="17"/>
  <c r="Y114" i="17"/>
  <c r="Z114" i="17"/>
  <c r="AB133" i="9"/>
  <c r="AA133" i="9"/>
  <c r="AB121" i="9"/>
  <c r="AA121" i="9"/>
  <c r="Z113" i="17"/>
  <c r="Y113" i="17"/>
  <c r="W34" i="17"/>
  <c r="X34" i="17"/>
  <c r="AE30" i="17"/>
  <c r="AF30" i="17"/>
  <c r="R94" i="17"/>
  <c r="Q94" i="17"/>
  <c r="Z87" i="17"/>
  <c r="Y87" i="17"/>
  <c r="AB32" i="17"/>
  <c r="AA32" i="17"/>
  <c r="S92" i="17"/>
  <c r="T92" i="17"/>
  <c r="AG126" i="17"/>
  <c r="AH126" i="17"/>
  <c r="T80" i="17"/>
  <c r="S80" i="17"/>
  <c r="Y120" i="17"/>
  <c r="Z120" i="17"/>
  <c r="P62" i="16"/>
  <c r="O62" i="16"/>
  <c r="AB44" i="16"/>
  <c r="AA44" i="16"/>
  <c r="AF38" i="16"/>
  <c r="AH38" i="16" s="1"/>
  <c r="AJ38" i="16" s="1"/>
  <c r="AE38" i="16"/>
  <c r="I38" i="16" s="1"/>
  <c r="AE40" i="16"/>
  <c r="I40" i="16" s="1"/>
  <c r="AF40" i="16"/>
  <c r="AH40" i="16" s="1"/>
  <c r="AJ40" i="16" s="1"/>
  <c r="K66" i="16"/>
  <c r="V55" i="16"/>
  <c r="U55" i="16"/>
  <c r="AA42" i="16"/>
  <c r="AB42" i="16"/>
  <c r="Y49" i="16"/>
  <c r="Z49" i="16"/>
  <c r="N67" i="16"/>
  <c r="M67" i="16"/>
  <c r="X52" i="16"/>
  <c r="W52" i="16"/>
  <c r="W50" i="16"/>
  <c r="X50" i="16"/>
  <c r="R57" i="16"/>
  <c r="Q57" i="16"/>
  <c r="R61" i="16"/>
  <c r="Q61" i="16"/>
  <c r="V53" i="16"/>
  <c r="U53" i="16"/>
  <c r="Z47" i="16"/>
  <c r="Y47" i="16"/>
  <c r="S58" i="16"/>
  <c r="T58" i="16"/>
  <c r="N65" i="16"/>
  <c r="M65" i="16"/>
  <c r="S54" i="16"/>
  <c r="T54" i="16"/>
  <c r="AC41" i="16"/>
  <c r="AD41" i="16"/>
  <c r="AF36" i="16"/>
  <c r="AH36" i="16" s="1"/>
  <c r="AJ36" i="16" s="1"/>
  <c r="AE36" i="16"/>
  <c r="I36" i="16" s="1"/>
  <c r="X48" i="16"/>
  <c r="W48" i="16"/>
  <c r="AC39" i="16"/>
  <c r="AD39" i="16"/>
  <c r="N63" i="16"/>
  <c r="M63" i="16"/>
  <c r="K70" i="16"/>
  <c r="P60" i="16"/>
  <c r="O60" i="16"/>
  <c r="K68" i="16"/>
  <c r="Y45" i="16"/>
  <c r="Z45" i="16"/>
  <c r="AB46" i="16"/>
  <c r="AA46" i="16"/>
  <c r="V51" i="16"/>
  <c r="U51" i="16"/>
  <c r="T56" i="16"/>
  <c r="S56" i="16"/>
  <c r="P64" i="16"/>
  <c r="O64" i="16"/>
  <c r="R59" i="16"/>
  <c r="Q59" i="16"/>
  <c r="AD43" i="16"/>
  <c r="AC43" i="16"/>
  <c r="G89" i="9"/>
  <c r="G41" i="7"/>
  <c r="AH90" i="1"/>
  <c r="AG90" i="1"/>
  <c r="G90" i="7"/>
  <c r="AE123" i="9"/>
  <c r="G123" i="9" s="1"/>
  <c r="AF123" i="9"/>
  <c r="AH123" i="9" s="1"/>
  <c r="AJ123" i="9" s="1"/>
  <c r="AF136" i="9"/>
  <c r="AH136" i="9" s="1"/>
  <c r="AJ136" i="9" s="1"/>
  <c r="AE136" i="9"/>
  <c r="G136" i="9" s="1"/>
  <c r="AF130" i="9"/>
  <c r="AH130" i="9" s="1"/>
  <c r="AJ130" i="9" s="1"/>
  <c r="AE130" i="9"/>
  <c r="G130" i="9" s="1"/>
  <c r="AF137" i="9"/>
  <c r="AH137" i="9" s="1"/>
  <c r="AJ137" i="9" s="1"/>
  <c r="AE137" i="9"/>
  <c r="G137" i="9" s="1"/>
  <c r="AF124" i="9"/>
  <c r="AH124" i="9" s="1"/>
  <c r="AJ124" i="9" s="1"/>
  <c r="AE124" i="9"/>
  <c r="G124" i="9" s="1"/>
  <c r="AF138" i="9"/>
  <c r="AH138" i="9" s="1"/>
  <c r="AJ138" i="9" s="1"/>
  <c r="AE138" i="9"/>
  <c r="G138" i="9" s="1"/>
  <c r="AF125" i="9"/>
  <c r="AH125" i="9" s="1"/>
  <c r="AJ125" i="9" s="1"/>
  <c r="AE125" i="9"/>
  <c r="G125" i="9" s="1"/>
  <c r="AF140" i="9"/>
  <c r="AH140" i="9" s="1"/>
  <c r="AJ140" i="9" s="1"/>
  <c r="AE140" i="9"/>
  <c r="G140" i="9" s="1"/>
  <c r="AF134" i="9"/>
  <c r="AH134" i="9" s="1"/>
  <c r="AJ134" i="9" s="1"/>
  <c r="AE134" i="9"/>
  <c r="G134" i="9" s="1"/>
  <c r="AF127" i="9"/>
  <c r="AH127" i="9" s="1"/>
  <c r="AJ127" i="9" s="1"/>
  <c r="AE127" i="9"/>
  <c r="G127" i="9" s="1"/>
  <c r="AF118" i="9"/>
  <c r="AH118" i="9" s="1"/>
  <c r="AJ118" i="9" s="1"/>
  <c r="AE118" i="9"/>
  <c r="G118" i="9" s="1"/>
  <c r="AF128" i="9"/>
  <c r="AH128" i="9" s="1"/>
  <c r="AJ128" i="9" s="1"/>
  <c r="AE128" i="9"/>
  <c r="G128" i="9" s="1"/>
  <c r="AF122" i="9"/>
  <c r="AH122" i="9" s="1"/>
  <c r="AJ122" i="9" s="1"/>
  <c r="AE122" i="9"/>
  <c r="G122" i="9" s="1"/>
  <c r="AE71" i="9"/>
  <c r="G71" i="9" s="1"/>
  <c r="AF71" i="9"/>
  <c r="AH71" i="9" s="1"/>
  <c r="AJ71" i="9" s="1"/>
  <c r="AE108" i="9"/>
  <c r="AF108" i="9"/>
  <c r="AG20" i="12"/>
  <c r="AG19" i="12"/>
  <c r="G96" i="8"/>
  <c r="AF41" i="8"/>
  <c r="AE41" i="8"/>
  <c r="G69" i="7"/>
  <c r="AF35" i="7"/>
  <c r="AE35" i="7"/>
  <c r="AH35" i="1"/>
  <c r="AG35" i="1"/>
  <c r="AH34" i="1"/>
  <c r="AG34" i="1"/>
  <c r="AH34" i="9"/>
  <c r="AG34" i="9"/>
  <c r="AH35" i="9"/>
  <c r="AG35" i="9"/>
  <c r="AH38" i="1" l="1"/>
  <c r="AJ38" i="1" s="1"/>
  <c r="AG38" i="1"/>
  <c r="G38" i="1" s="1"/>
  <c r="AH37" i="9"/>
  <c r="AJ37" i="9" s="1"/>
  <c r="AG37" i="9"/>
  <c r="G37" i="9" s="1"/>
  <c r="AH49" i="21"/>
  <c r="AJ49" i="21" s="1"/>
  <c r="AG49" i="21"/>
  <c r="G49" i="21" s="1"/>
  <c r="AH36" i="9"/>
  <c r="AJ36" i="9" s="1"/>
  <c r="AG36" i="9"/>
  <c r="G36" i="9" s="1"/>
  <c r="AH49" i="9"/>
  <c r="AJ49" i="9" s="1"/>
  <c r="AG49" i="9"/>
  <c r="G49" i="9" s="1"/>
  <c r="AH36" i="1"/>
  <c r="AJ36" i="1" s="1"/>
  <c r="AG36" i="1"/>
  <c r="G36" i="1" s="1"/>
  <c r="AH37" i="1"/>
  <c r="AJ37" i="1" s="1"/>
  <c r="AG37" i="1"/>
  <c r="G37" i="1" s="1"/>
  <c r="AH49" i="1"/>
  <c r="AJ49" i="1" s="1"/>
  <c r="AG49" i="1"/>
  <c r="G49" i="1" s="1"/>
  <c r="AF62" i="9"/>
  <c r="AE62" i="9"/>
  <c r="AH38" i="9"/>
  <c r="AJ38" i="9" s="1"/>
  <c r="AG38" i="9"/>
  <c r="G38" i="9" s="1"/>
  <c r="AD33" i="26"/>
  <c r="AC33" i="26"/>
  <c r="AF58" i="9"/>
  <c r="AE58" i="9"/>
  <c r="AH62" i="1"/>
  <c r="AJ62" i="1" s="1"/>
  <c r="AG62" i="1"/>
  <c r="G62" i="1" s="1"/>
  <c r="AF59" i="8"/>
  <c r="AE59" i="8"/>
  <c r="AH58" i="21"/>
  <c r="AJ58" i="21" s="1"/>
  <c r="AG58" i="21"/>
  <c r="G58" i="21" s="1"/>
  <c r="AH59" i="9"/>
  <c r="AJ59" i="9" s="1"/>
  <c r="AG59" i="9"/>
  <c r="G59" i="9" s="1"/>
  <c r="AH41" i="8"/>
  <c r="AJ41" i="8" s="1"/>
  <c r="AG41" i="8"/>
  <c r="G41" i="8" s="1"/>
  <c r="AH42" i="1"/>
  <c r="AJ42" i="1" s="1"/>
  <c r="AG42" i="1"/>
  <c r="G42" i="1" s="1"/>
  <c r="AH42" i="9"/>
  <c r="AJ42" i="9" s="1"/>
  <c r="AG42" i="9"/>
  <c r="G42" i="9" s="1"/>
  <c r="AH39" i="9"/>
  <c r="AJ39" i="9" s="1"/>
  <c r="AG39" i="9"/>
  <c r="G39" i="9" s="1"/>
  <c r="AH39" i="1"/>
  <c r="AJ39" i="1" s="1"/>
  <c r="AG39" i="1"/>
  <c r="G39" i="1" s="1"/>
  <c r="AH43" i="9"/>
  <c r="AJ43" i="9" s="1"/>
  <c r="AG43" i="9"/>
  <c r="G43" i="9" s="1"/>
  <c r="AH59" i="7"/>
  <c r="AJ59" i="7" s="1"/>
  <c r="AG59" i="7"/>
  <c r="G59" i="7" s="1"/>
  <c r="AF39" i="7"/>
  <c r="AE39" i="7"/>
  <c r="AH40" i="26"/>
  <c r="AJ40" i="26" s="1"/>
  <c r="AG40" i="26"/>
  <c r="G40" i="26" s="1"/>
  <c r="AH62" i="7"/>
  <c r="AJ62" i="7" s="1"/>
  <c r="AG62" i="7"/>
  <c r="G62" i="7" s="1"/>
  <c r="AF42" i="7"/>
  <c r="AE42" i="7"/>
  <c r="AF43" i="7"/>
  <c r="AE43" i="7"/>
  <c r="AF58" i="7"/>
  <c r="AE58" i="7"/>
  <c r="I281" i="16"/>
  <c r="F284" i="16"/>
  <c r="H285" i="16"/>
  <c r="K284" i="16"/>
  <c r="N283" i="16"/>
  <c r="M283" i="16"/>
  <c r="P282" i="16"/>
  <c r="O282" i="16"/>
  <c r="R281" i="16"/>
  <c r="T281" i="16" s="1"/>
  <c r="V281" i="16" s="1"/>
  <c r="X281" i="16" s="1"/>
  <c r="Z281" i="16" s="1"/>
  <c r="AB281" i="16" s="1"/>
  <c r="AD281" i="16" s="1"/>
  <c r="AF281" i="16" s="1"/>
  <c r="AH281" i="16" s="1"/>
  <c r="AJ281" i="16" s="1"/>
  <c r="Q281" i="16"/>
  <c r="AH35" i="26"/>
  <c r="AG35" i="26"/>
  <c r="G107" i="26"/>
  <c r="AH34" i="26"/>
  <c r="AG34" i="26"/>
  <c r="AH64" i="26"/>
  <c r="AJ64" i="26" s="1"/>
  <c r="AG64" i="26"/>
  <c r="G64" i="26" s="1"/>
  <c r="AF70" i="24"/>
  <c r="AH70" i="24" s="1"/>
  <c r="AJ70" i="24" s="1"/>
  <c r="AE70" i="24"/>
  <c r="G70" i="24" s="1"/>
  <c r="AH90" i="26"/>
  <c r="AG90" i="26"/>
  <c r="AB59" i="26"/>
  <c r="AA59" i="26"/>
  <c r="AD41" i="26"/>
  <c r="AC41" i="26"/>
  <c r="AE41" i="24"/>
  <c r="AF41" i="24"/>
  <c r="AJ85" i="8"/>
  <c r="AI85" i="8"/>
  <c r="G85" i="8" s="1"/>
  <c r="AJ85" i="7"/>
  <c r="AI85" i="7"/>
  <c r="G85" i="7" s="1"/>
  <c r="AJ85" i="1"/>
  <c r="AI85" i="1"/>
  <c r="G85" i="1" s="1"/>
  <c r="AJ86" i="9"/>
  <c r="AI86" i="9"/>
  <c r="G86" i="9" s="1"/>
  <c r="G96" i="21"/>
  <c r="Z101" i="9"/>
  <c r="AB101" i="9" s="1"/>
  <c r="AD101" i="9" s="1"/>
  <c r="AF101" i="9" s="1"/>
  <c r="AH101" i="9" s="1"/>
  <c r="AJ101" i="9" s="1"/>
  <c r="Y101" i="9"/>
  <c r="G101" i="9" s="1"/>
  <c r="AE41" i="21"/>
  <c r="AF41" i="21"/>
  <c r="Z98" i="9"/>
  <c r="Y98" i="9"/>
  <c r="Z99" i="9"/>
  <c r="Y99" i="9"/>
  <c r="AJ130" i="17"/>
  <c r="AL130" i="17" s="1"/>
  <c r="AN130" i="17" s="1"/>
  <c r="AI130" i="17"/>
  <c r="M130" i="17" s="1"/>
  <c r="AH131" i="17"/>
  <c r="AG131" i="17"/>
  <c r="AJ3" i="17"/>
  <c r="AL3" i="17" s="1"/>
  <c r="AN3" i="17" s="1"/>
  <c r="AI3" i="17"/>
  <c r="M3" i="17" s="1"/>
  <c r="X63" i="17"/>
  <c r="W63" i="17"/>
  <c r="U64" i="17"/>
  <c r="V64" i="17"/>
  <c r="V54" i="17"/>
  <c r="U54" i="17"/>
  <c r="AC60" i="17"/>
  <c r="AD60" i="17"/>
  <c r="Y56" i="17"/>
  <c r="Z56" i="17"/>
  <c r="V53" i="17"/>
  <c r="U53" i="17"/>
  <c r="AC58" i="17"/>
  <c r="AD58" i="17"/>
  <c r="AB57" i="17"/>
  <c r="AA57" i="17"/>
  <c r="S65" i="17"/>
  <c r="T65" i="17"/>
  <c r="Y62" i="17"/>
  <c r="Z62" i="17"/>
  <c r="S66" i="17"/>
  <c r="T66" i="17"/>
  <c r="X55" i="17"/>
  <c r="W55" i="17"/>
  <c r="AB61" i="17"/>
  <c r="AA61" i="17"/>
  <c r="AF59" i="17"/>
  <c r="AE59" i="17"/>
  <c r="AD45" i="17"/>
  <c r="AC45" i="17"/>
  <c r="V41" i="17"/>
  <c r="U41" i="17"/>
  <c r="Q52" i="17"/>
  <c r="R52" i="17"/>
  <c r="Z47" i="17"/>
  <c r="Y47" i="17"/>
  <c r="U49" i="17"/>
  <c r="V49" i="17"/>
  <c r="S50" i="17"/>
  <c r="T50" i="17"/>
  <c r="AB44" i="17"/>
  <c r="AA44" i="17"/>
  <c r="T40" i="17"/>
  <c r="S40" i="17"/>
  <c r="T39" i="17"/>
  <c r="S39" i="17"/>
  <c r="AB46" i="17"/>
  <c r="AA46" i="17"/>
  <c r="X48" i="17"/>
  <c r="W48" i="17"/>
  <c r="Z43" i="17"/>
  <c r="Y43" i="17"/>
  <c r="X42" i="17"/>
  <c r="W42" i="17"/>
  <c r="R51" i="17"/>
  <c r="Q51" i="17"/>
  <c r="X37" i="17"/>
  <c r="W37" i="17"/>
  <c r="AA131" i="9"/>
  <c r="AB131" i="9"/>
  <c r="AB126" i="9"/>
  <c r="AA126" i="9"/>
  <c r="R167" i="16"/>
  <c r="T167" i="16" s="1"/>
  <c r="V167" i="16" s="1"/>
  <c r="X167" i="16" s="1"/>
  <c r="Z167" i="16" s="1"/>
  <c r="AB167" i="16" s="1"/>
  <c r="AD167" i="16" s="1"/>
  <c r="AF167" i="16" s="1"/>
  <c r="AH167" i="16" s="1"/>
  <c r="AJ167" i="16" s="1"/>
  <c r="Q167" i="16"/>
  <c r="I167" i="16" s="1"/>
  <c r="H171" i="16"/>
  <c r="K170" i="16"/>
  <c r="N169" i="16"/>
  <c r="M169" i="16"/>
  <c r="O168" i="16"/>
  <c r="P168" i="16"/>
  <c r="AH128" i="17"/>
  <c r="AG128" i="17"/>
  <c r="AJ129" i="17"/>
  <c r="AL129" i="17" s="1"/>
  <c r="AN129" i="17" s="1"/>
  <c r="AI129" i="17"/>
  <c r="M129" i="17" s="1"/>
  <c r="AD132" i="9"/>
  <c r="AC132" i="9"/>
  <c r="AF129" i="9"/>
  <c r="AH129" i="9" s="1"/>
  <c r="AJ129" i="9" s="1"/>
  <c r="AE129" i="9"/>
  <c r="G129" i="9" s="1"/>
  <c r="AF139" i="9"/>
  <c r="AH139" i="9" s="1"/>
  <c r="AJ139" i="9" s="1"/>
  <c r="AE139" i="9"/>
  <c r="G139" i="9" s="1"/>
  <c r="AF119" i="9"/>
  <c r="AH119" i="9" s="1"/>
  <c r="AJ119" i="9" s="1"/>
  <c r="AE119" i="9"/>
  <c r="G119" i="9" s="1"/>
  <c r="AC121" i="9"/>
  <c r="AD121" i="9"/>
  <c r="AA75" i="17"/>
  <c r="AB75" i="17"/>
  <c r="W38" i="17"/>
  <c r="X38" i="17"/>
  <c r="Y26" i="17"/>
  <c r="Z26" i="17"/>
  <c r="AF29" i="17"/>
  <c r="AE29" i="17"/>
  <c r="AB89" i="17"/>
  <c r="AA89" i="17"/>
  <c r="AD88" i="17"/>
  <c r="AC88" i="17"/>
  <c r="AH30" i="17"/>
  <c r="AG30" i="17"/>
  <c r="AD74" i="17"/>
  <c r="AC74" i="17"/>
  <c r="AC122" i="17"/>
  <c r="AD122" i="17"/>
  <c r="AF121" i="17"/>
  <c r="AE121" i="17"/>
  <c r="V67" i="17"/>
  <c r="U67" i="17"/>
  <c r="AD132" i="17"/>
  <c r="AC132" i="17"/>
  <c r="X91" i="17"/>
  <c r="W91" i="17"/>
  <c r="W85" i="17"/>
  <c r="X85" i="17"/>
  <c r="AJ127" i="17"/>
  <c r="AL127" i="17" s="1"/>
  <c r="AN127" i="17" s="1"/>
  <c r="AI127" i="17"/>
  <c r="M127" i="17" s="1"/>
  <c r="X25" i="17"/>
  <c r="W25" i="17"/>
  <c r="V80" i="17"/>
  <c r="U80" i="17"/>
  <c r="AA87" i="17"/>
  <c r="AB87" i="17"/>
  <c r="AA113" i="17"/>
  <c r="AB113" i="17"/>
  <c r="AD133" i="9"/>
  <c r="AC133" i="9"/>
  <c r="AC72" i="17"/>
  <c r="AD72" i="17"/>
  <c r="W77" i="17"/>
  <c r="X77" i="17"/>
  <c r="AB27" i="17"/>
  <c r="AA27" i="17"/>
  <c r="AC134" i="17"/>
  <c r="AD134" i="17"/>
  <c r="AD125" i="17"/>
  <c r="AC125" i="17"/>
  <c r="AF108" i="17"/>
  <c r="AE108" i="17"/>
  <c r="AF109" i="17"/>
  <c r="AE109" i="17"/>
  <c r="V84" i="17"/>
  <c r="U84" i="17"/>
  <c r="AE31" i="17"/>
  <c r="AF31" i="17"/>
  <c r="U81" i="17"/>
  <c r="V81" i="17"/>
  <c r="U68" i="17"/>
  <c r="V68" i="17"/>
  <c r="AF119" i="17"/>
  <c r="AE119" i="17"/>
  <c r="AC32" i="17"/>
  <c r="AD32" i="17"/>
  <c r="S94" i="17"/>
  <c r="T94" i="17"/>
  <c r="AD28" i="17"/>
  <c r="AC28" i="17"/>
  <c r="AB33" i="17"/>
  <c r="AA33" i="17"/>
  <c r="AE73" i="17"/>
  <c r="AF73" i="17"/>
  <c r="X36" i="17"/>
  <c r="W36" i="17"/>
  <c r="U92" i="17"/>
  <c r="V92" i="17"/>
  <c r="AD120" i="9"/>
  <c r="AC120" i="9"/>
  <c r="T82" i="17"/>
  <c r="S82" i="17"/>
  <c r="Y117" i="17"/>
  <c r="Z117" i="17"/>
  <c r="Y90" i="17"/>
  <c r="Z90" i="17"/>
  <c r="AF111" i="17"/>
  <c r="AE111" i="17"/>
  <c r="T93" i="17"/>
  <c r="S93" i="17"/>
  <c r="W78" i="17"/>
  <c r="X78" i="17"/>
  <c r="AD112" i="17"/>
  <c r="AC112" i="17"/>
  <c r="AB123" i="17"/>
  <c r="AA123" i="17"/>
  <c r="AB124" i="17"/>
  <c r="AA124" i="17"/>
  <c r="W79" i="17"/>
  <c r="X79" i="17"/>
  <c r="AI126" i="17"/>
  <c r="M126" i="17" s="1"/>
  <c r="AJ126" i="17"/>
  <c r="AL126" i="17" s="1"/>
  <c r="AN126" i="17" s="1"/>
  <c r="Y34" i="17"/>
  <c r="Z34" i="17"/>
  <c r="AA114" i="17"/>
  <c r="AB114" i="17"/>
  <c r="AB71" i="17"/>
  <c r="AA71" i="17"/>
  <c r="AE133" i="17"/>
  <c r="AF133" i="17"/>
  <c r="X24" i="17"/>
  <c r="W24" i="17"/>
  <c r="Y118" i="17"/>
  <c r="Z118" i="17"/>
  <c r="AG110" i="17"/>
  <c r="AH110" i="17"/>
  <c r="AB116" i="17"/>
  <c r="AA116" i="17"/>
  <c r="Z70" i="17"/>
  <c r="Y70" i="17"/>
  <c r="Z86" i="17"/>
  <c r="Y86" i="17"/>
  <c r="S83" i="17"/>
  <c r="T83" i="17"/>
  <c r="Y76" i="17"/>
  <c r="Z76" i="17"/>
  <c r="AC115" i="17"/>
  <c r="AD115" i="17"/>
  <c r="W69" i="17"/>
  <c r="X69" i="17"/>
  <c r="AA120" i="17"/>
  <c r="AB120" i="17"/>
  <c r="AF43" i="16"/>
  <c r="AH43" i="16" s="1"/>
  <c r="AJ43" i="16" s="1"/>
  <c r="AE43" i="16"/>
  <c r="I43" i="16" s="1"/>
  <c r="AD46" i="16"/>
  <c r="AC46" i="16"/>
  <c r="R60" i="16"/>
  <c r="Q60" i="16"/>
  <c r="O65" i="16"/>
  <c r="P65" i="16"/>
  <c r="W53" i="16"/>
  <c r="X53" i="16"/>
  <c r="T57" i="16"/>
  <c r="S57" i="16"/>
  <c r="Z52" i="16"/>
  <c r="Y52" i="16"/>
  <c r="X55" i="16"/>
  <c r="W55" i="16"/>
  <c r="AC44" i="16"/>
  <c r="AD44" i="16"/>
  <c r="R64" i="16"/>
  <c r="Q64" i="16"/>
  <c r="X51" i="16"/>
  <c r="W51" i="16"/>
  <c r="N68" i="16"/>
  <c r="M68" i="16"/>
  <c r="K73" i="16"/>
  <c r="P63" i="16"/>
  <c r="O63" i="16"/>
  <c r="Y48" i="16"/>
  <c r="Z48" i="16"/>
  <c r="V54" i="16"/>
  <c r="U54" i="16"/>
  <c r="U58" i="16"/>
  <c r="V58" i="16"/>
  <c r="Y50" i="16"/>
  <c r="Z50" i="16"/>
  <c r="AC42" i="16"/>
  <c r="AD42" i="16"/>
  <c r="M66" i="16"/>
  <c r="N66" i="16"/>
  <c r="AA45" i="16"/>
  <c r="AB45" i="16"/>
  <c r="K71" i="16"/>
  <c r="N70" i="16"/>
  <c r="M70" i="16"/>
  <c r="AE39" i="16"/>
  <c r="I39" i="16" s="1"/>
  <c r="AF39" i="16"/>
  <c r="AH39" i="16" s="1"/>
  <c r="AJ39" i="16" s="1"/>
  <c r="AF41" i="16"/>
  <c r="AH41" i="16" s="1"/>
  <c r="AJ41" i="16" s="1"/>
  <c r="AE41" i="16"/>
  <c r="I41" i="16" s="1"/>
  <c r="AB47" i="16"/>
  <c r="AA47" i="16"/>
  <c r="S61" i="16"/>
  <c r="T61" i="16"/>
  <c r="O67" i="16"/>
  <c r="P67" i="16"/>
  <c r="K69" i="16"/>
  <c r="Q62" i="16"/>
  <c r="R62" i="16"/>
  <c r="T59" i="16"/>
  <c r="S59" i="16"/>
  <c r="V56" i="16"/>
  <c r="U56" i="16"/>
  <c r="AB49" i="16"/>
  <c r="AA49" i="16"/>
  <c r="AJ90" i="1"/>
  <c r="AK90" i="1" s="1"/>
  <c r="AI90" i="1"/>
  <c r="AG108" i="9"/>
  <c r="AH108" i="9"/>
  <c r="AH35" i="7"/>
  <c r="AG35" i="7"/>
  <c r="AJ34" i="1"/>
  <c r="AK34" i="1" s="1"/>
  <c r="AI34" i="1"/>
  <c r="AJ35" i="1"/>
  <c r="AK35" i="1" s="1"/>
  <c r="AI35" i="1"/>
  <c r="AJ35" i="9"/>
  <c r="AK35" i="9" s="1"/>
  <c r="AI35" i="9"/>
  <c r="AJ34" i="9"/>
  <c r="AK34" i="9" s="1"/>
  <c r="AI34" i="9"/>
  <c r="F13" i="8"/>
  <c r="F8" i="8"/>
  <c r="AF33" i="26" l="1"/>
  <c r="AE33" i="26"/>
  <c r="AH62" i="9"/>
  <c r="AJ62" i="9" s="1"/>
  <c r="AG62" i="9"/>
  <c r="G62" i="9" s="1"/>
  <c r="AH58" i="9"/>
  <c r="AJ58" i="9" s="1"/>
  <c r="AG58" i="9"/>
  <c r="G58" i="9" s="1"/>
  <c r="AH41" i="21"/>
  <c r="AJ41" i="21" s="1"/>
  <c r="AG41" i="21"/>
  <c r="G41" i="21" s="1"/>
  <c r="AH59" i="8"/>
  <c r="AJ59" i="8" s="1"/>
  <c r="AG59" i="8"/>
  <c r="G59" i="8" s="1"/>
  <c r="AD59" i="26"/>
  <c r="AC59" i="26"/>
  <c r="AH41" i="24"/>
  <c r="AJ41" i="24" s="1"/>
  <c r="AG41" i="24"/>
  <c r="G41" i="24" s="1"/>
  <c r="AH58" i="7"/>
  <c r="AJ58" i="7" s="1"/>
  <c r="AG58" i="7"/>
  <c r="AH43" i="7"/>
  <c r="AJ43" i="7" s="1"/>
  <c r="AG43" i="7"/>
  <c r="G43" i="7" s="1"/>
  <c r="AH39" i="7"/>
  <c r="AJ39" i="7" s="1"/>
  <c r="AG39" i="7"/>
  <c r="G39" i="7" s="1"/>
  <c r="AH42" i="7"/>
  <c r="AJ42" i="7" s="1"/>
  <c r="AG42" i="7"/>
  <c r="G42" i="7" s="1"/>
  <c r="G58" i="7"/>
  <c r="R282" i="16"/>
  <c r="T282" i="16" s="1"/>
  <c r="V282" i="16" s="1"/>
  <c r="X282" i="16" s="1"/>
  <c r="Z282" i="16" s="1"/>
  <c r="AB282" i="16" s="1"/>
  <c r="AD282" i="16" s="1"/>
  <c r="AF282" i="16" s="1"/>
  <c r="AH282" i="16" s="1"/>
  <c r="AJ282" i="16" s="1"/>
  <c r="Q282" i="16"/>
  <c r="I282" i="16" s="1"/>
  <c r="P283" i="16"/>
  <c r="O283" i="16"/>
  <c r="N284" i="16"/>
  <c r="M284" i="16"/>
  <c r="H286" i="16"/>
  <c r="F285" i="16"/>
  <c r="K285" i="16"/>
  <c r="AJ34" i="26"/>
  <c r="AK34" i="26" s="1"/>
  <c r="AI34" i="26"/>
  <c r="AJ90" i="26"/>
  <c r="AK90" i="26" s="1"/>
  <c r="AI90" i="26"/>
  <c r="AJ35" i="26"/>
  <c r="AK35" i="26" s="1"/>
  <c r="AI35" i="26"/>
  <c r="AF41" i="26"/>
  <c r="AE41" i="26"/>
  <c r="D9" i="13"/>
  <c r="F43" i="8"/>
  <c r="K43" i="8" s="1"/>
  <c r="AB99" i="9"/>
  <c r="AA99" i="9"/>
  <c r="AB98" i="9"/>
  <c r="AA98" i="9"/>
  <c r="AJ131" i="17"/>
  <c r="AL131" i="17" s="1"/>
  <c r="AN131" i="17" s="1"/>
  <c r="AI131" i="17"/>
  <c r="M131" i="17" s="1"/>
  <c r="U65" i="17"/>
  <c r="V65" i="17"/>
  <c r="AD57" i="17"/>
  <c r="AC57" i="17"/>
  <c r="X53" i="17"/>
  <c r="W53" i="17"/>
  <c r="AH59" i="17"/>
  <c r="AG59" i="17"/>
  <c r="AE58" i="17"/>
  <c r="AF58" i="17"/>
  <c r="AB56" i="17"/>
  <c r="AA56" i="17"/>
  <c r="Z55" i="17"/>
  <c r="Y55" i="17"/>
  <c r="AA62" i="17"/>
  <c r="AB62" i="17"/>
  <c r="W54" i="17"/>
  <c r="X54" i="17"/>
  <c r="AD61" i="17"/>
  <c r="AC61" i="17"/>
  <c r="U66" i="17"/>
  <c r="V66" i="17"/>
  <c r="AE60" i="17"/>
  <c r="AF60" i="17"/>
  <c r="W64" i="17"/>
  <c r="X64" i="17"/>
  <c r="Z63" i="17"/>
  <c r="Y63" i="17"/>
  <c r="V50" i="17"/>
  <c r="U50" i="17"/>
  <c r="AB43" i="17"/>
  <c r="AA43" i="17"/>
  <c r="AD46" i="17"/>
  <c r="AC46" i="17"/>
  <c r="U40" i="17"/>
  <c r="V40" i="17"/>
  <c r="AA47" i="17"/>
  <c r="AB47" i="17"/>
  <c r="X41" i="17"/>
  <c r="W41" i="17"/>
  <c r="X49" i="17"/>
  <c r="W49" i="17"/>
  <c r="T52" i="17"/>
  <c r="S52" i="17"/>
  <c r="S51" i="17"/>
  <c r="T51" i="17"/>
  <c r="Z42" i="17"/>
  <c r="Y42" i="17"/>
  <c r="Y48" i="17"/>
  <c r="Z48" i="17"/>
  <c r="V39" i="17"/>
  <c r="U39" i="17"/>
  <c r="AD44" i="17"/>
  <c r="AC44" i="17"/>
  <c r="AF45" i="17"/>
  <c r="AE45" i="17"/>
  <c r="AC131" i="9"/>
  <c r="AD131" i="9"/>
  <c r="Z37" i="17"/>
  <c r="Y37" i="17"/>
  <c r="AC126" i="9"/>
  <c r="AD126" i="9"/>
  <c r="H172" i="16"/>
  <c r="K171" i="16"/>
  <c r="P169" i="16"/>
  <c r="O169" i="16"/>
  <c r="R168" i="16"/>
  <c r="T168" i="16" s="1"/>
  <c r="V168" i="16" s="1"/>
  <c r="X168" i="16" s="1"/>
  <c r="Z168" i="16" s="1"/>
  <c r="AB168" i="16" s="1"/>
  <c r="AD168" i="16" s="1"/>
  <c r="AF168" i="16" s="1"/>
  <c r="AH168" i="16" s="1"/>
  <c r="AJ168" i="16" s="1"/>
  <c r="Q168" i="16"/>
  <c r="I168" i="16" s="1"/>
  <c r="M170" i="16"/>
  <c r="N170" i="16"/>
  <c r="G35" i="1"/>
  <c r="G90" i="1"/>
  <c r="AJ128" i="17"/>
  <c r="AL128" i="17" s="1"/>
  <c r="AN128" i="17" s="1"/>
  <c r="AI128" i="17"/>
  <c r="M128" i="17" s="1"/>
  <c r="AF132" i="9"/>
  <c r="AH132" i="9" s="1"/>
  <c r="AJ132" i="9" s="1"/>
  <c r="AE132" i="9"/>
  <c r="G132" i="9" s="1"/>
  <c r="Z69" i="17"/>
  <c r="Y69" i="17"/>
  <c r="AB76" i="17"/>
  <c r="AA76" i="17"/>
  <c r="AB118" i="17"/>
  <c r="AA118" i="17"/>
  <c r="Z24" i="17"/>
  <c r="Y24" i="17"/>
  <c r="AD71" i="17"/>
  <c r="AC71" i="17"/>
  <c r="AC123" i="17"/>
  <c r="AD123" i="17"/>
  <c r="AB117" i="17"/>
  <c r="AA117" i="17"/>
  <c r="AE28" i="17"/>
  <c r="AF28" i="17"/>
  <c r="AG109" i="17"/>
  <c r="AH109" i="17"/>
  <c r="AF133" i="9"/>
  <c r="AH133" i="9" s="1"/>
  <c r="AJ133" i="9" s="1"/>
  <c r="AE133" i="9"/>
  <c r="G133" i="9" s="1"/>
  <c r="Y25" i="17"/>
  <c r="Z25" i="17"/>
  <c r="AE132" i="17"/>
  <c r="AF132" i="17"/>
  <c r="AH121" i="17"/>
  <c r="AG121" i="17"/>
  <c r="AF74" i="17"/>
  <c r="AE74" i="17"/>
  <c r="Z38" i="17"/>
  <c r="Y38" i="17"/>
  <c r="AE121" i="9"/>
  <c r="G121" i="9" s="1"/>
  <c r="AF121" i="9"/>
  <c r="AH121" i="9" s="1"/>
  <c r="AJ121" i="9" s="1"/>
  <c r="AA86" i="17"/>
  <c r="AB86" i="17"/>
  <c r="AC116" i="17"/>
  <c r="AD116" i="17"/>
  <c r="AG133" i="17"/>
  <c r="AH133" i="17"/>
  <c r="AD114" i="17"/>
  <c r="AC114" i="17"/>
  <c r="AH111" i="17"/>
  <c r="AG111" i="17"/>
  <c r="AF120" i="9"/>
  <c r="AH120" i="9" s="1"/>
  <c r="AJ120" i="9" s="1"/>
  <c r="AE120" i="9"/>
  <c r="G120" i="9" s="1"/>
  <c r="Y36" i="17"/>
  <c r="Z36" i="17"/>
  <c r="AD33" i="17"/>
  <c r="AC33" i="17"/>
  <c r="U94" i="17"/>
  <c r="V94" i="17"/>
  <c r="X81" i="17"/>
  <c r="W81" i="17"/>
  <c r="AE125" i="17"/>
  <c r="AF125" i="17"/>
  <c r="AE72" i="17"/>
  <c r="AF72" i="17"/>
  <c r="AD113" i="17"/>
  <c r="AC113" i="17"/>
  <c r="AF122" i="17"/>
  <c r="AE122" i="17"/>
  <c r="AE88" i="17"/>
  <c r="AF88" i="17"/>
  <c r="AG29" i="17"/>
  <c r="AH29" i="17"/>
  <c r="AE115" i="17"/>
  <c r="AF115" i="17"/>
  <c r="V83" i="17"/>
  <c r="U83" i="17"/>
  <c r="AJ110" i="17"/>
  <c r="AL110" i="17" s="1"/>
  <c r="AN110" i="17" s="1"/>
  <c r="AI110" i="17"/>
  <c r="M110" i="17" s="1"/>
  <c r="AC124" i="17"/>
  <c r="AD124" i="17"/>
  <c r="AF112" i="17"/>
  <c r="AE112" i="17"/>
  <c r="AA90" i="17"/>
  <c r="AB90" i="17"/>
  <c r="X92" i="17"/>
  <c r="W92" i="17"/>
  <c r="AH73" i="17"/>
  <c r="AG73" i="17"/>
  <c r="AH119" i="17"/>
  <c r="AG119" i="17"/>
  <c r="X84" i="17"/>
  <c r="W84" i="17"/>
  <c r="AH108" i="17"/>
  <c r="AG108" i="17"/>
  <c r="AF134" i="17"/>
  <c r="AH134" i="17" s="1"/>
  <c r="AJ134" i="17" s="1"/>
  <c r="AL134" i="17" s="1"/>
  <c r="AN134" i="17" s="1"/>
  <c r="AE134" i="17"/>
  <c r="M134" i="17" s="1"/>
  <c r="AD27" i="17"/>
  <c r="AC27" i="17"/>
  <c r="X80" i="17"/>
  <c r="W80" i="17"/>
  <c r="Y91" i="17"/>
  <c r="Z91" i="17"/>
  <c r="X67" i="17"/>
  <c r="W67" i="17"/>
  <c r="AJ30" i="17"/>
  <c r="AL30" i="17" s="1"/>
  <c r="AN30" i="17" s="1"/>
  <c r="AI30" i="17"/>
  <c r="M30" i="17" s="1"/>
  <c r="AA26" i="17"/>
  <c r="AB26" i="17"/>
  <c r="AD75" i="17"/>
  <c r="AC75" i="17"/>
  <c r="AB70" i="17"/>
  <c r="AA70" i="17"/>
  <c r="AA34" i="17"/>
  <c r="AB34" i="17"/>
  <c r="Z79" i="17"/>
  <c r="Y79" i="17"/>
  <c r="Y78" i="17"/>
  <c r="Z78" i="17"/>
  <c r="U93" i="17"/>
  <c r="V93" i="17"/>
  <c r="U82" i="17"/>
  <c r="V82" i="17"/>
  <c r="AF32" i="17"/>
  <c r="AE32" i="17"/>
  <c r="W68" i="17"/>
  <c r="X68" i="17"/>
  <c r="AH31" i="17"/>
  <c r="AG31" i="17"/>
  <c r="Z77" i="17"/>
  <c r="Y77" i="17"/>
  <c r="AC87" i="17"/>
  <c r="AD87" i="17"/>
  <c r="Z85" i="17"/>
  <c r="Y85" i="17"/>
  <c r="AC89" i="17"/>
  <c r="AD89" i="17"/>
  <c r="AC120" i="17"/>
  <c r="AD120" i="17"/>
  <c r="AD47" i="16"/>
  <c r="AC47" i="16"/>
  <c r="N71" i="16"/>
  <c r="M71" i="16"/>
  <c r="N69" i="16"/>
  <c r="M69" i="16"/>
  <c r="U61" i="16"/>
  <c r="V61" i="16"/>
  <c r="AC45" i="16"/>
  <c r="AD45" i="16"/>
  <c r="R65" i="16"/>
  <c r="Q65" i="16"/>
  <c r="T60" i="16"/>
  <c r="S60" i="16"/>
  <c r="K72" i="16"/>
  <c r="P70" i="16"/>
  <c r="O70" i="16"/>
  <c r="AF42" i="16"/>
  <c r="AH42" i="16" s="1"/>
  <c r="AJ42" i="16" s="1"/>
  <c r="AE42" i="16"/>
  <c r="I42" i="16" s="1"/>
  <c r="X54" i="16"/>
  <c r="W54" i="16"/>
  <c r="R63" i="16"/>
  <c r="Q63" i="16"/>
  <c r="P68" i="16"/>
  <c r="O68" i="16"/>
  <c r="T64" i="16"/>
  <c r="S64" i="16"/>
  <c r="Z55" i="16"/>
  <c r="Y55" i="16"/>
  <c r="U57" i="16"/>
  <c r="V57" i="16"/>
  <c r="P66" i="16"/>
  <c r="O66" i="16"/>
  <c r="K76" i="16"/>
  <c r="Z51" i="16"/>
  <c r="Y51" i="16"/>
  <c r="AB52" i="16"/>
  <c r="AA52" i="16"/>
  <c r="V59" i="16"/>
  <c r="U59" i="16"/>
  <c r="AB50" i="16"/>
  <c r="AA50" i="16"/>
  <c r="AC49" i="16"/>
  <c r="AD49" i="16"/>
  <c r="X56" i="16"/>
  <c r="W56" i="16"/>
  <c r="T62" i="16"/>
  <c r="S62" i="16"/>
  <c r="R67" i="16"/>
  <c r="Q67" i="16"/>
  <c r="K74" i="16"/>
  <c r="W58" i="16"/>
  <c r="X58" i="16"/>
  <c r="AA48" i="16"/>
  <c r="AB48" i="16"/>
  <c r="N73" i="16"/>
  <c r="M73" i="16"/>
  <c r="AE44" i="16"/>
  <c r="I44" i="16" s="1"/>
  <c r="AF44" i="16"/>
  <c r="AH44" i="16" s="1"/>
  <c r="AJ44" i="16" s="1"/>
  <c r="Z53" i="16"/>
  <c r="Y53" i="16"/>
  <c r="AF46" i="16"/>
  <c r="AH46" i="16" s="1"/>
  <c r="AJ46" i="16" s="1"/>
  <c r="AE46" i="16"/>
  <c r="I46" i="16" s="1"/>
  <c r="G34" i="1"/>
  <c r="K13" i="8"/>
  <c r="F13" i="12"/>
  <c r="N13" i="8"/>
  <c r="P13" i="8" s="1"/>
  <c r="F8" i="12"/>
  <c r="I71" i="12" s="1"/>
  <c r="N8" i="8"/>
  <c r="P8" i="8" s="1"/>
  <c r="AI108" i="9"/>
  <c r="AJ108" i="9"/>
  <c r="AK108" i="9" s="1"/>
  <c r="F39" i="8"/>
  <c r="K39" i="8" s="1"/>
  <c r="F42" i="8"/>
  <c r="K42" i="8" s="1"/>
  <c r="H42" i="8" s="1"/>
  <c r="G34" i="9"/>
  <c r="G35" i="9"/>
  <c r="AJ35" i="7"/>
  <c r="AK35" i="7" s="1"/>
  <c r="AI35" i="7"/>
  <c r="F11" i="8"/>
  <c r="F3" i="8"/>
  <c r="F61" i="8" s="1"/>
  <c r="K61" i="8" s="1"/>
  <c r="H61" i="8" s="1"/>
  <c r="F5" i="8"/>
  <c r="K8" i="8"/>
  <c r="F10" i="8"/>
  <c r="F45" i="8" s="1"/>
  <c r="K45" i="8" s="1"/>
  <c r="H45" i="8" s="1"/>
  <c r="F9" i="8"/>
  <c r="F6" i="8"/>
  <c r="AH33" i="26" l="1"/>
  <c r="AJ33" i="26" s="1"/>
  <c r="AG33" i="26"/>
  <c r="G33" i="26" s="1"/>
  <c r="G35" i="26"/>
  <c r="AH41" i="26"/>
  <c r="AJ41" i="26" s="1"/>
  <c r="AG41" i="26"/>
  <c r="G41" i="26" s="1"/>
  <c r="AF59" i="26"/>
  <c r="AE59" i="26"/>
  <c r="P284" i="16"/>
  <c r="O284" i="16"/>
  <c r="R283" i="16"/>
  <c r="T283" i="16" s="1"/>
  <c r="V283" i="16" s="1"/>
  <c r="X283" i="16" s="1"/>
  <c r="Z283" i="16" s="1"/>
  <c r="AB283" i="16" s="1"/>
  <c r="AD283" i="16" s="1"/>
  <c r="AF283" i="16" s="1"/>
  <c r="AH283" i="16" s="1"/>
  <c r="AJ283" i="16" s="1"/>
  <c r="Q283" i="16"/>
  <c r="I283" i="16" s="1"/>
  <c r="M285" i="16"/>
  <c r="N285" i="16"/>
  <c r="F286" i="16"/>
  <c r="H287" i="16"/>
  <c r="K286" i="16"/>
  <c r="G90" i="26"/>
  <c r="G34" i="26"/>
  <c r="N43" i="8"/>
  <c r="H43" i="8"/>
  <c r="M43" i="8"/>
  <c r="F58" i="8"/>
  <c r="K58" i="8" s="1"/>
  <c r="H58" i="8" s="1"/>
  <c r="F97" i="21"/>
  <c r="K97" i="21" s="1"/>
  <c r="H39" i="8"/>
  <c r="M5" i="22"/>
  <c r="AD98" i="9"/>
  <c r="AC98" i="9"/>
  <c r="AD99" i="9"/>
  <c r="AC99" i="9"/>
  <c r="AG60" i="17"/>
  <c r="AH60" i="17"/>
  <c r="W66" i="17"/>
  <c r="X66" i="17"/>
  <c r="Z54" i="17"/>
  <c r="Y54" i="17"/>
  <c r="W65" i="17"/>
  <c r="X65" i="17"/>
  <c r="AB63" i="17"/>
  <c r="AA63" i="17"/>
  <c r="Z53" i="17"/>
  <c r="Y53" i="17"/>
  <c r="Y64" i="17"/>
  <c r="Z64" i="17"/>
  <c r="AB55" i="17"/>
  <c r="AA55" i="17"/>
  <c r="AC56" i="17"/>
  <c r="AD56" i="17"/>
  <c r="AJ59" i="17"/>
  <c r="AL59" i="17" s="1"/>
  <c r="AN59" i="17" s="1"/>
  <c r="AI59" i="17"/>
  <c r="M59" i="17" s="1"/>
  <c r="AF61" i="17"/>
  <c r="AE61" i="17"/>
  <c r="AC62" i="17"/>
  <c r="AD62" i="17"/>
  <c r="AG58" i="17"/>
  <c r="AH58" i="17"/>
  <c r="AE57" i="17"/>
  <c r="AF57" i="17"/>
  <c r="N42" i="8"/>
  <c r="P42" i="8" s="1"/>
  <c r="Q42" i="8" s="1"/>
  <c r="F60" i="8"/>
  <c r="K60" i="8" s="1"/>
  <c r="H60" i="8" s="1"/>
  <c r="N61" i="8"/>
  <c r="M61" i="8"/>
  <c r="AD43" i="17"/>
  <c r="AC43" i="17"/>
  <c r="X39" i="17"/>
  <c r="W39" i="17"/>
  <c r="AB42" i="17"/>
  <c r="AA42" i="17"/>
  <c r="Y49" i="17"/>
  <c r="Z49" i="17"/>
  <c r="AD47" i="17"/>
  <c r="AC47" i="17"/>
  <c r="AF44" i="17"/>
  <c r="AE44" i="17"/>
  <c r="V51" i="17"/>
  <c r="U51" i="17"/>
  <c r="U52" i="17"/>
  <c r="V52" i="17"/>
  <c r="X40" i="17"/>
  <c r="W40" i="17"/>
  <c r="AH45" i="17"/>
  <c r="AG45" i="17"/>
  <c r="Z41" i="17"/>
  <c r="Y41" i="17"/>
  <c r="AA48" i="17"/>
  <c r="AB48" i="17"/>
  <c r="AF46" i="17"/>
  <c r="AE46" i="17"/>
  <c r="W50" i="17"/>
  <c r="X50" i="17"/>
  <c r="AB37" i="17"/>
  <c r="AA37" i="17"/>
  <c r="AF131" i="9"/>
  <c r="AH131" i="9" s="1"/>
  <c r="AJ131" i="9" s="1"/>
  <c r="AE131" i="9"/>
  <c r="G131" i="9" s="1"/>
  <c r="AF126" i="9"/>
  <c r="AH126" i="9" s="1"/>
  <c r="AJ126" i="9" s="1"/>
  <c r="AE126" i="9"/>
  <c r="G126" i="9" s="1"/>
  <c r="N171" i="16"/>
  <c r="M171" i="16"/>
  <c r="O170" i="16"/>
  <c r="P170" i="16"/>
  <c r="H173" i="16"/>
  <c r="K172" i="16"/>
  <c r="R169" i="16"/>
  <c r="T169" i="16" s="1"/>
  <c r="V169" i="16" s="1"/>
  <c r="X169" i="16" s="1"/>
  <c r="Z169" i="16" s="1"/>
  <c r="AB169" i="16" s="1"/>
  <c r="AD169" i="16" s="1"/>
  <c r="AF169" i="16" s="1"/>
  <c r="AH169" i="16" s="1"/>
  <c r="AJ169" i="16" s="1"/>
  <c r="Q169" i="16"/>
  <c r="I169" i="16" s="1"/>
  <c r="F90" i="8"/>
  <c r="K90" i="8" s="1"/>
  <c r="M90" i="8" s="1"/>
  <c r="F46" i="8"/>
  <c r="K46" i="8" s="1"/>
  <c r="H46" i="8" s="1"/>
  <c r="N45" i="8"/>
  <c r="M45" i="8"/>
  <c r="Z68" i="17"/>
  <c r="Y68" i="17"/>
  <c r="W82" i="17"/>
  <c r="X82" i="17"/>
  <c r="AB78" i="17"/>
  <c r="AA78" i="17"/>
  <c r="AD34" i="17"/>
  <c r="AC34" i="17"/>
  <c r="AA91" i="17"/>
  <c r="AB91" i="17"/>
  <c r="AH115" i="17"/>
  <c r="AG115" i="17"/>
  <c r="AG88" i="17"/>
  <c r="AH88" i="17"/>
  <c r="AG125" i="17"/>
  <c r="AH125" i="17"/>
  <c r="X94" i="17"/>
  <c r="W94" i="17"/>
  <c r="AB36" i="17"/>
  <c r="AA36" i="17"/>
  <c r="AI133" i="17"/>
  <c r="M133" i="17" s="1"/>
  <c r="AJ133" i="17"/>
  <c r="AL133" i="17" s="1"/>
  <c r="AN133" i="17" s="1"/>
  <c r="AD86" i="17"/>
  <c r="AC86" i="17"/>
  <c r="AA25" i="17"/>
  <c r="AB25" i="17"/>
  <c r="AI109" i="17"/>
  <c r="M109" i="17" s="1"/>
  <c r="AJ109" i="17"/>
  <c r="AL109" i="17" s="1"/>
  <c r="AN109" i="17" s="1"/>
  <c r="AE89" i="17"/>
  <c r="AF89" i="17"/>
  <c r="AA85" i="17"/>
  <c r="AB85" i="17"/>
  <c r="AA77" i="17"/>
  <c r="AB77" i="17"/>
  <c r="AF75" i="17"/>
  <c r="AE75" i="17"/>
  <c r="AF27" i="17"/>
  <c r="AE27" i="17"/>
  <c r="AI108" i="17"/>
  <c r="M108" i="17" s="1"/>
  <c r="AJ108" i="17"/>
  <c r="AL108" i="17" s="1"/>
  <c r="AN108" i="17" s="1"/>
  <c r="AJ119" i="17"/>
  <c r="AL119" i="17" s="1"/>
  <c r="AN119" i="17" s="1"/>
  <c r="AI119" i="17"/>
  <c r="M119" i="17" s="1"/>
  <c r="Z92" i="17"/>
  <c r="Y92" i="17"/>
  <c r="AH112" i="17"/>
  <c r="AG112" i="17"/>
  <c r="AE113" i="17"/>
  <c r="AF113" i="17"/>
  <c r="AI111" i="17"/>
  <c r="M111" i="17" s="1"/>
  <c r="AJ111" i="17"/>
  <c r="AL111" i="17" s="1"/>
  <c r="AN111" i="17" s="1"/>
  <c r="AA38" i="17"/>
  <c r="AB38" i="17"/>
  <c r="AJ121" i="17"/>
  <c r="AL121" i="17" s="1"/>
  <c r="AN121" i="17" s="1"/>
  <c r="AI121" i="17"/>
  <c r="M121" i="17" s="1"/>
  <c r="AD117" i="17"/>
  <c r="AC117" i="17"/>
  <c r="AE71" i="17"/>
  <c r="AF71" i="17"/>
  <c r="AC118" i="17"/>
  <c r="AD118" i="17"/>
  <c r="AB69" i="17"/>
  <c r="AA69" i="17"/>
  <c r="AF87" i="17"/>
  <c r="AE87" i="17"/>
  <c r="X93" i="17"/>
  <c r="W93" i="17"/>
  <c r="AC26" i="17"/>
  <c r="AD26" i="17"/>
  <c r="AD90" i="17"/>
  <c r="AC90" i="17"/>
  <c r="AE124" i="17"/>
  <c r="AF124" i="17"/>
  <c r="AJ29" i="17"/>
  <c r="AL29" i="17" s="1"/>
  <c r="AN29" i="17" s="1"/>
  <c r="AI29" i="17"/>
  <c r="M29" i="17" s="1"/>
  <c r="AH72" i="17"/>
  <c r="AG72" i="17"/>
  <c r="AE116" i="17"/>
  <c r="AF116" i="17"/>
  <c r="AH132" i="17"/>
  <c r="AG132" i="17"/>
  <c r="AH28" i="17"/>
  <c r="AG28" i="17"/>
  <c r="AF123" i="17"/>
  <c r="AE123" i="17"/>
  <c r="AI31" i="17"/>
  <c r="M31" i="17" s="1"/>
  <c r="AJ31" i="17"/>
  <c r="AL31" i="17" s="1"/>
  <c r="AN31" i="17" s="1"/>
  <c r="AG32" i="17"/>
  <c r="AH32" i="17"/>
  <c r="AA79" i="17"/>
  <c r="AB79" i="17"/>
  <c r="AD70" i="17"/>
  <c r="AC70" i="17"/>
  <c r="Y67" i="17"/>
  <c r="Z67" i="17"/>
  <c r="Z80" i="17"/>
  <c r="Y80" i="17"/>
  <c r="Z84" i="17"/>
  <c r="Y84" i="17"/>
  <c r="AJ73" i="17"/>
  <c r="AL73" i="17" s="1"/>
  <c r="AN73" i="17" s="1"/>
  <c r="AI73" i="17"/>
  <c r="M73" i="17" s="1"/>
  <c r="W83" i="17"/>
  <c r="X83" i="17"/>
  <c r="AH122" i="17"/>
  <c r="AG122" i="17"/>
  <c r="Z81" i="17"/>
  <c r="Y81" i="17"/>
  <c r="AE33" i="17"/>
  <c r="AF33" i="17"/>
  <c r="AF114" i="17"/>
  <c r="AE114" i="17"/>
  <c r="AH74" i="17"/>
  <c r="AG74" i="17"/>
  <c r="AB24" i="17"/>
  <c r="AA24" i="17"/>
  <c r="AC76" i="17"/>
  <c r="AD76" i="17"/>
  <c r="AE120" i="17"/>
  <c r="AF120" i="17"/>
  <c r="Y58" i="16"/>
  <c r="Z58" i="16"/>
  <c r="K77" i="16"/>
  <c r="U62" i="16"/>
  <c r="V62" i="16"/>
  <c r="V64" i="16"/>
  <c r="U64" i="16"/>
  <c r="T63" i="16"/>
  <c r="S63" i="16"/>
  <c r="V60" i="16"/>
  <c r="U60" i="16"/>
  <c r="W61" i="16"/>
  <c r="X61" i="16"/>
  <c r="AF47" i="16"/>
  <c r="AH47" i="16" s="1"/>
  <c r="AJ47" i="16" s="1"/>
  <c r="AE47" i="16"/>
  <c r="I47" i="16" s="1"/>
  <c r="AB53" i="16"/>
  <c r="AA53" i="16"/>
  <c r="O73" i="16"/>
  <c r="P73" i="16"/>
  <c r="X59" i="16"/>
  <c r="W59" i="16"/>
  <c r="AB51" i="16"/>
  <c r="AA51" i="16"/>
  <c r="N72" i="16"/>
  <c r="M72" i="16"/>
  <c r="AE45" i="16"/>
  <c r="I45" i="16" s="1"/>
  <c r="AF45" i="16"/>
  <c r="AH45" i="16" s="1"/>
  <c r="AJ45" i="16" s="1"/>
  <c r="AC48" i="16"/>
  <c r="AD48" i="16"/>
  <c r="S67" i="16"/>
  <c r="T67" i="16"/>
  <c r="Z56" i="16"/>
  <c r="Y56" i="16"/>
  <c r="AC50" i="16"/>
  <c r="AD50" i="16"/>
  <c r="N76" i="16"/>
  <c r="M76" i="16"/>
  <c r="R66" i="16"/>
  <c r="Q66" i="16"/>
  <c r="AB55" i="16"/>
  <c r="AA55" i="16"/>
  <c r="R68" i="16"/>
  <c r="Q68" i="16"/>
  <c r="Y54" i="16"/>
  <c r="Z54" i="16"/>
  <c r="K75" i="16"/>
  <c r="S65" i="16"/>
  <c r="T65" i="16"/>
  <c r="P71" i="16"/>
  <c r="O71" i="16"/>
  <c r="N74" i="16"/>
  <c r="M74" i="16"/>
  <c r="AF49" i="16"/>
  <c r="AH49" i="16" s="1"/>
  <c r="AJ49" i="16" s="1"/>
  <c r="AE49" i="16"/>
  <c r="I49" i="16" s="1"/>
  <c r="AD52" i="16"/>
  <c r="AC52" i="16"/>
  <c r="K79" i="16"/>
  <c r="W57" i="16"/>
  <c r="X57" i="16"/>
  <c r="R70" i="16"/>
  <c r="Q70" i="16"/>
  <c r="P69" i="16"/>
  <c r="O69" i="16"/>
  <c r="D7" i="13"/>
  <c r="G108" i="9"/>
  <c r="F6" i="12"/>
  <c r="N6" i="8"/>
  <c r="P6" i="8" s="1"/>
  <c r="F5" i="12"/>
  <c r="N5" i="8"/>
  <c r="P5" i="8" s="1"/>
  <c r="F109" i="9"/>
  <c r="K109" i="9" s="1"/>
  <c r="F9" i="12"/>
  <c r="N9" i="8"/>
  <c r="P9" i="8" s="1"/>
  <c r="F57" i="8"/>
  <c r="K57" i="8" s="1"/>
  <c r="H57" i="8" s="1"/>
  <c r="F10" i="12"/>
  <c r="N10" i="8"/>
  <c r="P10" i="8" s="1"/>
  <c r="F53" i="8"/>
  <c r="K53" i="8" s="1"/>
  <c r="F3" i="12"/>
  <c r="N3" i="8"/>
  <c r="P3" i="8" s="1"/>
  <c r="F62" i="8"/>
  <c r="K62" i="8" s="1"/>
  <c r="H62" i="8" s="1"/>
  <c r="F11" i="12"/>
  <c r="N11" i="8"/>
  <c r="P11" i="8" s="1"/>
  <c r="F51" i="12"/>
  <c r="F53" i="12"/>
  <c r="F49" i="12"/>
  <c r="L8" i="12"/>
  <c r="N8" i="12" s="1"/>
  <c r="I8" i="12"/>
  <c r="I13" i="12"/>
  <c r="L13" i="12"/>
  <c r="N13" i="12" s="1"/>
  <c r="N57" i="8"/>
  <c r="F54" i="8"/>
  <c r="K54" i="8" s="1"/>
  <c r="H54" i="8" s="1"/>
  <c r="G35" i="7"/>
  <c r="K6" i="8"/>
  <c r="F51" i="8"/>
  <c r="K51" i="8" s="1"/>
  <c r="M51" i="8" s="1"/>
  <c r="F56" i="8"/>
  <c r="K56" i="8" s="1"/>
  <c r="H56" i="8" s="1"/>
  <c r="F37" i="8"/>
  <c r="K37" i="8" s="1"/>
  <c r="H37" i="8" s="1"/>
  <c r="F38" i="8"/>
  <c r="K38" i="8" s="1"/>
  <c r="H38" i="8" s="1"/>
  <c r="F36" i="8"/>
  <c r="K36" i="8" s="1"/>
  <c r="H36" i="8" s="1"/>
  <c r="F55" i="8"/>
  <c r="K55" i="8" s="1"/>
  <c r="H55" i="8" s="1"/>
  <c r="F49" i="8"/>
  <c r="K49" i="8" s="1"/>
  <c r="H49" i="8" s="1"/>
  <c r="F50" i="8"/>
  <c r="K50" i="8" s="1"/>
  <c r="H50" i="8" s="1"/>
  <c r="B4" i="10"/>
  <c r="C4" i="10" s="1"/>
  <c r="D4" i="10" s="1"/>
  <c r="G42" i="10" s="1"/>
  <c r="F67" i="8"/>
  <c r="K67" i="8" s="1"/>
  <c r="M67" i="8" s="1"/>
  <c r="F65" i="8"/>
  <c r="K65" i="8" s="1"/>
  <c r="N65" i="8" s="1"/>
  <c r="F63" i="8"/>
  <c r="K63" i="8" s="1"/>
  <c r="H63" i="8" s="1"/>
  <c r="F47" i="8"/>
  <c r="K47" i="8" s="1"/>
  <c r="H47" i="8" s="1"/>
  <c r="F44" i="8"/>
  <c r="K44" i="8" s="1"/>
  <c r="H44" i="8" s="1"/>
  <c r="F35" i="8"/>
  <c r="K35" i="8" s="1"/>
  <c r="H35" i="8" s="1"/>
  <c r="F68" i="8"/>
  <c r="K68" i="8" s="1"/>
  <c r="M68" i="8" s="1"/>
  <c r="F66" i="8"/>
  <c r="K66" i="8" s="1"/>
  <c r="F64" i="8"/>
  <c r="K64" i="8" s="1"/>
  <c r="M64" i="8" s="1"/>
  <c r="F52" i="8"/>
  <c r="K52" i="8" s="1"/>
  <c r="H52" i="8" s="1"/>
  <c r="F48" i="8"/>
  <c r="K48" i="8" s="1"/>
  <c r="H48" i="8" s="1"/>
  <c r="F40" i="8"/>
  <c r="K40" i="8" s="1"/>
  <c r="H40" i="8" s="1"/>
  <c r="F34" i="8"/>
  <c r="K34" i="8" s="1"/>
  <c r="H34" i="8" s="1"/>
  <c r="K11" i="8"/>
  <c r="B38" i="10"/>
  <c r="C38" i="10" s="1"/>
  <c r="K5" i="8"/>
  <c r="M42" i="8"/>
  <c r="K10" i="8"/>
  <c r="K3" i="8"/>
  <c r="N39" i="8"/>
  <c r="M39" i="8"/>
  <c r="K9" i="8"/>
  <c r="AH59" i="26" l="1"/>
  <c r="AJ59" i="26" s="1"/>
  <c r="AG59" i="26"/>
  <c r="G59" i="26" s="1"/>
  <c r="N58" i="8"/>
  <c r="O58" i="8" s="1"/>
  <c r="P285" i="16"/>
  <c r="O285" i="16"/>
  <c r="N286" i="16"/>
  <c r="M286" i="16"/>
  <c r="R284" i="16"/>
  <c r="T284" i="16" s="1"/>
  <c r="V284" i="16" s="1"/>
  <c r="X284" i="16" s="1"/>
  <c r="Z284" i="16" s="1"/>
  <c r="AB284" i="16" s="1"/>
  <c r="AD284" i="16" s="1"/>
  <c r="AF284" i="16" s="1"/>
  <c r="AH284" i="16" s="1"/>
  <c r="AJ284" i="16" s="1"/>
  <c r="Q284" i="16"/>
  <c r="I284" i="16" s="1"/>
  <c r="F287" i="16"/>
  <c r="H288" i="16"/>
  <c r="K287" i="16"/>
  <c r="M66" i="8"/>
  <c r="H66" i="8"/>
  <c r="G43" i="10"/>
  <c r="G41" i="10"/>
  <c r="I74" i="12"/>
  <c r="I73" i="12"/>
  <c r="I72" i="12"/>
  <c r="I77" i="12"/>
  <c r="I75" i="12"/>
  <c r="I69" i="12"/>
  <c r="I76" i="12"/>
  <c r="P43" i="8"/>
  <c r="O43" i="8"/>
  <c r="M58" i="8"/>
  <c r="E4" i="10"/>
  <c r="G38" i="10"/>
  <c r="G36" i="10"/>
  <c r="G39" i="10"/>
  <c r="G35" i="10"/>
  <c r="G40" i="10"/>
  <c r="G37" i="10"/>
  <c r="R23" i="8"/>
  <c r="N97" i="21"/>
  <c r="M97" i="21"/>
  <c r="AF99" i="9"/>
  <c r="AE99" i="9"/>
  <c r="AF98" i="9"/>
  <c r="AE98" i="9"/>
  <c r="AH61" i="17"/>
  <c r="AG61" i="17"/>
  <c r="AH57" i="17"/>
  <c r="AG57" i="17"/>
  <c r="AE62" i="17"/>
  <c r="AF62" i="17"/>
  <c r="AI60" i="17"/>
  <c r="M60" i="17" s="1"/>
  <c r="AJ60" i="17"/>
  <c r="AL60" i="17" s="1"/>
  <c r="AN60" i="17" s="1"/>
  <c r="AC55" i="17"/>
  <c r="AD55" i="17"/>
  <c r="AD63" i="17"/>
  <c r="AC63" i="17"/>
  <c r="AA54" i="17"/>
  <c r="AB54" i="17"/>
  <c r="AI58" i="17"/>
  <c r="M58" i="17" s="1"/>
  <c r="AJ58" i="17"/>
  <c r="AL58" i="17" s="1"/>
  <c r="AN58" i="17" s="1"/>
  <c r="AE56" i="17"/>
  <c r="AF56" i="17"/>
  <c r="AA64" i="17"/>
  <c r="AB64" i="17"/>
  <c r="AB53" i="17"/>
  <c r="AA53" i="17"/>
  <c r="Y65" i="17"/>
  <c r="Z65" i="17"/>
  <c r="Y66" i="17"/>
  <c r="Z66" i="17"/>
  <c r="O42" i="8"/>
  <c r="M34" i="8"/>
  <c r="N55" i="8"/>
  <c r="O55" i="8" s="1"/>
  <c r="N54" i="8"/>
  <c r="O54" i="8" s="1"/>
  <c r="N48" i="8"/>
  <c r="P48" i="8" s="1"/>
  <c r="M63" i="8"/>
  <c r="N60" i="8"/>
  <c r="O60" i="8" s="1"/>
  <c r="R42" i="8"/>
  <c r="S42" i="8" s="1"/>
  <c r="N40" i="8"/>
  <c r="P40" i="8" s="1"/>
  <c r="N47" i="8"/>
  <c r="P47" i="8" s="1"/>
  <c r="Q47" i="8" s="1"/>
  <c r="M57" i="8"/>
  <c r="N35" i="8"/>
  <c r="P35" i="8" s="1"/>
  <c r="N90" i="8"/>
  <c r="P90" i="8" s="1"/>
  <c r="M60" i="8"/>
  <c r="P61" i="8"/>
  <c r="O61" i="8"/>
  <c r="Z50" i="17"/>
  <c r="Y50" i="17"/>
  <c r="AB41" i="17"/>
  <c r="AA41" i="17"/>
  <c r="X52" i="17"/>
  <c r="W52" i="17"/>
  <c r="AD42" i="17"/>
  <c r="AC42" i="17"/>
  <c r="AF43" i="17"/>
  <c r="AE43" i="17"/>
  <c r="AJ45" i="17"/>
  <c r="AL45" i="17" s="1"/>
  <c r="AN45" i="17" s="1"/>
  <c r="AI45" i="17"/>
  <c r="M45" i="17" s="1"/>
  <c r="AH44" i="17"/>
  <c r="AG44" i="17"/>
  <c r="AB49" i="17"/>
  <c r="AA49" i="17"/>
  <c r="AC48" i="17"/>
  <c r="AD48" i="17"/>
  <c r="Z40" i="17"/>
  <c r="Y40" i="17"/>
  <c r="W51" i="17"/>
  <c r="X51" i="17"/>
  <c r="AF47" i="17"/>
  <c r="AE47" i="17"/>
  <c r="AH46" i="17"/>
  <c r="AG46" i="17"/>
  <c r="Z39" i="17"/>
  <c r="Y39" i="17"/>
  <c r="P58" i="8"/>
  <c r="AC37" i="17"/>
  <c r="AD37" i="17"/>
  <c r="Q170" i="16"/>
  <c r="I170" i="16" s="1"/>
  <c r="R170" i="16"/>
  <c r="T170" i="16" s="1"/>
  <c r="V170" i="16" s="1"/>
  <c r="X170" i="16" s="1"/>
  <c r="Z170" i="16" s="1"/>
  <c r="AB170" i="16" s="1"/>
  <c r="AD170" i="16" s="1"/>
  <c r="AF170" i="16" s="1"/>
  <c r="AH170" i="16" s="1"/>
  <c r="AJ170" i="16" s="1"/>
  <c r="N172" i="16"/>
  <c r="M172" i="16"/>
  <c r="H174" i="16"/>
  <c r="K173" i="16"/>
  <c r="O171" i="16"/>
  <c r="P171" i="16"/>
  <c r="P45" i="8"/>
  <c r="O45" i="8"/>
  <c r="N46" i="8"/>
  <c r="M46" i="8"/>
  <c r="AH33" i="17"/>
  <c r="AG33" i="17"/>
  <c r="AJ32" i="17"/>
  <c r="AL32" i="17" s="1"/>
  <c r="AN32" i="17" s="1"/>
  <c r="AI32" i="17"/>
  <c r="M32" i="17" s="1"/>
  <c r="Y93" i="17"/>
  <c r="Z93" i="17"/>
  <c r="AG89" i="17"/>
  <c r="AH89" i="17"/>
  <c r="AJ88" i="17"/>
  <c r="AL88" i="17" s="1"/>
  <c r="AN88" i="17" s="1"/>
  <c r="AI88" i="17"/>
  <c r="M88" i="17" s="1"/>
  <c r="AJ74" i="17"/>
  <c r="AL74" i="17" s="1"/>
  <c r="AN74" i="17" s="1"/>
  <c r="AI74" i="17"/>
  <c r="M74" i="17" s="1"/>
  <c r="AF26" i="17"/>
  <c r="AE26" i="17"/>
  <c r="AI112" i="17"/>
  <c r="M112" i="17" s="1"/>
  <c r="AJ112" i="17"/>
  <c r="AL112" i="17" s="1"/>
  <c r="AN112" i="17" s="1"/>
  <c r="Z94" i="17"/>
  <c r="Y94" i="17"/>
  <c r="AD24" i="17"/>
  <c r="AC24" i="17"/>
  <c r="Y83" i="17"/>
  <c r="Z83" i="17"/>
  <c r="AB67" i="17"/>
  <c r="AA67" i="17"/>
  <c r="AD79" i="17"/>
  <c r="AC79" i="17"/>
  <c r="AH116" i="17"/>
  <c r="AG116" i="17"/>
  <c r="AH87" i="17"/>
  <c r="AG87" i="17"/>
  <c r="AF118" i="17"/>
  <c r="AE118" i="17"/>
  <c r="AD38" i="17"/>
  <c r="AC38" i="17"/>
  <c r="AH113" i="17"/>
  <c r="AG113" i="17"/>
  <c r="AC85" i="17"/>
  <c r="AD85" i="17"/>
  <c r="AJ125" i="17"/>
  <c r="AL125" i="17" s="1"/>
  <c r="AN125" i="17" s="1"/>
  <c r="AI125" i="17"/>
  <c r="M125" i="17" s="1"/>
  <c r="Y82" i="17"/>
  <c r="Z82" i="17"/>
  <c r="AH124" i="17"/>
  <c r="AG124" i="17"/>
  <c r="AG71" i="17"/>
  <c r="AH71" i="17"/>
  <c r="AC77" i="17"/>
  <c r="AD77" i="17"/>
  <c r="AD25" i="17"/>
  <c r="AC25" i="17"/>
  <c r="AC91" i="17"/>
  <c r="AD91" i="17"/>
  <c r="AI122" i="17"/>
  <c r="M122" i="17" s="1"/>
  <c r="AJ122" i="17"/>
  <c r="AL122" i="17" s="1"/>
  <c r="AN122" i="17" s="1"/>
  <c r="AB80" i="17"/>
  <c r="AA80" i="17"/>
  <c r="AF70" i="17"/>
  <c r="AE70" i="17"/>
  <c r="AG123" i="17"/>
  <c r="AH123" i="17"/>
  <c r="AI132" i="17"/>
  <c r="M132" i="17" s="1"/>
  <c r="AJ132" i="17"/>
  <c r="AL132" i="17" s="1"/>
  <c r="AN132" i="17" s="1"/>
  <c r="AJ72" i="17"/>
  <c r="AL72" i="17" s="1"/>
  <c r="AN72" i="17" s="1"/>
  <c r="AI72" i="17"/>
  <c r="M72" i="17" s="1"/>
  <c r="AD69" i="17"/>
  <c r="AC69" i="17"/>
  <c r="AG27" i="17"/>
  <c r="AH27" i="17"/>
  <c r="AD78" i="17"/>
  <c r="AC78" i="17"/>
  <c r="AA68" i="17"/>
  <c r="AB68" i="17"/>
  <c r="AF76" i="17"/>
  <c r="AE76" i="17"/>
  <c r="AG114" i="17"/>
  <c r="AH114" i="17"/>
  <c r="AA81" i="17"/>
  <c r="AB81" i="17"/>
  <c r="AA84" i="17"/>
  <c r="AB84" i="17"/>
  <c r="AJ28" i="17"/>
  <c r="AL28" i="17" s="1"/>
  <c r="AN28" i="17" s="1"/>
  <c r="AI28" i="17"/>
  <c r="M28" i="17" s="1"/>
  <c r="AF90" i="17"/>
  <c r="AE90" i="17"/>
  <c r="AF117" i="17"/>
  <c r="AE117" i="17"/>
  <c r="AA92" i="17"/>
  <c r="AB92" i="17"/>
  <c r="AG75" i="17"/>
  <c r="AH75" i="17"/>
  <c r="AF86" i="17"/>
  <c r="AE86" i="17"/>
  <c r="AD36" i="17"/>
  <c r="AC36" i="17"/>
  <c r="AJ115" i="17"/>
  <c r="AL115" i="17" s="1"/>
  <c r="AN115" i="17" s="1"/>
  <c r="AI115" i="17"/>
  <c r="M115" i="17" s="1"/>
  <c r="AF34" i="17"/>
  <c r="AE34" i="17"/>
  <c r="AG120" i="17"/>
  <c r="AH120" i="17"/>
  <c r="R69" i="16"/>
  <c r="Q69" i="16"/>
  <c r="S68" i="16"/>
  <c r="T68" i="16"/>
  <c r="T66" i="16"/>
  <c r="S66" i="16"/>
  <c r="P72" i="16"/>
  <c r="O72" i="16"/>
  <c r="Z61" i="16"/>
  <c r="Y61" i="16"/>
  <c r="M77" i="16"/>
  <c r="N77" i="16"/>
  <c r="AF48" i="16"/>
  <c r="AH48" i="16" s="1"/>
  <c r="AJ48" i="16" s="1"/>
  <c r="AE48" i="16"/>
  <c r="I48" i="16" s="1"/>
  <c r="V63" i="16"/>
  <c r="U63" i="16"/>
  <c r="K80" i="16"/>
  <c r="T70" i="16"/>
  <c r="S70" i="16"/>
  <c r="M79" i="16"/>
  <c r="N79" i="16"/>
  <c r="R71" i="16"/>
  <c r="Q71" i="16"/>
  <c r="AD55" i="16"/>
  <c r="AC55" i="16"/>
  <c r="P76" i="16"/>
  <c r="O76" i="16"/>
  <c r="AB56" i="16"/>
  <c r="AA56" i="16"/>
  <c r="AD51" i="16"/>
  <c r="AC51" i="16"/>
  <c r="Q73" i="16"/>
  <c r="R73" i="16"/>
  <c r="X62" i="16"/>
  <c r="W62" i="16"/>
  <c r="AB58" i="16"/>
  <c r="AA58" i="16"/>
  <c r="AF52" i="16"/>
  <c r="AH52" i="16" s="1"/>
  <c r="AJ52" i="16" s="1"/>
  <c r="AE52" i="16"/>
  <c r="I52" i="16" s="1"/>
  <c r="P74" i="16"/>
  <c r="O74" i="16"/>
  <c r="M75" i="16"/>
  <c r="N75" i="16"/>
  <c r="Z59" i="16"/>
  <c r="Y59" i="16"/>
  <c r="K82" i="16"/>
  <c r="U65" i="16"/>
  <c r="V65" i="16"/>
  <c r="AA54" i="16"/>
  <c r="AB54" i="16"/>
  <c r="AC53" i="16"/>
  <c r="AD53" i="16"/>
  <c r="Z57" i="16"/>
  <c r="Y57" i="16"/>
  <c r="K78" i="16"/>
  <c r="AF50" i="16"/>
  <c r="AH50" i="16" s="1"/>
  <c r="AJ50" i="16" s="1"/>
  <c r="AE50" i="16"/>
  <c r="I50" i="16" s="1"/>
  <c r="V67" i="16"/>
  <c r="U67" i="16"/>
  <c r="X60" i="16"/>
  <c r="W60" i="16"/>
  <c r="X64" i="16"/>
  <c r="W64" i="16"/>
  <c r="F50" i="12"/>
  <c r="I50" i="12" s="1"/>
  <c r="I49" i="12"/>
  <c r="F52" i="12"/>
  <c r="I52" i="12" s="1"/>
  <c r="I51" i="12"/>
  <c r="I11" i="12"/>
  <c r="L11" i="12"/>
  <c r="N11" i="12" s="1"/>
  <c r="F55" i="12"/>
  <c r="I10" i="12"/>
  <c r="L10" i="12"/>
  <c r="N10" i="12" s="1"/>
  <c r="N109" i="9"/>
  <c r="M109" i="9"/>
  <c r="L5" i="12"/>
  <c r="N5" i="12" s="1"/>
  <c r="I5" i="12"/>
  <c r="F63" i="12"/>
  <c r="F61" i="12"/>
  <c r="F57" i="12"/>
  <c r="F59" i="12"/>
  <c r="I6" i="12"/>
  <c r="L6" i="12"/>
  <c r="N6" i="12" s="1"/>
  <c r="F54" i="12"/>
  <c r="I54" i="12" s="1"/>
  <c r="D66" i="12"/>
  <c r="F66" i="12" s="1"/>
  <c r="I66" i="12" s="1"/>
  <c r="I53" i="12"/>
  <c r="F17" i="12"/>
  <c r="F41" i="12"/>
  <c r="F23" i="12"/>
  <c r="F45" i="12"/>
  <c r="F47" i="12"/>
  <c r="I3" i="12"/>
  <c r="L3" i="12"/>
  <c r="N3" i="12" s="1"/>
  <c r="F43" i="12"/>
  <c r="F25" i="12"/>
  <c r="F37" i="12"/>
  <c r="F31" i="12"/>
  <c r="I9" i="12"/>
  <c r="L9" i="12"/>
  <c r="N9" i="12" s="1"/>
  <c r="M44" i="8"/>
  <c r="N44" i="8"/>
  <c r="P44" i="8" s="1"/>
  <c r="P57" i="8"/>
  <c r="O57" i="8"/>
  <c r="N53" i="8"/>
  <c r="M53" i="8"/>
  <c r="M47" i="8"/>
  <c r="M36" i="8"/>
  <c r="N36" i="8"/>
  <c r="O36" i="8" s="1"/>
  <c r="M52" i="8"/>
  <c r="N52" i="8"/>
  <c r="P52" i="8" s="1"/>
  <c r="M62" i="8"/>
  <c r="N62" i="8"/>
  <c r="M54" i="8"/>
  <c r="M35" i="8"/>
  <c r="N51" i="8"/>
  <c r="P51" i="8" s="1"/>
  <c r="N68" i="8"/>
  <c r="P68" i="8" s="1"/>
  <c r="M55" i="8"/>
  <c r="N63" i="8"/>
  <c r="P63" i="8" s="1"/>
  <c r="M48" i="8"/>
  <c r="N67" i="8"/>
  <c r="O67" i="8" s="1"/>
  <c r="N66" i="8"/>
  <c r="P66" i="8" s="1"/>
  <c r="N64" i="8"/>
  <c r="O64" i="8" s="1"/>
  <c r="M65" i="8"/>
  <c r="N34" i="8"/>
  <c r="P34" i="8" s="1"/>
  <c r="M40" i="8"/>
  <c r="N37" i="8"/>
  <c r="M37" i="8"/>
  <c r="M49" i="8"/>
  <c r="N49" i="8"/>
  <c r="O39" i="8"/>
  <c r="P39" i="8"/>
  <c r="N56" i="8"/>
  <c r="M56" i="8"/>
  <c r="M38" i="8"/>
  <c r="N38" i="8"/>
  <c r="M50" i="8"/>
  <c r="N50" i="8"/>
  <c r="O65" i="8"/>
  <c r="P65" i="8"/>
  <c r="P286" i="16" l="1"/>
  <c r="O286" i="16"/>
  <c r="N287" i="16"/>
  <c r="M287" i="16"/>
  <c r="F288" i="16"/>
  <c r="H289" i="16"/>
  <c r="K288" i="16"/>
  <c r="R285" i="16"/>
  <c r="T285" i="16" s="1"/>
  <c r="V285" i="16" s="1"/>
  <c r="X285" i="16" s="1"/>
  <c r="Z285" i="16" s="1"/>
  <c r="AB285" i="16" s="1"/>
  <c r="AD285" i="16" s="1"/>
  <c r="AF285" i="16" s="1"/>
  <c r="AH285" i="16" s="1"/>
  <c r="AJ285" i="16" s="1"/>
  <c r="Q285" i="16"/>
  <c r="I285" i="16" s="1"/>
  <c r="R43" i="8"/>
  <c r="Q43" i="8"/>
  <c r="P60" i="8"/>
  <c r="R60" i="8" s="1"/>
  <c r="O97" i="21"/>
  <c r="P97" i="21"/>
  <c r="D92" i="8"/>
  <c r="F92" i="8" s="1"/>
  <c r="K92" i="8" s="1"/>
  <c r="D23" i="8"/>
  <c r="AH98" i="9"/>
  <c r="AG98" i="9"/>
  <c r="AH99" i="9"/>
  <c r="AG99" i="9"/>
  <c r="AD53" i="17"/>
  <c r="AC53" i="17"/>
  <c r="AJ57" i="17"/>
  <c r="AL57" i="17" s="1"/>
  <c r="AN57" i="17" s="1"/>
  <c r="AI57" i="17"/>
  <c r="M57" i="17" s="1"/>
  <c r="AA65" i="17"/>
  <c r="AB65" i="17"/>
  <c r="AC64" i="17"/>
  <c r="AD64" i="17"/>
  <c r="AG62" i="17"/>
  <c r="AH62" i="17"/>
  <c r="AF63" i="17"/>
  <c r="AE63" i="17"/>
  <c r="AA66" i="17"/>
  <c r="AB66" i="17"/>
  <c r="AG56" i="17"/>
  <c r="AH56" i="17"/>
  <c r="AD54" i="17"/>
  <c r="AC54" i="17"/>
  <c r="AF55" i="17"/>
  <c r="AE55" i="17"/>
  <c r="AJ61" i="17"/>
  <c r="AL61" i="17" s="1"/>
  <c r="AN61" i="17" s="1"/>
  <c r="AI61" i="17"/>
  <c r="M61" i="17" s="1"/>
  <c r="R47" i="8"/>
  <c r="S47" i="8" s="1"/>
  <c r="O48" i="8"/>
  <c r="P54" i="8"/>
  <c r="Q54" i="8" s="1"/>
  <c r="O35" i="8"/>
  <c r="O40" i="8"/>
  <c r="P55" i="8"/>
  <c r="Q55" i="8" s="1"/>
  <c r="O47" i="8"/>
  <c r="T42" i="8"/>
  <c r="U42" i="8" s="1"/>
  <c r="O90" i="8"/>
  <c r="R61" i="8"/>
  <c r="Q61" i="8"/>
  <c r="AJ44" i="17"/>
  <c r="AL44" i="17" s="1"/>
  <c r="AN44" i="17" s="1"/>
  <c r="AI44" i="17"/>
  <c r="M44" i="17" s="1"/>
  <c r="AH43" i="17"/>
  <c r="AG43" i="17"/>
  <c r="Y52" i="17"/>
  <c r="Z52" i="17"/>
  <c r="AB39" i="17"/>
  <c r="AA39" i="17"/>
  <c r="AH47" i="17"/>
  <c r="AG47" i="17"/>
  <c r="AB40" i="17"/>
  <c r="AA40" i="17"/>
  <c r="AC49" i="17"/>
  <c r="AD49" i="17"/>
  <c r="AA50" i="17"/>
  <c r="AB50" i="17"/>
  <c r="AJ46" i="17"/>
  <c r="AL46" i="17" s="1"/>
  <c r="AN46" i="17" s="1"/>
  <c r="AI46" i="17"/>
  <c r="M46" i="17" s="1"/>
  <c r="AD41" i="17"/>
  <c r="AC41" i="17"/>
  <c r="Z51" i="17"/>
  <c r="Y51" i="17"/>
  <c r="AE48" i="17"/>
  <c r="AF48" i="17"/>
  <c r="AF42" i="17"/>
  <c r="AE42" i="17"/>
  <c r="R58" i="8"/>
  <c r="Q58" i="8"/>
  <c r="AE37" i="17"/>
  <c r="AF37" i="17"/>
  <c r="N173" i="16"/>
  <c r="M173" i="16"/>
  <c r="O172" i="16"/>
  <c r="P172" i="16"/>
  <c r="R171" i="16"/>
  <c r="T171" i="16" s="1"/>
  <c r="V171" i="16" s="1"/>
  <c r="X171" i="16" s="1"/>
  <c r="Z171" i="16" s="1"/>
  <c r="AB171" i="16" s="1"/>
  <c r="AD171" i="16" s="1"/>
  <c r="AF171" i="16" s="1"/>
  <c r="AH171" i="16" s="1"/>
  <c r="AJ171" i="16" s="1"/>
  <c r="Q171" i="16"/>
  <c r="I171" i="16" s="1"/>
  <c r="H175" i="16"/>
  <c r="K174" i="16"/>
  <c r="O46" i="8"/>
  <c r="P46" i="8"/>
  <c r="R45" i="8"/>
  <c r="Q45" i="8"/>
  <c r="R90" i="8"/>
  <c r="Q90" i="8"/>
  <c r="AG86" i="17"/>
  <c r="AH86" i="17"/>
  <c r="AG90" i="17"/>
  <c r="AH90" i="17"/>
  <c r="AJ124" i="17"/>
  <c r="AL124" i="17" s="1"/>
  <c r="AN124" i="17" s="1"/>
  <c r="AI124" i="17"/>
  <c r="M124" i="17" s="1"/>
  <c r="AI75" i="17"/>
  <c r="M75" i="17" s="1"/>
  <c r="AJ75" i="17"/>
  <c r="AL75" i="17" s="1"/>
  <c r="AN75" i="17" s="1"/>
  <c r="AD81" i="17"/>
  <c r="AC81" i="17"/>
  <c r="AJ71" i="17"/>
  <c r="AL71" i="17" s="1"/>
  <c r="AN71" i="17" s="1"/>
  <c r="AI71" i="17"/>
  <c r="M71" i="17" s="1"/>
  <c r="AA82" i="17"/>
  <c r="AB82" i="17"/>
  <c r="AF85" i="17"/>
  <c r="AE85" i="17"/>
  <c r="AA83" i="17"/>
  <c r="AB83" i="17"/>
  <c r="AB93" i="17"/>
  <c r="AA93" i="17"/>
  <c r="AH34" i="17"/>
  <c r="AG34" i="17"/>
  <c r="AF36" i="17"/>
  <c r="AE36" i="17"/>
  <c r="AH117" i="17"/>
  <c r="AG117" i="17"/>
  <c r="AG76" i="17"/>
  <c r="AH76" i="17"/>
  <c r="AE78" i="17"/>
  <c r="AF78" i="17"/>
  <c r="AF69" i="17"/>
  <c r="AE69" i="17"/>
  <c r="AG70" i="17"/>
  <c r="AH70" i="17"/>
  <c r="AE25" i="17"/>
  <c r="AF25" i="17"/>
  <c r="AF38" i="17"/>
  <c r="AE38" i="17"/>
  <c r="AJ87" i="17"/>
  <c r="AL87" i="17" s="1"/>
  <c r="AN87" i="17" s="1"/>
  <c r="AI87" i="17"/>
  <c r="M87" i="17" s="1"/>
  <c r="AE79" i="17"/>
  <c r="AF79" i="17"/>
  <c r="AA94" i="17"/>
  <c r="AB94" i="17"/>
  <c r="AH26" i="17"/>
  <c r="AG26" i="17"/>
  <c r="AI33" i="17"/>
  <c r="M33" i="17" s="1"/>
  <c r="AJ33" i="17"/>
  <c r="AL33" i="17" s="1"/>
  <c r="AN33" i="17" s="1"/>
  <c r="AC80" i="17"/>
  <c r="AD80" i="17"/>
  <c r="AI113" i="17"/>
  <c r="M113" i="17" s="1"/>
  <c r="AJ113" i="17"/>
  <c r="AL113" i="17" s="1"/>
  <c r="AN113" i="17" s="1"/>
  <c r="AG118" i="17"/>
  <c r="AH118" i="17"/>
  <c r="AJ116" i="17"/>
  <c r="AL116" i="17" s="1"/>
  <c r="AN116" i="17" s="1"/>
  <c r="AI116" i="17"/>
  <c r="M116" i="17" s="1"/>
  <c r="AD67" i="17"/>
  <c r="AC67" i="17"/>
  <c r="AE24" i="17"/>
  <c r="AF24" i="17"/>
  <c r="AC92" i="17"/>
  <c r="AD92" i="17"/>
  <c r="AC84" i="17"/>
  <c r="AD84" i="17"/>
  <c r="AJ114" i="17"/>
  <c r="AL114" i="17" s="1"/>
  <c r="AN114" i="17" s="1"/>
  <c r="AI114" i="17"/>
  <c r="M114" i="17" s="1"/>
  <c r="AD68" i="17"/>
  <c r="AC68" i="17"/>
  <c r="AJ27" i="17"/>
  <c r="AL27" i="17" s="1"/>
  <c r="AN27" i="17" s="1"/>
  <c r="AI27" i="17"/>
  <c r="M27" i="17" s="1"/>
  <c r="AJ123" i="17"/>
  <c r="AL123" i="17" s="1"/>
  <c r="AN123" i="17" s="1"/>
  <c r="AI123" i="17"/>
  <c r="M123" i="17" s="1"/>
  <c r="AE91" i="17"/>
  <c r="AF91" i="17"/>
  <c r="AE77" i="17"/>
  <c r="AF77" i="17"/>
  <c r="AI89" i="17"/>
  <c r="M89" i="17" s="1"/>
  <c r="AJ89" i="17"/>
  <c r="AL89" i="17" s="1"/>
  <c r="AN89" i="17" s="1"/>
  <c r="AJ120" i="17"/>
  <c r="AL120" i="17" s="1"/>
  <c r="AN120" i="17" s="1"/>
  <c r="AI120" i="17"/>
  <c r="M120" i="17" s="1"/>
  <c r="X67" i="16"/>
  <c r="W67" i="16"/>
  <c r="AB57" i="16"/>
  <c r="AA57" i="16"/>
  <c r="AD54" i="16"/>
  <c r="AC54" i="16"/>
  <c r="AF55" i="16"/>
  <c r="AH55" i="16" s="1"/>
  <c r="AJ55" i="16" s="1"/>
  <c r="AE55" i="16"/>
  <c r="I55" i="16" s="1"/>
  <c r="M80" i="16"/>
  <c r="N80" i="16"/>
  <c r="P77" i="16"/>
  <c r="O77" i="16"/>
  <c r="T69" i="16"/>
  <c r="S69" i="16"/>
  <c r="M78" i="16"/>
  <c r="N78" i="16"/>
  <c r="AF53" i="16"/>
  <c r="AH53" i="16" s="1"/>
  <c r="AJ53" i="16" s="1"/>
  <c r="AE53" i="16"/>
  <c r="I53" i="16" s="1"/>
  <c r="M82" i="16"/>
  <c r="N82" i="16"/>
  <c r="K83" i="16"/>
  <c r="R72" i="16"/>
  <c r="Q72" i="16"/>
  <c r="V68" i="16"/>
  <c r="U68" i="16"/>
  <c r="W65" i="16"/>
  <c r="X65" i="16"/>
  <c r="Z62" i="16"/>
  <c r="Y62" i="16"/>
  <c r="AF51" i="16"/>
  <c r="AH51" i="16" s="1"/>
  <c r="AJ51" i="16" s="1"/>
  <c r="AE51" i="16"/>
  <c r="I51" i="16" s="1"/>
  <c r="R76" i="16"/>
  <c r="Q76" i="16"/>
  <c r="K81" i="16"/>
  <c r="K85" i="16"/>
  <c r="AB59" i="16"/>
  <c r="AA59" i="16"/>
  <c r="R74" i="16"/>
  <c r="Q74" i="16"/>
  <c r="AD58" i="16"/>
  <c r="AC58" i="16"/>
  <c r="AD56" i="16"/>
  <c r="AC56" i="16"/>
  <c r="O79" i="16"/>
  <c r="P79" i="16"/>
  <c r="V66" i="16"/>
  <c r="U66" i="16"/>
  <c r="Z60" i="16"/>
  <c r="Y60" i="16"/>
  <c r="O75" i="16"/>
  <c r="P75" i="16"/>
  <c r="Z64" i="16"/>
  <c r="Y64" i="16"/>
  <c r="T73" i="16"/>
  <c r="S73" i="16"/>
  <c r="T71" i="16"/>
  <c r="S71" i="16"/>
  <c r="V70" i="16"/>
  <c r="U70" i="16"/>
  <c r="X63" i="16"/>
  <c r="W63" i="16"/>
  <c r="AB61" i="16"/>
  <c r="AA61" i="16"/>
  <c r="O44" i="8"/>
  <c r="P36" i="8"/>
  <c r="Q36" i="8" s="1"/>
  <c r="F32" i="12"/>
  <c r="I32" i="12" s="1"/>
  <c r="F33" i="12"/>
  <c r="I31" i="12"/>
  <c r="F27" i="12"/>
  <c r="I25" i="12"/>
  <c r="F26" i="12"/>
  <c r="I26" i="12" s="1"/>
  <c r="F48" i="12"/>
  <c r="I48" i="12" s="1"/>
  <c r="I47" i="12"/>
  <c r="F24" i="12"/>
  <c r="I24" i="12" s="1"/>
  <c r="I23" i="12"/>
  <c r="I17" i="12"/>
  <c r="F18" i="12"/>
  <c r="I18" i="12" s="1"/>
  <c r="F19" i="12"/>
  <c r="K66" i="12"/>
  <c r="L66" i="12"/>
  <c r="F60" i="12"/>
  <c r="I60" i="12" s="1"/>
  <c r="I59" i="12"/>
  <c r="F62" i="12"/>
  <c r="I62" i="12" s="1"/>
  <c r="I61" i="12"/>
  <c r="F56" i="12"/>
  <c r="I56" i="12" s="1"/>
  <c r="I55" i="12"/>
  <c r="L52" i="12"/>
  <c r="K52" i="12"/>
  <c r="L50" i="12"/>
  <c r="K50" i="12"/>
  <c r="F39" i="12"/>
  <c r="I37" i="12"/>
  <c r="F38" i="12"/>
  <c r="I38" i="12" s="1"/>
  <c r="F44" i="12"/>
  <c r="I44" i="12" s="1"/>
  <c r="I43" i="12"/>
  <c r="I45" i="12"/>
  <c r="F46" i="12"/>
  <c r="I46" i="12" s="1"/>
  <c r="F42" i="12"/>
  <c r="I42" i="12" s="1"/>
  <c r="I41" i="12"/>
  <c r="K53" i="12"/>
  <c r="L53" i="12"/>
  <c r="L54" i="12"/>
  <c r="K54" i="12"/>
  <c r="F58" i="12"/>
  <c r="I58" i="12" s="1"/>
  <c r="I57" i="12"/>
  <c r="F64" i="12"/>
  <c r="I64" i="12" s="1"/>
  <c r="I63" i="12"/>
  <c r="P109" i="9"/>
  <c r="O109" i="9"/>
  <c r="L51" i="12"/>
  <c r="K51" i="12"/>
  <c r="K49" i="12"/>
  <c r="L49" i="12"/>
  <c r="R57" i="8"/>
  <c r="Q57" i="8"/>
  <c r="O52" i="8"/>
  <c r="P53" i="8"/>
  <c r="O53" i="8"/>
  <c r="O51" i="8"/>
  <c r="O62" i="8"/>
  <c r="P62" i="8"/>
  <c r="R52" i="8"/>
  <c r="Q52" i="8"/>
  <c r="O66" i="8"/>
  <c r="O34" i="8"/>
  <c r="O63" i="8"/>
  <c r="O68" i="8"/>
  <c r="P67" i="8"/>
  <c r="R67" i="8" s="1"/>
  <c r="P64" i="8"/>
  <c r="Q64" i="8" s="1"/>
  <c r="R48" i="8"/>
  <c r="Q48" i="8"/>
  <c r="O38" i="8"/>
  <c r="P38" i="8"/>
  <c r="Q44" i="8"/>
  <c r="R44" i="8"/>
  <c r="P49" i="8"/>
  <c r="O49" i="8"/>
  <c r="Q34" i="8"/>
  <c r="R34" i="8"/>
  <c r="R40" i="8"/>
  <c r="Q40" i="8"/>
  <c r="Q65" i="8"/>
  <c r="R65" i="8"/>
  <c r="O50" i="8"/>
  <c r="P50" i="8"/>
  <c r="Q63" i="8"/>
  <c r="R63" i="8"/>
  <c r="R51" i="8"/>
  <c r="Q51" i="8"/>
  <c r="Q39" i="8"/>
  <c r="R39" i="8"/>
  <c r="Q35" i="8"/>
  <c r="R35" i="8"/>
  <c r="O56" i="8"/>
  <c r="P56" i="8"/>
  <c r="Q66" i="8"/>
  <c r="R66" i="8"/>
  <c r="Q68" i="8"/>
  <c r="R68" i="8"/>
  <c r="P37" i="8"/>
  <c r="O37" i="8"/>
  <c r="M288" i="16" l="1"/>
  <c r="N288" i="16"/>
  <c r="K289" i="16"/>
  <c r="H290" i="16"/>
  <c r="F289" i="16"/>
  <c r="P287" i="16"/>
  <c r="O287" i="16"/>
  <c r="R286" i="16"/>
  <c r="T286" i="16" s="1"/>
  <c r="V286" i="16" s="1"/>
  <c r="X286" i="16" s="1"/>
  <c r="Z286" i="16" s="1"/>
  <c r="AB286" i="16" s="1"/>
  <c r="AD286" i="16" s="1"/>
  <c r="AF286" i="16" s="1"/>
  <c r="AH286" i="16" s="1"/>
  <c r="AJ286" i="16" s="1"/>
  <c r="Q286" i="16"/>
  <c r="I286" i="16" s="1"/>
  <c r="Q60" i="8"/>
  <c r="T43" i="8"/>
  <c r="S43" i="8"/>
  <c r="N92" i="8"/>
  <c r="M92" i="8"/>
  <c r="Q97" i="21"/>
  <c r="R97" i="21"/>
  <c r="D24" i="8"/>
  <c r="F24" i="8" s="1"/>
  <c r="D26" i="8"/>
  <c r="F26" i="8" s="1"/>
  <c r="D25" i="8"/>
  <c r="F25" i="8" s="1"/>
  <c r="F23" i="8"/>
  <c r="AJ99" i="9"/>
  <c r="AK99" i="9" s="1"/>
  <c r="AI99" i="9"/>
  <c r="AJ98" i="9"/>
  <c r="AK98" i="9" s="1"/>
  <c r="AI98" i="9"/>
  <c r="AJ56" i="17"/>
  <c r="AL56" i="17" s="1"/>
  <c r="AN56" i="17" s="1"/>
  <c r="AI56" i="17"/>
  <c r="M56" i="17" s="1"/>
  <c r="AH55" i="17"/>
  <c r="AG55" i="17"/>
  <c r="AH63" i="17"/>
  <c r="AG63" i="17"/>
  <c r="AE64" i="17"/>
  <c r="AF64" i="17"/>
  <c r="AF53" i="17"/>
  <c r="AE53" i="17"/>
  <c r="AC66" i="17"/>
  <c r="AD66" i="17"/>
  <c r="AI62" i="17"/>
  <c r="M62" i="17" s="1"/>
  <c r="AJ62" i="17"/>
  <c r="AL62" i="17" s="1"/>
  <c r="AN62" i="17" s="1"/>
  <c r="AE54" i="17"/>
  <c r="AF54" i="17"/>
  <c r="AC65" i="17"/>
  <c r="AD65" i="17"/>
  <c r="T47" i="8"/>
  <c r="V47" i="8" s="1"/>
  <c r="R54" i="8"/>
  <c r="S54" i="8" s="1"/>
  <c r="R55" i="8"/>
  <c r="S55" i="8" s="1"/>
  <c r="V42" i="8"/>
  <c r="W42" i="8" s="1"/>
  <c r="T61" i="8"/>
  <c r="S61" i="8"/>
  <c r="T60" i="8"/>
  <c r="S60" i="8"/>
  <c r="AH42" i="17"/>
  <c r="AG42" i="17"/>
  <c r="AA51" i="17"/>
  <c r="AB51" i="17"/>
  <c r="AB52" i="17"/>
  <c r="AA52" i="17"/>
  <c r="AH48" i="17"/>
  <c r="AG48" i="17"/>
  <c r="AI47" i="17"/>
  <c r="M47" i="17" s="1"/>
  <c r="AJ47" i="17"/>
  <c r="AL47" i="17" s="1"/>
  <c r="AN47" i="17" s="1"/>
  <c r="AF41" i="17"/>
  <c r="AE41" i="17"/>
  <c r="AD50" i="17"/>
  <c r="AC50" i="17"/>
  <c r="AF49" i="17"/>
  <c r="AE49" i="17"/>
  <c r="AC40" i="17"/>
  <c r="AD40" i="17"/>
  <c r="AD39" i="17"/>
  <c r="AC39" i="17"/>
  <c r="AJ43" i="17"/>
  <c r="AL43" i="17" s="1"/>
  <c r="AN43" i="17" s="1"/>
  <c r="AI43" i="17"/>
  <c r="M43" i="17" s="1"/>
  <c r="T58" i="8"/>
  <c r="S58" i="8"/>
  <c r="AH37" i="17"/>
  <c r="AG37" i="17"/>
  <c r="K175" i="16"/>
  <c r="H176" i="16"/>
  <c r="N174" i="16"/>
  <c r="M174" i="16"/>
  <c r="O173" i="16"/>
  <c r="P173" i="16"/>
  <c r="R172" i="16"/>
  <c r="T172" i="16" s="1"/>
  <c r="V172" i="16" s="1"/>
  <c r="X172" i="16" s="1"/>
  <c r="Z172" i="16" s="1"/>
  <c r="AB172" i="16" s="1"/>
  <c r="AD172" i="16" s="1"/>
  <c r="AF172" i="16" s="1"/>
  <c r="AH172" i="16" s="1"/>
  <c r="AJ172" i="16" s="1"/>
  <c r="Q172" i="16"/>
  <c r="I172" i="16" s="1"/>
  <c r="T45" i="8"/>
  <c r="S45" i="8"/>
  <c r="Q46" i="8"/>
  <c r="R46" i="8"/>
  <c r="T90" i="8"/>
  <c r="S90" i="8"/>
  <c r="AH79" i="17"/>
  <c r="AG79" i="17"/>
  <c r="AJ117" i="17"/>
  <c r="AL117" i="17" s="1"/>
  <c r="AN117" i="17" s="1"/>
  <c r="AI117" i="17"/>
  <c r="M117" i="17" s="1"/>
  <c r="AE81" i="17"/>
  <c r="AF81" i="17"/>
  <c r="AH77" i="17"/>
  <c r="AG77" i="17"/>
  <c r="AF84" i="17"/>
  <c r="AE84" i="17"/>
  <c r="AH24" i="17"/>
  <c r="AG24" i="17"/>
  <c r="AD94" i="17"/>
  <c r="AC94" i="17"/>
  <c r="AG25" i="17"/>
  <c r="AH25" i="17"/>
  <c r="AI76" i="17"/>
  <c r="M76" i="17" s="1"/>
  <c r="AJ76" i="17"/>
  <c r="AL76" i="17" s="1"/>
  <c r="AN76" i="17" s="1"/>
  <c r="AJ90" i="17"/>
  <c r="AL90" i="17" s="1"/>
  <c r="AN90" i="17" s="1"/>
  <c r="AI90" i="17"/>
  <c r="M90" i="17" s="1"/>
  <c r="AG91" i="17"/>
  <c r="AH91" i="17"/>
  <c r="AE92" i="17"/>
  <c r="AF92" i="17"/>
  <c r="AI118" i="17"/>
  <c r="M118" i="17" s="1"/>
  <c r="AJ118" i="17"/>
  <c r="AL118" i="17" s="1"/>
  <c r="AN118" i="17" s="1"/>
  <c r="AF80" i="17"/>
  <c r="AE80" i="17"/>
  <c r="AI70" i="17"/>
  <c r="M70" i="17" s="1"/>
  <c r="AJ70" i="17"/>
  <c r="AL70" i="17" s="1"/>
  <c r="AN70" i="17" s="1"/>
  <c r="AH78" i="17"/>
  <c r="AG78" i="17"/>
  <c r="AC83" i="17"/>
  <c r="AD83" i="17"/>
  <c r="AD82" i="17"/>
  <c r="AC82" i="17"/>
  <c r="AI86" i="17"/>
  <c r="M86" i="17" s="1"/>
  <c r="AJ86" i="17"/>
  <c r="AL86" i="17" s="1"/>
  <c r="AN86" i="17" s="1"/>
  <c r="AE67" i="17"/>
  <c r="AF67" i="17"/>
  <c r="AI26" i="17"/>
  <c r="M26" i="17" s="1"/>
  <c r="AJ26" i="17"/>
  <c r="AL26" i="17" s="1"/>
  <c r="AN26" i="17" s="1"/>
  <c r="AH38" i="17"/>
  <c r="AG38" i="17"/>
  <c r="AI34" i="17"/>
  <c r="M34" i="17" s="1"/>
  <c r="AJ34" i="17"/>
  <c r="AL34" i="17" s="1"/>
  <c r="AN34" i="17" s="1"/>
  <c r="AE68" i="17"/>
  <c r="AF68" i="17"/>
  <c r="AG69" i="17"/>
  <c r="AH69" i="17"/>
  <c r="AG36" i="17"/>
  <c r="AH36" i="17"/>
  <c r="AC93" i="17"/>
  <c r="AD93" i="17"/>
  <c r="AH85" i="17"/>
  <c r="AG85" i="17"/>
  <c r="V71" i="16"/>
  <c r="U71" i="16"/>
  <c r="Q79" i="16"/>
  <c r="R79" i="16"/>
  <c r="AD61" i="16"/>
  <c r="AC61" i="16"/>
  <c r="X70" i="16"/>
  <c r="W70" i="16"/>
  <c r="V73" i="16"/>
  <c r="U73" i="16"/>
  <c r="Q75" i="16"/>
  <c r="R75" i="16"/>
  <c r="M85" i="16"/>
  <c r="N85" i="16"/>
  <c r="Z65" i="16"/>
  <c r="Y65" i="16"/>
  <c r="X68" i="16"/>
  <c r="W68" i="16"/>
  <c r="M83" i="16"/>
  <c r="N83" i="16"/>
  <c r="O82" i="16"/>
  <c r="P82" i="16"/>
  <c r="P78" i="16"/>
  <c r="O78" i="16"/>
  <c r="AF54" i="16"/>
  <c r="AH54" i="16" s="1"/>
  <c r="AJ54" i="16" s="1"/>
  <c r="AE54" i="16"/>
  <c r="I54" i="16" s="1"/>
  <c r="Z67" i="16"/>
  <c r="Y67" i="16"/>
  <c r="X66" i="16"/>
  <c r="W66" i="16"/>
  <c r="AF56" i="16"/>
  <c r="AH56" i="16" s="1"/>
  <c r="AJ56" i="16" s="1"/>
  <c r="AE56" i="16"/>
  <c r="I56" i="16" s="1"/>
  <c r="T74" i="16"/>
  <c r="S74" i="16"/>
  <c r="K88" i="16"/>
  <c r="K86" i="16"/>
  <c r="R77" i="16"/>
  <c r="Q77" i="16"/>
  <c r="Z63" i="16"/>
  <c r="Y63" i="16"/>
  <c r="AB64" i="16"/>
  <c r="AA64" i="16"/>
  <c r="M81" i="16"/>
  <c r="N81" i="16"/>
  <c r="T76" i="16"/>
  <c r="S76" i="16"/>
  <c r="AB62" i="16"/>
  <c r="AA62" i="16"/>
  <c r="T72" i="16"/>
  <c r="S72" i="16"/>
  <c r="O80" i="16"/>
  <c r="P80" i="16"/>
  <c r="AC57" i="16"/>
  <c r="AD57" i="16"/>
  <c r="AB60" i="16"/>
  <c r="AA60" i="16"/>
  <c r="AF58" i="16"/>
  <c r="AH58" i="16" s="1"/>
  <c r="AJ58" i="16" s="1"/>
  <c r="AE58" i="16"/>
  <c r="I58" i="16" s="1"/>
  <c r="AD59" i="16"/>
  <c r="AC59" i="16"/>
  <c r="K84" i="16"/>
  <c r="V69" i="16"/>
  <c r="U69" i="16"/>
  <c r="R36" i="8"/>
  <c r="S36" i="8" s="1"/>
  <c r="Q67" i="8"/>
  <c r="N51" i="12"/>
  <c r="M51" i="12"/>
  <c r="Q109" i="9"/>
  <c r="R109" i="9"/>
  <c r="K64" i="12"/>
  <c r="L64" i="12"/>
  <c r="L58" i="12"/>
  <c r="K58" i="12"/>
  <c r="N54" i="12"/>
  <c r="M54" i="12"/>
  <c r="K42" i="12"/>
  <c r="L42" i="12"/>
  <c r="K45" i="12"/>
  <c r="L45" i="12"/>
  <c r="K44" i="12"/>
  <c r="L44" i="12"/>
  <c r="K37" i="12"/>
  <c r="L37" i="12"/>
  <c r="L55" i="12"/>
  <c r="K55" i="12"/>
  <c r="K61" i="12"/>
  <c r="L61" i="12"/>
  <c r="K59" i="12"/>
  <c r="L59" i="12"/>
  <c r="M66" i="12"/>
  <c r="N66" i="12"/>
  <c r="F21" i="12"/>
  <c r="F20" i="12"/>
  <c r="I20" i="12" s="1"/>
  <c r="I19" i="12"/>
  <c r="K17" i="12"/>
  <c r="L17" i="12"/>
  <c r="K24" i="12"/>
  <c r="L24" i="12"/>
  <c r="L48" i="12"/>
  <c r="K48" i="12"/>
  <c r="K25" i="12"/>
  <c r="L25" i="12"/>
  <c r="K31" i="12"/>
  <c r="L31" i="12"/>
  <c r="K32" i="12"/>
  <c r="L32" i="12"/>
  <c r="M49" i="12"/>
  <c r="N49" i="12"/>
  <c r="L63" i="12"/>
  <c r="K63" i="12"/>
  <c r="L57" i="12"/>
  <c r="K57" i="12"/>
  <c r="M53" i="12"/>
  <c r="N53" i="12"/>
  <c r="L41" i="12"/>
  <c r="K41" i="12"/>
  <c r="L46" i="12"/>
  <c r="K46" i="12"/>
  <c r="L43" i="12"/>
  <c r="K43" i="12"/>
  <c r="K38" i="12"/>
  <c r="L38" i="12"/>
  <c r="F40" i="12"/>
  <c r="I40" i="12" s="1"/>
  <c r="I39" i="12"/>
  <c r="M50" i="12"/>
  <c r="N50" i="12"/>
  <c r="N52" i="12"/>
  <c r="M52" i="12"/>
  <c r="L56" i="12"/>
  <c r="K56" i="12"/>
  <c r="K62" i="12"/>
  <c r="L62" i="12"/>
  <c r="L60" i="12"/>
  <c r="K60" i="12"/>
  <c r="K18" i="12"/>
  <c r="L18" i="12"/>
  <c r="L23" i="12"/>
  <c r="K23" i="12"/>
  <c r="L47" i="12"/>
  <c r="K47" i="12"/>
  <c r="K26" i="12"/>
  <c r="L26" i="12"/>
  <c r="F28" i="12"/>
  <c r="I28" i="12" s="1"/>
  <c r="F29" i="12"/>
  <c r="I27" i="12"/>
  <c r="F35" i="12"/>
  <c r="I33" i="12"/>
  <c r="F34" i="12"/>
  <c r="I34" i="12" s="1"/>
  <c r="T57" i="8"/>
  <c r="S57" i="8"/>
  <c r="R53" i="8"/>
  <c r="Q53" i="8"/>
  <c r="Q62" i="8"/>
  <c r="R62" i="8"/>
  <c r="T52" i="8"/>
  <c r="S52" i="8"/>
  <c r="R64" i="8"/>
  <c r="T64" i="8" s="1"/>
  <c r="T54" i="8"/>
  <c r="S68" i="8"/>
  <c r="T68" i="8"/>
  <c r="T66" i="8"/>
  <c r="S66" i="8"/>
  <c r="Q56" i="8"/>
  <c r="R56" i="8"/>
  <c r="S35" i="8"/>
  <c r="T35" i="8"/>
  <c r="S39" i="8"/>
  <c r="T39" i="8"/>
  <c r="S63" i="8"/>
  <c r="T63" i="8"/>
  <c r="Q50" i="8"/>
  <c r="R50" i="8"/>
  <c r="T65" i="8"/>
  <c r="S65" i="8"/>
  <c r="Q49" i="8"/>
  <c r="R49" i="8"/>
  <c r="S48" i="8"/>
  <c r="T48" i="8"/>
  <c r="R37" i="8"/>
  <c r="Q37" i="8"/>
  <c r="T51" i="8"/>
  <c r="S51" i="8"/>
  <c r="S40" i="8"/>
  <c r="T40" i="8"/>
  <c r="S34" i="8"/>
  <c r="T34" i="8"/>
  <c r="S67" i="8"/>
  <c r="T67" i="8"/>
  <c r="S44" i="8"/>
  <c r="T44" i="8"/>
  <c r="Q38" i="8"/>
  <c r="R38" i="8"/>
  <c r="X47" i="8" l="1"/>
  <c r="Z47" i="8" s="1"/>
  <c r="AB47" i="8" s="1"/>
  <c r="AD47" i="8" s="1"/>
  <c r="AF47" i="8" s="1"/>
  <c r="AH47" i="8" s="1"/>
  <c r="AJ47" i="8" s="1"/>
  <c r="W47" i="8"/>
  <c r="U47" i="8"/>
  <c r="G47" i="8" s="1"/>
  <c r="K290" i="16"/>
  <c r="F290" i="16"/>
  <c r="H291" i="16"/>
  <c r="R287" i="16"/>
  <c r="T287" i="16" s="1"/>
  <c r="V287" i="16" s="1"/>
  <c r="X287" i="16" s="1"/>
  <c r="Z287" i="16" s="1"/>
  <c r="AB287" i="16" s="1"/>
  <c r="AD287" i="16" s="1"/>
  <c r="AF287" i="16" s="1"/>
  <c r="AH287" i="16" s="1"/>
  <c r="AJ287" i="16" s="1"/>
  <c r="Q287" i="16"/>
  <c r="I287" i="16" s="1"/>
  <c r="M289" i="16"/>
  <c r="N289" i="16"/>
  <c r="P288" i="16"/>
  <c r="O288" i="16"/>
  <c r="V43" i="8"/>
  <c r="U43" i="8"/>
  <c r="N23" i="8"/>
  <c r="P23" i="8" s="1"/>
  <c r="K23" i="8"/>
  <c r="T97" i="21"/>
  <c r="S97" i="21"/>
  <c r="N25" i="8"/>
  <c r="P25" i="8" s="1"/>
  <c r="K25" i="8"/>
  <c r="K26" i="8"/>
  <c r="N26" i="8"/>
  <c r="P26" i="8" s="1"/>
  <c r="K24" i="8"/>
  <c r="N24" i="8"/>
  <c r="P24" i="8" s="1"/>
  <c r="P92" i="8"/>
  <c r="O92" i="8"/>
  <c r="G99" i="9"/>
  <c r="G98" i="9"/>
  <c r="AH53" i="17"/>
  <c r="AG53" i="17"/>
  <c r="AJ63" i="17"/>
  <c r="AL63" i="17" s="1"/>
  <c r="AN63" i="17" s="1"/>
  <c r="AI63" i="17"/>
  <c r="M63" i="17" s="1"/>
  <c r="AH54" i="17"/>
  <c r="AG54" i="17"/>
  <c r="AE66" i="17"/>
  <c r="AF66" i="17"/>
  <c r="AG64" i="17"/>
  <c r="AH64" i="17"/>
  <c r="AJ55" i="17"/>
  <c r="AL55" i="17" s="1"/>
  <c r="AN55" i="17" s="1"/>
  <c r="AI55" i="17"/>
  <c r="M55" i="17" s="1"/>
  <c r="AE65" i="17"/>
  <c r="AF65" i="17"/>
  <c r="T55" i="8"/>
  <c r="V55" i="8" s="1"/>
  <c r="X55" i="8" s="1"/>
  <c r="Z55" i="8" s="1"/>
  <c r="AB55" i="8" s="1"/>
  <c r="AD55" i="8" s="1"/>
  <c r="AF55" i="8" s="1"/>
  <c r="AH55" i="8" s="1"/>
  <c r="AJ55" i="8" s="1"/>
  <c r="X42" i="8"/>
  <c r="Y42" i="8" s="1"/>
  <c r="V61" i="8"/>
  <c r="U61" i="8"/>
  <c r="V60" i="8"/>
  <c r="U60" i="8"/>
  <c r="AG49" i="17"/>
  <c r="AH49" i="17"/>
  <c r="AH41" i="17"/>
  <c r="AG41" i="17"/>
  <c r="AI48" i="17"/>
  <c r="M48" i="17" s="1"/>
  <c r="AJ48" i="17"/>
  <c r="AL48" i="17" s="1"/>
  <c r="AN48" i="17" s="1"/>
  <c r="AF39" i="17"/>
  <c r="AE39" i="17"/>
  <c r="AE50" i="17"/>
  <c r="AF50" i="17"/>
  <c r="AC52" i="17"/>
  <c r="AD52" i="17"/>
  <c r="AJ42" i="17"/>
  <c r="AL42" i="17" s="1"/>
  <c r="AN42" i="17" s="1"/>
  <c r="AI42" i="17"/>
  <c r="M42" i="17" s="1"/>
  <c r="AF40" i="17"/>
  <c r="AE40" i="17"/>
  <c r="AD51" i="17"/>
  <c r="AC51" i="17"/>
  <c r="V58" i="8"/>
  <c r="U58" i="8"/>
  <c r="T36" i="8"/>
  <c r="V36" i="8" s="1"/>
  <c r="AJ37" i="17"/>
  <c r="AL37" i="17" s="1"/>
  <c r="AN37" i="17" s="1"/>
  <c r="AI37" i="17"/>
  <c r="M37" i="17" s="1"/>
  <c r="R173" i="16"/>
  <c r="T173" i="16" s="1"/>
  <c r="V173" i="16" s="1"/>
  <c r="X173" i="16" s="1"/>
  <c r="Z173" i="16" s="1"/>
  <c r="AB173" i="16" s="1"/>
  <c r="AD173" i="16" s="1"/>
  <c r="AF173" i="16" s="1"/>
  <c r="AH173" i="16" s="1"/>
  <c r="AJ173" i="16" s="1"/>
  <c r="Q173" i="16"/>
  <c r="I173" i="16" s="1"/>
  <c r="H177" i="16"/>
  <c r="K176" i="16"/>
  <c r="O174" i="16"/>
  <c r="P174" i="16"/>
  <c r="N175" i="16"/>
  <c r="M175" i="16"/>
  <c r="T46" i="8"/>
  <c r="S46" i="8"/>
  <c r="V45" i="8"/>
  <c r="U45" i="8"/>
  <c r="V90" i="8"/>
  <c r="U90" i="8"/>
  <c r="AJ85" i="17"/>
  <c r="AL85" i="17" s="1"/>
  <c r="AN85" i="17" s="1"/>
  <c r="AI85" i="17"/>
  <c r="M85" i="17" s="1"/>
  <c r="AI38" i="17"/>
  <c r="M38" i="17" s="1"/>
  <c r="AJ38" i="17"/>
  <c r="AL38" i="17" s="1"/>
  <c r="AN38" i="17" s="1"/>
  <c r="AF82" i="17"/>
  <c r="AE82" i="17"/>
  <c r="AJ24" i="17"/>
  <c r="AL24" i="17" s="1"/>
  <c r="AN24" i="17" s="1"/>
  <c r="AI24" i="17"/>
  <c r="M24" i="17" s="1"/>
  <c r="AI77" i="17"/>
  <c r="M77" i="17" s="1"/>
  <c r="AJ77" i="17"/>
  <c r="AL77" i="17" s="1"/>
  <c r="AN77" i="17" s="1"/>
  <c r="AI91" i="17"/>
  <c r="M91" i="17" s="1"/>
  <c r="AJ91" i="17"/>
  <c r="AL91" i="17" s="1"/>
  <c r="AN91" i="17" s="1"/>
  <c r="AH81" i="17"/>
  <c r="AG81" i="17"/>
  <c r="AF94" i="17"/>
  <c r="AE94" i="17"/>
  <c r="AG84" i="17"/>
  <c r="AH84" i="17"/>
  <c r="AJ79" i="17"/>
  <c r="AL79" i="17" s="1"/>
  <c r="AN79" i="17" s="1"/>
  <c r="AI79" i="17"/>
  <c r="M79" i="17" s="1"/>
  <c r="AJ78" i="17"/>
  <c r="AL78" i="17" s="1"/>
  <c r="AN78" i="17" s="1"/>
  <c r="AI78" i="17"/>
  <c r="M78" i="17" s="1"/>
  <c r="AH80" i="17"/>
  <c r="AG80" i="17"/>
  <c r="AE93" i="17"/>
  <c r="AF93" i="17"/>
  <c r="AI69" i="17"/>
  <c r="M69" i="17" s="1"/>
  <c r="AJ69" i="17"/>
  <c r="AL69" i="17" s="1"/>
  <c r="AN69" i="17" s="1"/>
  <c r="AE83" i="17"/>
  <c r="AF83" i="17"/>
  <c r="AJ36" i="17"/>
  <c r="AL36" i="17" s="1"/>
  <c r="AN36" i="17" s="1"/>
  <c r="AI36" i="17"/>
  <c r="M36" i="17" s="1"/>
  <c r="AH68" i="17"/>
  <c r="AG68" i="17"/>
  <c r="AH67" i="17"/>
  <c r="AG67" i="17"/>
  <c r="AH92" i="17"/>
  <c r="AG92" i="17"/>
  <c r="AJ25" i="17"/>
  <c r="AL25" i="17" s="1"/>
  <c r="AN25" i="17" s="1"/>
  <c r="AI25" i="17"/>
  <c r="M25" i="17" s="1"/>
  <c r="M88" i="16"/>
  <c r="N88" i="16"/>
  <c r="R82" i="16"/>
  <c r="Q82" i="16"/>
  <c r="O85" i="16"/>
  <c r="P85" i="16"/>
  <c r="S75" i="16"/>
  <c r="T75" i="16"/>
  <c r="T79" i="16"/>
  <c r="S79" i="16"/>
  <c r="X69" i="16"/>
  <c r="W69" i="16"/>
  <c r="AF59" i="16"/>
  <c r="AH59" i="16" s="1"/>
  <c r="AJ59" i="16" s="1"/>
  <c r="AE59" i="16"/>
  <c r="I59" i="16" s="1"/>
  <c r="AD60" i="16"/>
  <c r="AC60" i="16"/>
  <c r="R80" i="16"/>
  <c r="Q80" i="16"/>
  <c r="V72" i="16"/>
  <c r="U72" i="16"/>
  <c r="U76" i="16"/>
  <c r="V76" i="16"/>
  <c r="AB63" i="16"/>
  <c r="AA63" i="16"/>
  <c r="K91" i="16"/>
  <c r="Z68" i="16"/>
  <c r="Y68" i="16"/>
  <c r="Z70" i="16"/>
  <c r="Y70" i="16"/>
  <c r="M84" i="16"/>
  <c r="N84" i="16"/>
  <c r="O81" i="16"/>
  <c r="P81" i="16"/>
  <c r="K89" i="16"/>
  <c r="O83" i="16"/>
  <c r="P83" i="16"/>
  <c r="K87" i="16"/>
  <c r="AF57" i="16"/>
  <c r="AH57" i="16" s="1"/>
  <c r="AJ57" i="16" s="1"/>
  <c r="AE57" i="16"/>
  <c r="I57" i="16" s="1"/>
  <c r="AD62" i="16"/>
  <c r="AC62" i="16"/>
  <c r="AD64" i="16"/>
  <c r="AC64" i="16"/>
  <c r="T77" i="16"/>
  <c r="S77" i="16"/>
  <c r="M86" i="16"/>
  <c r="N86" i="16"/>
  <c r="V74" i="16"/>
  <c r="U74" i="16"/>
  <c r="Z66" i="16"/>
  <c r="Y66" i="16"/>
  <c r="AB67" i="16"/>
  <c r="AA67" i="16"/>
  <c r="R78" i="16"/>
  <c r="Q78" i="16"/>
  <c r="AA65" i="16"/>
  <c r="AB65" i="16"/>
  <c r="W73" i="16"/>
  <c r="X73" i="16"/>
  <c r="AF61" i="16"/>
  <c r="AH61" i="16" s="1"/>
  <c r="AJ61" i="16" s="1"/>
  <c r="AE61" i="16"/>
  <c r="I61" i="16" s="1"/>
  <c r="X71" i="16"/>
  <c r="W71" i="16"/>
  <c r="L33" i="12"/>
  <c r="K33" i="12"/>
  <c r="L27" i="12"/>
  <c r="K27" i="12"/>
  <c r="K28" i="12"/>
  <c r="L28" i="12"/>
  <c r="M47" i="12"/>
  <c r="N47" i="12"/>
  <c r="N23" i="12"/>
  <c r="M23" i="12"/>
  <c r="M60" i="12"/>
  <c r="N60" i="12"/>
  <c r="M56" i="12"/>
  <c r="N56" i="12"/>
  <c r="P52" i="12"/>
  <c r="O52" i="12"/>
  <c r="K40" i="12"/>
  <c r="L40" i="12"/>
  <c r="N43" i="12"/>
  <c r="M43" i="12"/>
  <c r="M46" i="12"/>
  <c r="N46" i="12"/>
  <c r="N41" i="12"/>
  <c r="M41" i="12"/>
  <c r="N57" i="12"/>
  <c r="M57" i="12"/>
  <c r="N63" i="12"/>
  <c r="M63" i="12"/>
  <c r="N32" i="12"/>
  <c r="M32" i="12"/>
  <c r="N31" i="12"/>
  <c r="M31" i="12"/>
  <c r="N25" i="12"/>
  <c r="M25" i="12"/>
  <c r="M24" i="12"/>
  <c r="N24" i="12"/>
  <c r="N17" i="12"/>
  <c r="M17" i="12"/>
  <c r="K19" i="12"/>
  <c r="L19" i="12"/>
  <c r="F22" i="12"/>
  <c r="I22" i="12" s="1"/>
  <c r="I21" i="12"/>
  <c r="M55" i="12"/>
  <c r="N55" i="12"/>
  <c r="O54" i="12"/>
  <c r="P54" i="12"/>
  <c r="N58" i="12"/>
  <c r="M58" i="12"/>
  <c r="O51" i="12"/>
  <c r="P51" i="12"/>
  <c r="L34" i="12"/>
  <c r="K34" i="12"/>
  <c r="F36" i="12"/>
  <c r="I36" i="12" s="1"/>
  <c r="I35" i="12"/>
  <c r="I29" i="12"/>
  <c r="F30" i="12"/>
  <c r="I30" i="12" s="1"/>
  <c r="N26" i="12"/>
  <c r="M26" i="12"/>
  <c r="N18" i="12"/>
  <c r="M18" i="12"/>
  <c r="M62" i="12"/>
  <c r="N62" i="12"/>
  <c r="O50" i="12"/>
  <c r="P50" i="12"/>
  <c r="L39" i="12"/>
  <c r="K39" i="12"/>
  <c r="N38" i="12"/>
  <c r="M38" i="12"/>
  <c r="O53" i="12"/>
  <c r="P53" i="12"/>
  <c r="P49" i="12"/>
  <c r="O49" i="12"/>
  <c r="N48" i="12"/>
  <c r="M48" i="12"/>
  <c r="K20" i="12"/>
  <c r="L20" i="12"/>
  <c r="O66" i="12"/>
  <c r="P66" i="12"/>
  <c r="M59" i="12"/>
  <c r="N59" i="12"/>
  <c r="M61" i="12"/>
  <c r="N61" i="12"/>
  <c r="M37" i="12"/>
  <c r="N37" i="12"/>
  <c r="N44" i="12"/>
  <c r="M44" i="12"/>
  <c r="M45" i="12"/>
  <c r="N45" i="12"/>
  <c r="N42" i="12"/>
  <c r="M42" i="12"/>
  <c r="N64" i="12"/>
  <c r="M64" i="12"/>
  <c r="T109" i="9"/>
  <c r="S109" i="9"/>
  <c r="V57" i="8"/>
  <c r="X57" i="8" s="1"/>
  <c r="Z57" i="8" s="1"/>
  <c r="AB57" i="8" s="1"/>
  <c r="AD57" i="8" s="1"/>
  <c r="AF57" i="8" s="1"/>
  <c r="AH57" i="8" s="1"/>
  <c r="AJ57" i="8" s="1"/>
  <c r="U57" i="8"/>
  <c r="G57" i="8" s="1"/>
  <c r="T53" i="8"/>
  <c r="S53" i="8"/>
  <c r="S62" i="8"/>
  <c r="T62" i="8"/>
  <c r="V52" i="8"/>
  <c r="U52" i="8"/>
  <c r="S64" i="8"/>
  <c r="V40" i="8"/>
  <c r="U40" i="8"/>
  <c r="U51" i="8"/>
  <c r="V51" i="8"/>
  <c r="S37" i="8"/>
  <c r="T37" i="8"/>
  <c r="U48" i="8"/>
  <c r="V48" i="8"/>
  <c r="T49" i="8"/>
  <c r="S49" i="8"/>
  <c r="S50" i="8"/>
  <c r="T50" i="8"/>
  <c r="U63" i="8"/>
  <c r="V63" i="8"/>
  <c r="V39" i="8"/>
  <c r="U39" i="8"/>
  <c r="U35" i="8"/>
  <c r="V35" i="8"/>
  <c r="T56" i="8"/>
  <c r="S56" i="8"/>
  <c r="V68" i="8"/>
  <c r="U68" i="8"/>
  <c r="U54" i="8"/>
  <c r="V54" i="8"/>
  <c r="T38" i="8"/>
  <c r="S38" i="8"/>
  <c r="U44" i="8"/>
  <c r="V44" i="8"/>
  <c r="U67" i="8"/>
  <c r="V67" i="8"/>
  <c r="U34" i="8"/>
  <c r="V34" i="8"/>
  <c r="U65" i="8"/>
  <c r="V65" i="8"/>
  <c r="U66" i="8"/>
  <c r="V66" i="8"/>
  <c r="U64" i="8"/>
  <c r="V64" i="8"/>
  <c r="X44" i="8" l="1"/>
  <c r="Z44" i="8" s="1"/>
  <c r="AB44" i="8" s="1"/>
  <c r="AD44" i="8" s="1"/>
  <c r="AF44" i="8" s="1"/>
  <c r="AH44" i="8" s="1"/>
  <c r="AJ44" i="8" s="1"/>
  <c r="W44" i="8"/>
  <c r="X45" i="8"/>
  <c r="Z45" i="8" s="1"/>
  <c r="AB45" i="8" s="1"/>
  <c r="AD45" i="8" s="1"/>
  <c r="AF45" i="8" s="1"/>
  <c r="AH45" i="8" s="1"/>
  <c r="AJ45" i="8" s="1"/>
  <c r="W45" i="8"/>
  <c r="G45" i="8" s="1"/>
  <c r="G44" i="8"/>
  <c r="X48" i="8"/>
  <c r="Z48" i="8" s="1"/>
  <c r="AB48" i="8" s="1"/>
  <c r="AD48" i="8" s="1"/>
  <c r="AF48" i="8" s="1"/>
  <c r="AH48" i="8" s="1"/>
  <c r="AJ48" i="8" s="1"/>
  <c r="W48" i="8"/>
  <c r="G48" i="8" s="1"/>
  <c r="R288" i="16"/>
  <c r="T288" i="16" s="1"/>
  <c r="V288" i="16" s="1"/>
  <c r="X288" i="16" s="1"/>
  <c r="Z288" i="16" s="1"/>
  <c r="AB288" i="16" s="1"/>
  <c r="AD288" i="16" s="1"/>
  <c r="AF288" i="16" s="1"/>
  <c r="AH288" i="16" s="1"/>
  <c r="AJ288" i="16" s="1"/>
  <c r="Q288" i="16"/>
  <c r="I288" i="16" s="1"/>
  <c r="P289" i="16"/>
  <c r="O289" i="16"/>
  <c r="F291" i="16"/>
  <c r="H292" i="16"/>
  <c r="K291" i="16"/>
  <c r="N290" i="16"/>
  <c r="M290" i="16"/>
  <c r="X43" i="8"/>
  <c r="W43" i="8"/>
  <c r="R92" i="8"/>
  <c r="Q92" i="8"/>
  <c r="V97" i="21"/>
  <c r="U97" i="21"/>
  <c r="AG66" i="17"/>
  <c r="AH66" i="17"/>
  <c r="AG65" i="17"/>
  <c r="AH65" i="17"/>
  <c r="AI64" i="17"/>
  <c r="M64" i="17" s="1"/>
  <c r="AJ64" i="17"/>
  <c r="AL64" i="17" s="1"/>
  <c r="AN64" i="17" s="1"/>
  <c r="AI54" i="17"/>
  <c r="M54" i="17" s="1"/>
  <c r="AJ54" i="17"/>
  <c r="AL54" i="17" s="1"/>
  <c r="AN54" i="17" s="1"/>
  <c r="AJ53" i="17"/>
  <c r="AL53" i="17" s="1"/>
  <c r="AN53" i="17" s="1"/>
  <c r="AI53" i="17"/>
  <c r="M53" i="17" s="1"/>
  <c r="U55" i="8"/>
  <c r="G55" i="8" s="1"/>
  <c r="U36" i="8"/>
  <c r="Z42" i="8"/>
  <c r="AA42" i="8" s="1"/>
  <c r="X60" i="8"/>
  <c r="W60" i="8"/>
  <c r="X61" i="8"/>
  <c r="W61" i="8"/>
  <c r="AE51" i="17"/>
  <c r="AF51" i="17"/>
  <c r="AH40" i="17"/>
  <c r="AG40" i="17"/>
  <c r="AF52" i="17"/>
  <c r="AE52" i="17"/>
  <c r="AH39" i="17"/>
  <c r="AG39" i="17"/>
  <c r="AJ41" i="17"/>
  <c r="AL41" i="17" s="1"/>
  <c r="AN41" i="17" s="1"/>
  <c r="AI41" i="17"/>
  <c r="M41" i="17" s="1"/>
  <c r="AH50" i="17"/>
  <c r="AG50" i="17"/>
  <c r="AJ49" i="17"/>
  <c r="AL49" i="17" s="1"/>
  <c r="AN49" i="17" s="1"/>
  <c r="AI49" i="17"/>
  <c r="M49" i="17" s="1"/>
  <c r="X58" i="8"/>
  <c r="W58" i="8"/>
  <c r="O175" i="16"/>
  <c r="P175" i="16"/>
  <c r="N176" i="16"/>
  <c r="M176" i="16"/>
  <c r="Q174" i="16"/>
  <c r="I174" i="16" s="1"/>
  <c r="R174" i="16"/>
  <c r="T174" i="16" s="1"/>
  <c r="V174" i="16" s="1"/>
  <c r="X174" i="16" s="1"/>
  <c r="Z174" i="16" s="1"/>
  <c r="AB174" i="16" s="1"/>
  <c r="AD174" i="16" s="1"/>
  <c r="AF174" i="16" s="1"/>
  <c r="AH174" i="16" s="1"/>
  <c r="AJ174" i="16" s="1"/>
  <c r="H178" i="16"/>
  <c r="K177" i="16"/>
  <c r="V46" i="8"/>
  <c r="U46" i="8"/>
  <c r="X90" i="8"/>
  <c r="W90" i="8"/>
  <c r="AI80" i="17"/>
  <c r="M80" i="17" s="1"/>
  <c r="AJ80" i="17"/>
  <c r="AL80" i="17" s="1"/>
  <c r="AN80" i="17" s="1"/>
  <c r="AG83" i="17"/>
  <c r="AH83" i="17"/>
  <c r="AH93" i="17"/>
  <c r="AG93" i="17"/>
  <c r="AI84" i="17"/>
  <c r="M84" i="17" s="1"/>
  <c r="AJ84" i="17"/>
  <c r="AL84" i="17" s="1"/>
  <c r="AN84" i="17" s="1"/>
  <c r="AI67" i="17"/>
  <c r="M67" i="17" s="1"/>
  <c r="AJ67" i="17"/>
  <c r="AL67" i="17" s="1"/>
  <c r="AN67" i="17" s="1"/>
  <c r="AH94" i="17"/>
  <c r="AG94" i="17"/>
  <c r="AI92" i="17"/>
  <c r="M92" i="17" s="1"/>
  <c r="AJ92" i="17"/>
  <c r="AL92" i="17" s="1"/>
  <c r="AN92" i="17" s="1"/>
  <c r="AJ68" i="17"/>
  <c r="AL68" i="17" s="1"/>
  <c r="AN68" i="17" s="1"/>
  <c r="AI68" i="17"/>
  <c r="M68" i="17" s="1"/>
  <c r="AJ81" i="17"/>
  <c r="AL81" i="17" s="1"/>
  <c r="AN81" i="17" s="1"/>
  <c r="AI81" i="17"/>
  <c r="M81" i="17" s="1"/>
  <c r="AH82" i="17"/>
  <c r="AG82" i="17"/>
  <c r="Z71" i="16"/>
  <c r="Y71" i="16"/>
  <c r="O86" i="16"/>
  <c r="P86" i="16"/>
  <c r="AF62" i="16"/>
  <c r="AH62" i="16" s="1"/>
  <c r="AJ62" i="16" s="1"/>
  <c r="AE62" i="16"/>
  <c r="I62" i="16" s="1"/>
  <c r="M87" i="16"/>
  <c r="N87" i="16"/>
  <c r="M89" i="16"/>
  <c r="N89" i="16"/>
  <c r="K94" i="16"/>
  <c r="T80" i="16"/>
  <c r="S80" i="16"/>
  <c r="U79" i="16"/>
  <c r="V79" i="16"/>
  <c r="Q85" i="16"/>
  <c r="R85" i="16"/>
  <c r="S82" i="16"/>
  <c r="T82" i="16"/>
  <c r="AD65" i="16"/>
  <c r="AC65" i="16"/>
  <c r="T78" i="16"/>
  <c r="S78" i="16"/>
  <c r="AB66" i="16"/>
  <c r="AA66" i="16"/>
  <c r="AF64" i="16"/>
  <c r="AH64" i="16" s="1"/>
  <c r="AJ64" i="16" s="1"/>
  <c r="AE64" i="16"/>
  <c r="I64" i="16" s="1"/>
  <c r="K92" i="16"/>
  <c r="O88" i="16"/>
  <c r="P88" i="16"/>
  <c r="R83" i="16"/>
  <c r="Q83" i="16"/>
  <c r="P84" i="16"/>
  <c r="O84" i="16"/>
  <c r="AB70" i="16"/>
  <c r="AA70" i="16"/>
  <c r="AB68" i="16"/>
  <c r="AA68" i="16"/>
  <c r="AD63" i="16"/>
  <c r="AC63" i="16"/>
  <c r="W72" i="16"/>
  <c r="X72" i="16"/>
  <c r="AF60" i="16"/>
  <c r="AH60" i="16" s="1"/>
  <c r="AJ60" i="16" s="1"/>
  <c r="AE60" i="16"/>
  <c r="I60" i="16" s="1"/>
  <c r="Z69" i="16"/>
  <c r="Y69" i="16"/>
  <c r="V75" i="16"/>
  <c r="U75" i="16"/>
  <c r="Z73" i="16"/>
  <c r="Y73" i="16"/>
  <c r="AC67" i="16"/>
  <c r="AD67" i="16"/>
  <c r="X74" i="16"/>
  <c r="W74" i="16"/>
  <c r="V77" i="16"/>
  <c r="U77" i="16"/>
  <c r="K90" i="16"/>
  <c r="Q81" i="16"/>
  <c r="R81" i="16"/>
  <c r="M91" i="16"/>
  <c r="N91" i="16"/>
  <c r="X76" i="16"/>
  <c r="W76" i="16"/>
  <c r="O45" i="12"/>
  <c r="P45" i="12"/>
  <c r="O37" i="12"/>
  <c r="P37" i="12"/>
  <c r="O61" i="12"/>
  <c r="P61" i="12"/>
  <c r="O59" i="12"/>
  <c r="P59" i="12"/>
  <c r="R66" i="12"/>
  <c r="Q66" i="12"/>
  <c r="N20" i="12"/>
  <c r="M20" i="12"/>
  <c r="R53" i="12"/>
  <c r="Q53" i="12"/>
  <c r="R50" i="12"/>
  <c r="Q50" i="12"/>
  <c r="O62" i="12"/>
  <c r="P62" i="12"/>
  <c r="L30" i="12"/>
  <c r="K30" i="12"/>
  <c r="K35" i="12"/>
  <c r="L35" i="12"/>
  <c r="Q51" i="12"/>
  <c r="R51" i="12"/>
  <c r="R54" i="12"/>
  <c r="Q54" i="12"/>
  <c r="P55" i="12"/>
  <c r="O55" i="12"/>
  <c r="K21" i="12"/>
  <c r="L21" i="12"/>
  <c r="N19" i="12"/>
  <c r="M19" i="12"/>
  <c r="P24" i="12"/>
  <c r="O24" i="12"/>
  <c r="O46" i="12"/>
  <c r="P46" i="12"/>
  <c r="M40" i="12"/>
  <c r="N40" i="12"/>
  <c r="O56" i="12"/>
  <c r="P56" i="12"/>
  <c r="O60" i="12"/>
  <c r="P60" i="12"/>
  <c r="O47" i="12"/>
  <c r="P47" i="12"/>
  <c r="N28" i="12"/>
  <c r="M28" i="12"/>
  <c r="V109" i="9"/>
  <c r="U109" i="9"/>
  <c r="P64" i="12"/>
  <c r="O64" i="12"/>
  <c r="P42" i="12"/>
  <c r="O42" i="12"/>
  <c r="P44" i="12"/>
  <c r="O44" i="12"/>
  <c r="P48" i="12"/>
  <c r="O48" i="12"/>
  <c r="R49" i="12"/>
  <c r="Q49" i="12"/>
  <c r="O38" i="12"/>
  <c r="P38" i="12"/>
  <c r="N39" i="12"/>
  <c r="M39" i="12"/>
  <c r="O18" i="12"/>
  <c r="P18" i="12"/>
  <c r="O26" i="12"/>
  <c r="P26" i="12"/>
  <c r="L29" i="12"/>
  <c r="K29" i="12"/>
  <c r="L36" i="12"/>
  <c r="K36" i="12"/>
  <c r="N34" i="12"/>
  <c r="M34" i="12"/>
  <c r="P58" i="12"/>
  <c r="O58" i="12"/>
  <c r="K22" i="12"/>
  <c r="L22" i="12"/>
  <c r="P17" i="12"/>
  <c r="O17" i="12"/>
  <c r="O25" i="12"/>
  <c r="P25" i="12"/>
  <c r="P31" i="12"/>
  <c r="O31" i="12"/>
  <c r="P32" i="12"/>
  <c r="O32" i="12"/>
  <c r="P63" i="12"/>
  <c r="O63" i="12"/>
  <c r="P57" i="12"/>
  <c r="O57" i="12"/>
  <c r="P41" i="12"/>
  <c r="O41" i="12"/>
  <c r="P43" i="12"/>
  <c r="O43" i="12"/>
  <c r="Q52" i="12"/>
  <c r="R52" i="12"/>
  <c r="O23" i="12"/>
  <c r="P23" i="12"/>
  <c r="N27" i="12"/>
  <c r="M27" i="12"/>
  <c r="N33" i="12"/>
  <c r="M33" i="12"/>
  <c r="V53" i="8"/>
  <c r="U53" i="8"/>
  <c r="U62" i="8"/>
  <c r="V62" i="8"/>
  <c r="X52" i="8"/>
  <c r="W52" i="8"/>
  <c r="W64" i="8"/>
  <c r="X64" i="8"/>
  <c r="X66" i="8"/>
  <c r="W66" i="8"/>
  <c r="W65" i="8"/>
  <c r="X65" i="8"/>
  <c r="W34" i="8"/>
  <c r="X34" i="8"/>
  <c r="W67" i="8"/>
  <c r="X67" i="8"/>
  <c r="W54" i="8"/>
  <c r="X54" i="8"/>
  <c r="W35" i="8"/>
  <c r="X35" i="8"/>
  <c r="W63" i="8"/>
  <c r="X63" i="8"/>
  <c r="U50" i="8"/>
  <c r="V50" i="8"/>
  <c r="W36" i="8"/>
  <c r="X36" i="8"/>
  <c r="U37" i="8"/>
  <c r="V37" i="8"/>
  <c r="W51" i="8"/>
  <c r="X51" i="8"/>
  <c r="U38" i="8"/>
  <c r="V38" i="8"/>
  <c r="W68" i="8"/>
  <c r="X68" i="8"/>
  <c r="U56" i="8"/>
  <c r="G56" i="8" s="1"/>
  <c r="V56" i="8"/>
  <c r="X56" i="8" s="1"/>
  <c r="Z56" i="8" s="1"/>
  <c r="AB56" i="8" s="1"/>
  <c r="AD56" i="8" s="1"/>
  <c r="AF56" i="8" s="1"/>
  <c r="AH56" i="8" s="1"/>
  <c r="AJ56" i="8" s="1"/>
  <c r="W39" i="8"/>
  <c r="X39" i="8"/>
  <c r="U49" i="8"/>
  <c r="V49" i="8"/>
  <c r="W40" i="8"/>
  <c r="X40" i="8"/>
  <c r="X46" i="8" l="1"/>
  <c r="Z46" i="8" s="1"/>
  <c r="AB46" i="8" s="1"/>
  <c r="AD46" i="8" s="1"/>
  <c r="AF46" i="8" s="1"/>
  <c r="AH46" i="8" s="1"/>
  <c r="AJ46" i="8" s="1"/>
  <c r="W46" i="8"/>
  <c r="G46" i="8" s="1"/>
  <c r="F292" i="16"/>
  <c r="K292" i="16"/>
  <c r="H293" i="16"/>
  <c r="R289" i="16"/>
  <c r="T289" i="16" s="1"/>
  <c r="V289" i="16" s="1"/>
  <c r="X289" i="16" s="1"/>
  <c r="Z289" i="16" s="1"/>
  <c r="AB289" i="16" s="1"/>
  <c r="AD289" i="16" s="1"/>
  <c r="AF289" i="16" s="1"/>
  <c r="AH289" i="16" s="1"/>
  <c r="AJ289" i="16" s="1"/>
  <c r="Q289" i="16"/>
  <c r="I289" i="16" s="1"/>
  <c r="P290" i="16"/>
  <c r="O290" i="16"/>
  <c r="N291" i="16"/>
  <c r="M291" i="16"/>
  <c r="Z43" i="8"/>
  <c r="Y43" i="8"/>
  <c r="X97" i="21"/>
  <c r="W97" i="21"/>
  <c r="T92" i="8"/>
  <c r="S92" i="8"/>
  <c r="AI66" i="17"/>
  <c r="M66" i="17" s="1"/>
  <c r="AJ66" i="17"/>
  <c r="AL66" i="17" s="1"/>
  <c r="AN66" i="17" s="1"/>
  <c r="AI65" i="17"/>
  <c r="M65" i="17" s="1"/>
  <c r="AJ65" i="17"/>
  <c r="AL65" i="17" s="1"/>
  <c r="AN65" i="17" s="1"/>
  <c r="AB42" i="8"/>
  <c r="Z60" i="8"/>
  <c r="AB60" i="8" s="1"/>
  <c r="AD60" i="8" s="1"/>
  <c r="AF60" i="8" s="1"/>
  <c r="AH60" i="8" s="1"/>
  <c r="AJ60" i="8" s="1"/>
  <c r="Y60" i="8"/>
  <c r="G60" i="8" s="1"/>
  <c r="Z61" i="8"/>
  <c r="AB61" i="8" s="1"/>
  <c r="AD61" i="8" s="1"/>
  <c r="AF61" i="8" s="1"/>
  <c r="AH61" i="8" s="1"/>
  <c r="AJ61" i="8" s="1"/>
  <c r="Y61" i="8"/>
  <c r="G61" i="8" s="1"/>
  <c r="AH51" i="17"/>
  <c r="AG51" i="17"/>
  <c r="AJ40" i="17"/>
  <c r="AL40" i="17" s="1"/>
  <c r="AN40" i="17" s="1"/>
  <c r="AI40" i="17"/>
  <c r="M40" i="17" s="1"/>
  <c r="AI50" i="17"/>
  <c r="M50" i="17" s="1"/>
  <c r="AJ50" i="17"/>
  <c r="AL50" i="17" s="1"/>
  <c r="AN50" i="17" s="1"/>
  <c r="AJ39" i="17"/>
  <c r="AL39" i="17" s="1"/>
  <c r="AN39" i="17" s="1"/>
  <c r="AI39" i="17"/>
  <c r="M39" i="17" s="1"/>
  <c r="AG52" i="17"/>
  <c r="AH52" i="17"/>
  <c r="Z58" i="8"/>
  <c r="Y58" i="8"/>
  <c r="N177" i="16"/>
  <c r="M177" i="16"/>
  <c r="H179" i="16"/>
  <c r="K178" i="16"/>
  <c r="O176" i="16"/>
  <c r="P176" i="16"/>
  <c r="Q175" i="16"/>
  <c r="I175" i="16" s="1"/>
  <c r="R175" i="16"/>
  <c r="T175" i="16" s="1"/>
  <c r="V175" i="16" s="1"/>
  <c r="X175" i="16" s="1"/>
  <c r="Z175" i="16" s="1"/>
  <c r="AB175" i="16" s="1"/>
  <c r="AD175" i="16" s="1"/>
  <c r="AF175" i="16" s="1"/>
  <c r="AH175" i="16" s="1"/>
  <c r="AJ175" i="16" s="1"/>
  <c r="Z90" i="8"/>
  <c r="Y90" i="8"/>
  <c r="AJ83" i="17"/>
  <c r="AL83" i="17" s="1"/>
  <c r="AN83" i="17" s="1"/>
  <c r="AI83" i="17"/>
  <c r="M83" i="17" s="1"/>
  <c r="AI82" i="17"/>
  <c r="M82" i="17" s="1"/>
  <c r="AJ82" i="17"/>
  <c r="AL82" i="17" s="1"/>
  <c r="AN82" i="17" s="1"/>
  <c r="AI94" i="17"/>
  <c r="M94" i="17" s="1"/>
  <c r="AJ94" i="17"/>
  <c r="AL94" i="17" s="1"/>
  <c r="AN94" i="17" s="1"/>
  <c r="AI93" i="17"/>
  <c r="M93" i="17" s="1"/>
  <c r="AJ93" i="17"/>
  <c r="AL93" i="17" s="1"/>
  <c r="AN93" i="17" s="1"/>
  <c r="Z76" i="16"/>
  <c r="Y76" i="16"/>
  <c r="T81" i="16"/>
  <c r="S81" i="16"/>
  <c r="AF67" i="16"/>
  <c r="AH67" i="16" s="1"/>
  <c r="AJ67" i="16" s="1"/>
  <c r="AE67" i="16"/>
  <c r="I67" i="16" s="1"/>
  <c r="Z72" i="16"/>
  <c r="Y72" i="16"/>
  <c r="K93" i="16"/>
  <c r="M92" i="16"/>
  <c r="N92" i="16"/>
  <c r="V78" i="16"/>
  <c r="U78" i="16"/>
  <c r="M94" i="16"/>
  <c r="N94" i="16"/>
  <c r="N90" i="16"/>
  <c r="M90" i="16"/>
  <c r="Z74" i="16"/>
  <c r="Y74" i="16"/>
  <c r="AB73" i="16"/>
  <c r="AA73" i="16"/>
  <c r="X75" i="16"/>
  <c r="W75" i="16"/>
  <c r="AF63" i="16"/>
  <c r="AH63" i="16" s="1"/>
  <c r="AJ63" i="16" s="1"/>
  <c r="AE63" i="16"/>
  <c r="I63" i="16" s="1"/>
  <c r="AD70" i="16"/>
  <c r="AC70" i="16"/>
  <c r="T83" i="16"/>
  <c r="S83" i="16"/>
  <c r="K95" i="16"/>
  <c r="T85" i="16"/>
  <c r="S85" i="16"/>
  <c r="P89" i="16"/>
  <c r="O89" i="16"/>
  <c r="R88" i="16"/>
  <c r="Q88" i="16"/>
  <c r="AD66" i="16"/>
  <c r="AC66" i="16"/>
  <c r="AF65" i="16"/>
  <c r="AH65" i="16" s="1"/>
  <c r="AJ65" i="16" s="1"/>
  <c r="AE65" i="16"/>
  <c r="I65" i="16" s="1"/>
  <c r="U80" i="16"/>
  <c r="V80" i="16"/>
  <c r="P91" i="16"/>
  <c r="O91" i="16"/>
  <c r="X77" i="16"/>
  <c r="W77" i="16"/>
  <c r="AA69" i="16"/>
  <c r="AB69" i="16"/>
  <c r="AC68" i="16"/>
  <c r="AD68" i="16"/>
  <c r="Q84" i="16"/>
  <c r="R84" i="16"/>
  <c r="U82" i="16"/>
  <c r="V82" i="16"/>
  <c r="W79" i="16"/>
  <c r="X79" i="16"/>
  <c r="K97" i="16"/>
  <c r="P87" i="16"/>
  <c r="O87" i="16"/>
  <c r="Q86" i="16"/>
  <c r="R86" i="16"/>
  <c r="AB71" i="16"/>
  <c r="AA71" i="16"/>
  <c r="O33" i="12"/>
  <c r="P33" i="12"/>
  <c r="O27" i="12"/>
  <c r="P27" i="12"/>
  <c r="R43" i="12"/>
  <c r="Q43" i="12"/>
  <c r="R41" i="12"/>
  <c r="Q41" i="12"/>
  <c r="Q57" i="12"/>
  <c r="R57" i="12"/>
  <c r="R63" i="12"/>
  <c r="Q63" i="12"/>
  <c r="Q32" i="12"/>
  <c r="R32" i="12"/>
  <c r="Q31" i="12"/>
  <c r="R31" i="12"/>
  <c r="R17" i="12"/>
  <c r="Q17" i="12"/>
  <c r="Q58" i="12"/>
  <c r="R58" i="12"/>
  <c r="O34" i="12"/>
  <c r="P34" i="12"/>
  <c r="M36" i="12"/>
  <c r="N36" i="12"/>
  <c r="M29" i="12"/>
  <c r="N29" i="12"/>
  <c r="O39" i="12"/>
  <c r="P39" i="12"/>
  <c r="S49" i="12"/>
  <c r="T49" i="12"/>
  <c r="R48" i="12"/>
  <c r="Q48" i="12"/>
  <c r="R44" i="12"/>
  <c r="Q44" i="12"/>
  <c r="R42" i="12"/>
  <c r="Q42" i="12"/>
  <c r="R64" i="12"/>
  <c r="Q64" i="12"/>
  <c r="W109" i="9"/>
  <c r="X109" i="9"/>
  <c r="Q47" i="12"/>
  <c r="R47" i="12"/>
  <c r="Q60" i="12"/>
  <c r="R60" i="12"/>
  <c r="R56" i="12"/>
  <c r="Q56" i="12"/>
  <c r="P40" i="12"/>
  <c r="O40" i="12"/>
  <c r="Q46" i="12"/>
  <c r="R46" i="12"/>
  <c r="M21" i="12"/>
  <c r="N21" i="12"/>
  <c r="T51" i="12"/>
  <c r="S51" i="12"/>
  <c r="N35" i="12"/>
  <c r="M35" i="12"/>
  <c r="Q62" i="12"/>
  <c r="R62" i="12"/>
  <c r="Q59" i="12"/>
  <c r="R59" i="12"/>
  <c r="Q61" i="12"/>
  <c r="R61" i="12"/>
  <c r="R37" i="12"/>
  <c r="Q37" i="12"/>
  <c r="Q45" i="12"/>
  <c r="R45" i="12"/>
  <c r="Q23" i="12"/>
  <c r="R23" i="12"/>
  <c r="S52" i="12"/>
  <c r="T52" i="12"/>
  <c r="Q25" i="12"/>
  <c r="R25" i="12"/>
  <c r="N22" i="12"/>
  <c r="M22" i="12"/>
  <c r="Q26" i="12"/>
  <c r="R26" i="12"/>
  <c r="R18" i="12"/>
  <c r="Q18" i="12"/>
  <c r="R38" i="12"/>
  <c r="Q38" i="12"/>
  <c r="O28" i="12"/>
  <c r="P28" i="12"/>
  <c r="Q24" i="12"/>
  <c r="R24" i="12"/>
  <c r="O19" i="12"/>
  <c r="P19" i="12"/>
  <c r="R55" i="12"/>
  <c r="Q55" i="12"/>
  <c r="T54" i="12"/>
  <c r="S54" i="12"/>
  <c r="M30" i="12"/>
  <c r="N30" i="12"/>
  <c r="T50" i="12"/>
  <c r="S50" i="12"/>
  <c r="T53" i="12"/>
  <c r="S53" i="12"/>
  <c r="O20" i="12"/>
  <c r="P20" i="12"/>
  <c r="T66" i="12"/>
  <c r="S66" i="12"/>
  <c r="X53" i="8"/>
  <c r="Z53" i="8" s="1"/>
  <c r="AB53" i="8" s="1"/>
  <c r="AD53" i="8" s="1"/>
  <c r="AF53" i="8" s="1"/>
  <c r="AH53" i="8" s="1"/>
  <c r="AJ53" i="8" s="1"/>
  <c r="W53" i="8"/>
  <c r="G53" i="8" s="1"/>
  <c r="W62" i="8"/>
  <c r="X62" i="8"/>
  <c r="Z52" i="8"/>
  <c r="AB52" i="8" s="1"/>
  <c r="AD52" i="8" s="1"/>
  <c r="AF52" i="8" s="1"/>
  <c r="AH52" i="8" s="1"/>
  <c r="AJ52" i="8" s="1"/>
  <c r="Y52" i="8"/>
  <c r="G52" i="8" s="1"/>
  <c r="Z40" i="8"/>
  <c r="Y40" i="8"/>
  <c r="X49" i="8"/>
  <c r="W49" i="8"/>
  <c r="Y39" i="8"/>
  <c r="Z39" i="8"/>
  <c r="Y68" i="8"/>
  <c r="Z68" i="8"/>
  <c r="W38" i="8"/>
  <c r="X38" i="8"/>
  <c r="Z51" i="8"/>
  <c r="AB51" i="8" s="1"/>
  <c r="AD51" i="8" s="1"/>
  <c r="AF51" i="8" s="1"/>
  <c r="AH51" i="8" s="1"/>
  <c r="AJ51" i="8" s="1"/>
  <c r="Y51" i="8"/>
  <c r="G51" i="8" s="1"/>
  <c r="X37" i="8"/>
  <c r="W37" i="8"/>
  <c r="Y36" i="8"/>
  <c r="Z36" i="8"/>
  <c r="W50" i="8"/>
  <c r="X50" i="8"/>
  <c r="Y63" i="8"/>
  <c r="Z63" i="8"/>
  <c r="Y35" i="8"/>
  <c r="Z35" i="8"/>
  <c r="Y54" i="8"/>
  <c r="G54" i="8" s="1"/>
  <c r="Z54" i="8"/>
  <c r="AB54" i="8" s="1"/>
  <c r="AD54" i="8" s="1"/>
  <c r="AF54" i="8" s="1"/>
  <c r="AH54" i="8" s="1"/>
  <c r="AJ54" i="8" s="1"/>
  <c r="Z67" i="8"/>
  <c r="Y67" i="8"/>
  <c r="Y34" i="8"/>
  <c r="Z34" i="8"/>
  <c r="Y65" i="8"/>
  <c r="Z65" i="8"/>
  <c r="Y64" i="8"/>
  <c r="Z64" i="8"/>
  <c r="Y66" i="8"/>
  <c r="Z66" i="8"/>
  <c r="AD42" i="8" l="1"/>
  <c r="AC42" i="8"/>
  <c r="R290" i="16"/>
  <c r="T290" i="16" s="1"/>
  <c r="V290" i="16" s="1"/>
  <c r="X290" i="16" s="1"/>
  <c r="Z290" i="16" s="1"/>
  <c r="AB290" i="16" s="1"/>
  <c r="AD290" i="16" s="1"/>
  <c r="AF290" i="16" s="1"/>
  <c r="AH290" i="16" s="1"/>
  <c r="AJ290" i="16" s="1"/>
  <c r="Q290" i="16"/>
  <c r="I290" i="16" s="1"/>
  <c r="H294" i="16"/>
  <c r="K293" i="16"/>
  <c r="F293" i="16"/>
  <c r="N292" i="16"/>
  <c r="M292" i="16"/>
  <c r="P291" i="16"/>
  <c r="O291" i="16"/>
  <c r="AB43" i="8"/>
  <c r="AA43" i="8"/>
  <c r="V92" i="8"/>
  <c r="U92" i="8"/>
  <c r="Z97" i="21"/>
  <c r="Y97" i="21"/>
  <c r="AI51" i="17"/>
  <c r="M51" i="17" s="1"/>
  <c r="AJ51" i="17"/>
  <c r="AL51" i="17" s="1"/>
  <c r="AN51" i="17" s="1"/>
  <c r="AJ52" i="17"/>
  <c r="AL52" i="17" s="1"/>
  <c r="AN52" i="17" s="1"/>
  <c r="AI52" i="17"/>
  <c r="M52" i="17" s="1"/>
  <c r="AB58" i="8"/>
  <c r="AA58" i="8"/>
  <c r="N178" i="16"/>
  <c r="M178" i="16"/>
  <c r="Q176" i="16"/>
  <c r="I176" i="16" s="1"/>
  <c r="R176" i="16"/>
  <c r="T176" i="16" s="1"/>
  <c r="V176" i="16" s="1"/>
  <c r="X176" i="16" s="1"/>
  <c r="Z176" i="16" s="1"/>
  <c r="AB176" i="16" s="1"/>
  <c r="AD176" i="16" s="1"/>
  <c r="AF176" i="16" s="1"/>
  <c r="AH176" i="16" s="1"/>
  <c r="AJ176" i="16" s="1"/>
  <c r="H180" i="16"/>
  <c r="K179" i="16"/>
  <c r="O177" i="16"/>
  <c r="P177" i="16"/>
  <c r="AB90" i="8"/>
  <c r="AA90" i="8"/>
  <c r="T86" i="16"/>
  <c r="S86" i="16"/>
  <c r="M97" i="16"/>
  <c r="N97" i="16"/>
  <c r="X82" i="16"/>
  <c r="W82" i="16"/>
  <c r="AF68" i="16"/>
  <c r="AH68" i="16" s="1"/>
  <c r="AJ68" i="16" s="1"/>
  <c r="AE68" i="16"/>
  <c r="I68" i="16" s="1"/>
  <c r="P92" i="16"/>
  <c r="O92" i="16"/>
  <c r="M93" i="16"/>
  <c r="N93" i="16"/>
  <c r="AB72" i="16"/>
  <c r="AA72" i="16"/>
  <c r="V81" i="16"/>
  <c r="U81" i="16"/>
  <c r="K100" i="16"/>
  <c r="R91" i="16"/>
  <c r="Q91" i="16"/>
  <c r="AF66" i="16"/>
  <c r="AH66" i="16" s="1"/>
  <c r="AJ66" i="16" s="1"/>
  <c r="AE66" i="16"/>
  <c r="I66" i="16" s="1"/>
  <c r="V85" i="16"/>
  <c r="U85" i="16"/>
  <c r="U83" i="16"/>
  <c r="V83" i="16"/>
  <c r="AC73" i="16"/>
  <c r="AD73" i="16"/>
  <c r="P90" i="16"/>
  <c r="O90" i="16"/>
  <c r="K96" i="16"/>
  <c r="Y79" i="16"/>
  <c r="Z79" i="16"/>
  <c r="S84" i="16"/>
  <c r="T84" i="16"/>
  <c r="Z77" i="16"/>
  <c r="Y77" i="16"/>
  <c r="R89" i="16"/>
  <c r="Q89" i="16"/>
  <c r="M95" i="16"/>
  <c r="N95" i="16"/>
  <c r="AB76" i="16"/>
  <c r="AA76" i="16"/>
  <c r="AD71" i="16"/>
  <c r="AC71" i="16"/>
  <c r="R87" i="16"/>
  <c r="Q87" i="16"/>
  <c r="AC69" i="16"/>
  <c r="AD69" i="16"/>
  <c r="X80" i="16"/>
  <c r="W80" i="16"/>
  <c r="T88" i="16"/>
  <c r="S88" i="16"/>
  <c r="K98" i="16"/>
  <c r="AF70" i="16"/>
  <c r="AH70" i="16" s="1"/>
  <c r="AJ70" i="16" s="1"/>
  <c r="AE70" i="16"/>
  <c r="I70" i="16" s="1"/>
  <c r="Z75" i="16"/>
  <c r="Y75" i="16"/>
  <c r="AB74" i="16"/>
  <c r="AA74" i="16"/>
  <c r="O94" i="16"/>
  <c r="P94" i="16"/>
  <c r="X78" i="16"/>
  <c r="W78" i="16"/>
  <c r="R20" i="12"/>
  <c r="Q20" i="12"/>
  <c r="O30" i="12"/>
  <c r="P30" i="12"/>
  <c r="R19" i="12"/>
  <c r="Q19" i="12"/>
  <c r="S24" i="12"/>
  <c r="T24" i="12"/>
  <c r="Q28" i="12"/>
  <c r="R28" i="12"/>
  <c r="T26" i="12"/>
  <c r="S26" i="12"/>
  <c r="T25" i="12"/>
  <c r="S25" i="12"/>
  <c r="V52" i="12"/>
  <c r="U52" i="12"/>
  <c r="T23" i="12"/>
  <c r="S23" i="12"/>
  <c r="S37" i="12"/>
  <c r="T37" i="12"/>
  <c r="P35" i="12"/>
  <c r="O35" i="12"/>
  <c r="V51" i="12"/>
  <c r="U51" i="12"/>
  <c r="R40" i="12"/>
  <c r="Q40" i="12"/>
  <c r="T56" i="12"/>
  <c r="S56" i="12"/>
  <c r="T64" i="12"/>
  <c r="S64" i="12"/>
  <c r="T42" i="12"/>
  <c r="S42" i="12"/>
  <c r="T44" i="12"/>
  <c r="S44" i="12"/>
  <c r="T48" i="12"/>
  <c r="S48" i="12"/>
  <c r="T17" i="12"/>
  <c r="S17" i="12"/>
  <c r="S63" i="12"/>
  <c r="T63" i="12"/>
  <c r="S41" i="12"/>
  <c r="T41" i="12"/>
  <c r="S43" i="12"/>
  <c r="T43" i="12"/>
  <c r="U66" i="12"/>
  <c r="V66" i="12"/>
  <c r="V53" i="12"/>
  <c r="U53" i="12"/>
  <c r="U50" i="12"/>
  <c r="V50" i="12"/>
  <c r="U54" i="12"/>
  <c r="V54" i="12"/>
  <c r="S55" i="12"/>
  <c r="T55" i="12"/>
  <c r="T38" i="12"/>
  <c r="S38" i="12"/>
  <c r="S18" i="12"/>
  <c r="T18" i="12"/>
  <c r="O22" i="12"/>
  <c r="P22" i="12"/>
  <c r="T45" i="12"/>
  <c r="S45" i="12"/>
  <c r="T61" i="12"/>
  <c r="S61" i="12"/>
  <c r="T59" i="12"/>
  <c r="S59" i="12"/>
  <c r="S62" i="12"/>
  <c r="T62" i="12"/>
  <c r="O21" i="12"/>
  <c r="P21" i="12"/>
  <c r="T46" i="12"/>
  <c r="S46" i="12"/>
  <c r="S60" i="12"/>
  <c r="T60" i="12"/>
  <c r="T47" i="12"/>
  <c r="S47" i="12"/>
  <c r="Y109" i="9"/>
  <c r="Z109" i="9"/>
  <c r="U49" i="12"/>
  <c r="V49" i="12"/>
  <c r="Q39" i="12"/>
  <c r="R39" i="12"/>
  <c r="O29" i="12"/>
  <c r="P29" i="12"/>
  <c r="O36" i="12"/>
  <c r="P36" i="12"/>
  <c r="Q34" i="12"/>
  <c r="R34" i="12"/>
  <c r="S58" i="12"/>
  <c r="T58" i="12"/>
  <c r="S31" i="12"/>
  <c r="T31" i="12"/>
  <c r="S32" i="12"/>
  <c r="T32" i="12"/>
  <c r="S57" i="12"/>
  <c r="T57" i="12"/>
  <c r="Q27" i="12"/>
  <c r="R27" i="12"/>
  <c r="Q33" i="12"/>
  <c r="R33" i="12"/>
  <c r="Y62" i="8"/>
  <c r="Z62" i="8"/>
  <c r="AA66" i="8"/>
  <c r="G66" i="8" s="1"/>
  <c r="AB66" i="8"/>
  <c r="AD66" i="8" s="1"/>
  <c r="AF66" i="8" s="1"/>
  <c r="AH66" i="8" s="1"/>
  <c r="AJ66" i="8" s="1"/>
  <c r="AA64" i="8"/>
  <c r="AB64" i="8"/>
  <c r="AA65" i="8"/>
  <c r="G65" i="8" s="1"/>
  <c r="AB65" i="8"/>
  <c r="AD65" i="8" s="1"/>
  <c r="AF65" i="8" s="1"/>
  <c r="AH65" i="8" s="1"/>
  <c r="AJ65" i="8" s="1"/>
  <c r="AA34" i="8"/>
  <c r="AB34" i="8"/>
  <c r="AA35" i="8"/>
  <c r="AB35" i="8"/>
  <c r="AA63" i="8"/>
  <c r="G63" i="8" s="1"/>
  <c r="AB63" i="8"/>
  <c r="AD63" i="8" s="1"/>
  <c r="AF63" i="8" s="1"/>
  <c r="AH63" i="8" s="1"/>
  <c r="AJ63" i="8" s="1"/>
  <c r="Z50" i="8"/>
  <c r="AB50" i="8" s="1"/>
  <c r="AD50" i="8" s="1"/>
  <c r="AF50" i="8" s="1"/>
  <c r="AH50" i="8" s="1"/>
  <c r="AJ50" i="8" s="1"/>
  <c r="Y50" i="8"/>
  <c r="G50" i="8" s="1"/>
  <c r="AA36" i="8"/>
  <c r="AB36" i="8"/>
  <c r="Y38" i="8"/>
  <c r="Z38" i="8"/>
  <c r="AA68" i="8"/>
  <c r="AB68" i="8"/>
  <c r="AA39" i="8"/>
  <c r="AB39" i="8"/>
  <c r="AA67" i="8"/>
  <c r="AB67" i="8"/>
  <c r="Y37" i="8"/>
  <c r="Z37" i="8"/>
  <c r="Y49" i="8"/>
  <c r="Z49" i="8"/>
  <c r="AA40" i="8"/>
  <c r="AB40" i="8"/>
  <c r="AB37" i="8" l="1"/>
  <c r="AA37" i="8"/>
  <c r="AB38" i="8"/>
  <c r="AA38" i="8"/>
  <c r="AD36" i="8"/>
  <c r="AC36" i="8"/>
  <c r="AB62" i="8"/>
  <c r="AA62" i="8"/>
  <c r="AD58" i="8"/>
  <c r="AC58" i="8"/>
  <c r="AB49" i="8"/>
  <c r="AA49" i="8"/>
  <c r="AF42" i="8"/>
  <c r="AE42" i="8"/>
  <c r="AD39" i="8"/>
  <c r="AC39" i="8"/>
  <c r="AD43" i="8"/>
  <c r="AC43" i="8"/>
  <c r="P292" i="16"/>
  <c r="O292" i="16"/>
  <c r="N293" i="16"/>
  <c r="M293" i="16"/>
  <c r="F294" i="16"/>
  <c r="H295" i="16"/>
  <c r="K294" i="16"/>
  <c r="Q291" i="16"/>
  <c r="I291" i="16" s="1"/>
  <c r="R291" i="16"/>
  <c r="T291" i="16" s="1"/>
  <c r="V291" i="16" s="1"/>
  <c r="X291" i="16" s="1"/>
  <c r="Z291" i="16" s="1"/>
  <c r="AB291" i="16" s="1"/>
  <c r="AD291" i="16" s="1"/>
  <c r="AF291" i="16" s="1"/>
  <c r="AH291" i="16" s="1"/>
  <c r="AJ291" i="16" s="1"/>
  <c r="AD64" i="8"/>
  <c r="AC64" i="8"/>
  <c r="AA97" i="21"/>
  <c r="AB97" i="21"/>
  <c r="X92" i="8"/>
  <c r="W92" i="8"/>
  <c r="N179" i="16"/>
  <c r="M179" i="16"/>
  <c r="Q177" i="16"/>
  <c r="I177" i="16" s="1"/>
  <c r="R177" i="16"/>
  <c r="T177" i="16" s="1"/>
  <c r="V177" i="16" s="1"/>
  <c r="X177" i="16" s="1"/>
  <c r="Z177" i="16" s="1"/>
  <c r="AB177" i="16" s="1"/>
  <c r="AD177" i="16" s="1"/>
  <c r="AF177" i="16" s="1"/>
  <c r="AH177" i="16" s="1"/>
  <c r="AJ177" i="16" s="1"/>
  <c r="H181" i="16"/>
  <c r="K180" i="16"/>
  <c r="O178" i="16"/>
  <c r="P178" i="16"/>
  <c r="AD90" i="8"/>
  <c r="AC90" i="8"/>
  <c r="R94" i="16"/>
  <c r="Q94" i="16"/>
  <c r="AF69" i="16"/>
  <c r="AH69" i="16" s="1"/>
  <c r="AJ69" i="16" s="1"/>
  <c r="AE69" i="16"/>
  <c r="I69" i="16" s="1"/>
  <c r="P95" i="16"/>
  <c r="O95" i="16"/>
  <c r="W83" i="16"/>
  <c r="X83" i="16"/>
  <c r="P93" i="16"/>
  <c r="O93" i="16"/>
  <c r="Z78" i="16"/>
  <c r="Y78" i="16"/>
  <c r="AD74" i="16"/>
  <c r="AC74" i="16"/>
  <c r="U88" i="16"/>
  <c r="V88" i="16"/>
  <c r="AF71" i="16"/>
  <c r="AH71" i="16" s="1"/>
  <c r="AJ71" i="16" s="1"/>
  <c r="AE71" i="16"/>
  <c r="I71" i="16" s="1"/>
  <c r="AA79" i="16"/>
  <c r="AB79" i="16"/>
  <c r="N96" i="16"/>
  <c r="M96" i="16"/>
  <c r="R90" i="16"/>
  <c r="Q90" i="16"/>
  <c r="M100" i="16"/>
  <c r="N100" i="16"/>
  <c r="X81" i="16"/>
  <c r="W81" i="16"/>
  <c r="K101" i="16"/>
  <c r="AB77" i="16"/>
  <c r="AA77" i="16"/>
  <c r="K99" i="16"/>
  <c r="AE73" i="16"/>
  <c r="I73" i="16" s="1"/>
  <c r="AF73" i="16"/>
  <c r="AH73" i="16" s="1"/>
  <c r="AJ73" i="16" s="1"/>
  <c r="K103" i="16"/>
  <c r="Y82" i="16"/>
  <c r="Z82" i="16"/>
  <c r="U86" i="16"/>
  <c r="V86" i="16"/>
  <c r="AA75" i="16"/>
  <c r="AB75" i="16"/>
  <c r="M98" i="16"/>
  <c r="N98" i="16"/>
  <c r="Y80" i="16"/>
  <c r="Z80" i="16"/>
  <c r="S87" i="16"/>
  <c r="T87" i="16"/>
  <c r="AD76" i="16"/>
  <c r="AC76" i="16"/>
  <c r="T89" i="16"/>
  <c r="S89" i="16"/>
  <c r="U84" i="16"/>
  <c r="V84" i="16"/>
  <c r="W85" i="16"/>
  <c r="X85" i="16"/>
  <c r="S91" i="16"/>
  <c r="T91" i="16"/>
  <c r="AC72" i="16"/>
  <c r="AD72" i="16"/>
  <c r="R92" i="16"/>
  <c r="Q92" i="16"/>
  <c r="P97" i="16"/>
  <c r="O97" i="16"/>
  <c r="V47" i="12"/>
  <c r="U47" i="12"/>
  <c r="V46" i="12"/>
  <c r="U46" i="12"/>
  <c r="V59" i="12"/>
  <c r="U59" i="12"/>
  <c r="V61" i="12"/>
  <c r="U61" i="12"/>
  <c r="V45" i="12"/>
  <c r="U45" i="12"/>
  <c r="V38" i="12"/>
  <c r="U38" i="12"/>
  <c r="X53" i="12"/>
  <c r="W53" i="12"/>
  <c r="V17" i="12"/>
  <c r="U17" i="12"/>
  <c r="U48" i="12"/>
  <c r="V48" i="12"/>
  <c r="U44" i="12"/>
  <c r="V44" i="12"/>
  <c r="U42" i="12"/>
  <c r="V42" i="12"/>
  <c r="U64" i="12"/>
  <c r="V64" i="12"/>
  <c r="U56" i="12"/>
  <c r="V56" i="12"/>
  <c r="T40" i="12"/>
  <c r="S40" i="12"/>
  <c r="X51" i="12"/>
  <c r="W51" i="12"/>
  <c r="R35" i="12"/>
  <c r="Q35" i="12"/>
  <c r="V23" i="12"/>
  <c r="U23" i="12"/>
  <c r="X52" i="12"/>
  <c r="W52" i="12"/>
  <c r="V25" i="12"/>
  <c r="U25" i="12"/>
  <c r="V26" i="12"/>
  <c r="U26" i="12"/>
  <c r="S19" i="12"/>
  <c r="T19" i="12"/>
  <c r="S20" i="12"/>
  <c r="T20" i="12"/>
  <c r="S33" i="12"/>
  <c r="T33" i="12"/>
  <c r="T27" i="12"/>
  <c r="S27" i="12"/>
  <c r="U57" i="12"/>
  <c r="V57" i="12"/>
  <c r="U32" i="12"/>
  <c r="V32" i="12"/>
  <c r="U31" i="12"/>
  <c r="V31" i="12"/>
  <c r="U58" i="12"/>
  <c r="V58" i="12"/>
  <c r="S34" i="12"/>
  <c r="T34" i="12"/>
  <c r="Q36" i="12"/>
  <c r="R36" i="12"/>
  <c r="R29" i="12"/>
  <c r="Q29" i="12"/>
  <c r="S39" i="12"/>
  <c r="T39" i="12"/>
  <c r="W49" i="12"/>
  <c r="X49" i="12"/>
  <c r="AA109" i="9"/>
  <c r="AB109" i="9"/>
  <c r="V60" i="12"/>
  <c r="U60" i="12"/>
  <c r="R21" i="12"/>
  <c r="Q21" i="12"/>
  <c r="V62" i="12"/>
  <c r="U62" i="12"/>
  <c r="R22" i="12"/>
  <c r="Q22" i="12"/>
  <c r="U18" i="12"/>
  <c r="V18" i="12"/>
  <c r="U55" i="12"/>
  <c r="V55" i="12"/>
  <c r="W54" i="12"/>
  <c r="X54" i="12"/>
  <c r="W50" i="12"/>
  <c r="X50" i="12"/>
  <c r="W66" i="12"/>
  <c r="X66" i="12"/>
  <c r="U43" i="12"/>
  <c r="V43" i="12"/>
  <c r="U41" i="12"/>
  <c r="V41" i="12"/>
  <c r="U63" i="12"/>
  <c r="V63" i="12"/>
  <c r="V37" i="12"/>
  <c r="U37" i="12"/>
  <c r="T28" i="12"/>
  <c r="S28" i="12"/>
  <c r="V24" i="12"/>
  <c r="U24" i="12"/>
  <c r="R30" i="12"/>
  <c r="Q30" i="12"/>
  <c r="AD40" i="8"/>
  <c r="AC40" i="8"/>
  <c r="AD67" i="8"/>
  <c r="AF67" i="8" s="1"/>
  <c r="AH67" i="8" s="1"/>
  <c r="AJ67" i="8" s="1"/>
  <c r="AC67" i="8"/>
  <c r="G67" i="8" s="1"/>
  <c r="AC68" i="8"/>
  <c r="AD68" i="8"/>
  <c r="AD35" i="8"/>
  <c r="AC35" i="8"/>
  <c r="AC34" i="8"/>
  <c r="AD34" i="8"/>
  <c r="AF58" i="8" l="1"/>
  <c r="AE58" i="8"/>
  <c r="AD62" i="8"/>
  <c r="AC62" i="8"/>
  <c r="AD38" i="8"/>
  <c r="AC38" i="8"/>
  <c r="AD49" i="8"/>
  <c r="AC49" i="8"/>
  <c r="AF36" i="8"/>
  <c r="AE36" i="8"/>
  <c r="AD37" i="8"/>
  <c r="AC37" i="8"/>
  <c r="AH42" i="8"/>
  <c r="AJ42" i="8" s="1"/>
  <c r="AG42" i="8"/>
  <c r="G42" i="8" s="1"/>
  <c r="AF39" i="8"/>
  <c r="AE39" i="8"/>
  <c r="AF43" i="8"/>
  <c r="AE43" i="8"/>
  <c r="N294" i="16"/>
  <c r="M294" i="16"/>
  <c r="H296" i="16"/>
  <c r="K295" i="16"/>
  <c r="F295" i="16"/>
  <c r="P293" i="16"/>
  <c r="O293" i="16"/>
  <c r="R292" i="16"/>
  <c r="T292" i="16" s="1"/>
  <c r="V292" i="16" s="1"/>
  <c r="X292" i="16" s="1"/>
  <c r="Z292" i="16" s="1"/>
  <c r="AB292" i="16" s="1"/>
  <c r="AD292" i="16" s="1"/>
  <c r="AF292" i="16" s="1"/>
  <c r="AH292" i="16" s="1"/>
  <c r="AJ292" i="16" s="1"/>
  <c r="Q292" i="16"/>
  <c r="I292" i="16" s="1"/>
  <c r="AF64" i="8"/>
  <c r="AE64" i="8"/>
  <c r="Z92" i="8"/>
  <c r="Y92" i="8"/>
  <c r="AC97" i="21"/>
  <c r="AD97" i="21"/>
  <c r="M180" i="16"/>
  <c r="N180" i="16"/>
  <c r="R178" i="16"/>
  <c r="T178" i="16" s="1"/>
  <c r="V178" i="16" s="1"/>
  <c r="X178" i="16" s="1"/>
  <c r="Z178" i="16" s="1"/>
  <c r="AB178" i="16" s="1"/>
  <c r="AD178" i="16" s="1"/>
  <c r="AF178" i="16" s="1"/>
  <c r="AH178" i="16" s="1"/>
  <c r="AJ178" i="16" s="1"/>
  <c r="Q178" i="16"/>
  <c r="I178" i="16" s="1"/>
  <c r="H182" i="16"/>
  <c r="K181" i="16"/>
  <c r="O179" i="16"/>
  <c r="P179" i="16"/>
  <c r="AF90" i="8"/>
  <c r="AE90" i="8"/>
  <c r="T92" i="16"/>
  <c r="S92" i="16"/>
  <c r="R97" i="16"/>
  <c r="Q97" i="16"/>
  <c r="V89" i="16"/>
  <c r="U89" i="16"/>
  <c r="M103" i="16"/>
  <c r="N103" i="16"/>
  <c r="M99" i="16"/>
  <c r="N99" i="16"/>
  <c r="AD79" i="16"/>
  <c r="AC79" i="16"/>
  <c r="AF74" i="16"/>
  <c r="AH74" i="16" s="1"/>
  <c r="AJ74" i="16" s="1"/>
  <c r="AE74" i="16"/>
  <c r="I74" i="16" s="1"/>
  <c r="U91" i="16"/>
  <c r="V91" i="16"/>
  <c r="W84" i="16"/>
  <c r="X84" i="16"/>
  <c r="AA80" i="16"/>
  <c r="AB80" i="16"/>
  <c r="AD75" i="16"/>
  <c r="AC75" i="16"/>
  <c r="AA82" i="16"/>
  <c r="AB82" i="16"/>
  <c r="K106" i="16"/>
  <c r="K102" i="16"/>
  <c r="M101" i="16"/>
  <c r="N101" i="16"/>
  <c r="Z81" i="16"/>
  <c r="Y81" i="16"/>
  <c r="T90" i="16"/>
  <c r="S90" i="16"/>
  <c r="X88" i="16"/>
  <c r="W88" i="16"/>
  <c r="R93" i="16"/>
  <c r="Q93" i="16"/>
  <c r="AF76" i="16"/>
  <c r="AH76" i="16" s="1"/>
  <c r="AJ76" i="16" s="1"/>
  <c r="AE76" i="16"/>
  <c r="I76" i="16" s="1"/>
  <c r="K104" i="16"/>
  <c r="O100" i="16"/>
  <c r="P100" i="16"/>
  <c r="AB78" i="16"/>
  <c r="AA78" i="16"/>
  <c r="AF72" i="16"/>
  <c r="AH72" i="16" s="1"/>
  <c r="AJ72" i="16" s="1"/>
  <c r="AE72" i="16"/>
  <c r="I72" i="16" s="1"/>
  <c r="Z85" i="16"/>
  <c r="Y85" i="16"/>
  <c r="U87" i="16"/>
  <c r="V87" i="16"/>
  <c r="O98" i="16"/>
  <c r="P98" i="16"/>
  <c r="W86" i="16"/>
  <c r="X86" i="16"/>
  <c r="AD77" i="16"/>
  <c r="AC77" i="16"/>
  <c r="O96" i="16"/>
  <c r="P96" i="16"/>
  <c r="Y83" i="16"/>
  <c r="Z83" i="16"/>
  <c r="R95" i="16"/>
  <c r="Q95" i="16"/>
  <c r="S94" i="16"/>
  <c r="T94" i="16"/>
  <c r="T30" i="12"/>
  <c r="S30" i="12"/>
  <c r="V28" i="12"/>
  <c r="U28" i="12"/>
  <c r="W63" i="12"/>
  <c r="X63" i="12"/>
  <c r="W41" i="12"/>
  <c r="X41" i="12"/>
  <c r="W43" i="12"/>
  <c r="X43" i="12"/>
  <c r="Y66" i="12"/>
  <c r="G66" i="12" s="1"/>
  <c r="Z66" i="12"/>
  <c r="AB66" i="12" s="1"/>
  <c r="AD66" i="12" s="1"/>
  <c r="AF66" i="12" s="1"/>
  <c r="AH66" i="12" s="1"/>
  <c r="Y50" i="12"/>
  <c r="Z50" i="12"/>
  <c r="Y54" i="12"/>
  <c r="Z54" i="12"/>
  <c r="W55" i="12"/>
  <c r="X55" i="12"/>
  <c r="W18" i="12"/>
  <c r="X18" i="12"/>
  <c r="AC109" i="9"/>
  <c r="AD109" i="9"/>
  <c r="Y49" i="12"/>
  <c r="Z49" i="12"/>
  <c r="U39" i="12"/>
  <c r="V39" i="12"/>
  <c r="S36" i="12"/>
  <c r="T36" i="12"/>
  <c r="U34" i="12"/>
  <c r="V34" i="12"/>
  <c r="W58" i="12"/>
  <c r="X58" i="12"/>
  <c r="W31" i="12"/>
  <c r="X31" i="12"/>
  <c r="X32" i="12"/>
  <c r="W32" i="12"/>
  <c r="W57" i="12"/>
  <c r="X57" i="12"/>
  <c r="U33" i="12"/>
  <c r="V33" i="12"/>
  <c r="X26" i="12"/>
  <c r="W26" i="12"/>
  <c r="X25" i="12"/>
  <c r="W25" i="12"/>
  <c r="Z52" i="12"/>
  <c r="Y52" i="12"/>
  <c r="X23" i="12"/>
  <c r="W23" i="12"/>
  <c r="T35" i="12"/>
  <c r="S35" i="12"/>
  <c r="Z51" i="12"/>
  <c r="Y51" i="12"/>
  <c r="V40" i="12"/>
  <c r="U40" i="12"/>
  <c r="X17" i="12"/>
  <c r="W17" i="12"/>
  <c r="Z53" i="12"/>
  <c r="Y53" i="12"/>
  <c r="W38" i="12"/>
  <c r="X38" i="12"/>
  <c r="X45" i="12"/>
  <c r="W45" i="12"/>
  <c r="X61" i="12"/>
  <c r="W61" i="12"/>
  <c r="X59" i="12"/>
  <c r="W59" i="12"/>
  <c r="X46" i="12"/>
  <c r="W46" i="12"/>
  <c r="W47" i="12"/>
  <c r="X47" i="12"/>
  <c r="X24" i="12"/>
  <c r="W24" i="12"/>
  <c r="X37" i="12"/>
  <c r="W37" i="12"/>
  <c r="S22" i="12"/>
  <c r="T22" i="12"/>
  <c r="X62" i="12"/>
  <c r="W62" i="12"/>
  <c r="T21" i="12"/>
  <c r="S21" i="12"/>
  <c r="X60" i="12"/>
  <c r="W60" i="12"/>
  <c r="T29" i="12"/>
  <c r="S29" i="12"/>
  <c r="V27" i="12"/>
  <c r="U27" i="12"/>
  <c r="U20" i="12"/>
  <c r="V20" i="12"/>
  <c r="U19" i="12"/>
  <c r="V19" i="12"/>
  <c r="W56" i="12"/>
  <c r="X56" i="12"/>
  <c r="W64" i="12"/>
  <c r="X64" i="12"/>
  <c r="W42" i="12"/>
  <c r="X42" i="12"/>
  <c r="W44" i="12"/>
  <c r="X44" i="12"/>
  <c r="W48" i="12"/>
  <c r="X48" i="12"/>
  <c r="AF35" i="8"/>
  <c r="AE35" i="8"/>
  <c r="AE40" i="8"/>
  <c r="AF40" i="8"/>
  <c r="AE34" i="8"/>
  <c r="AF34" i="8"/>
  <c r="AE68" i="8"/>
  <c r="G68" i="8" s="1"/>
  <c r="AF68" i="8"/>
  <c r="AH68" i="8" s="1"/>
  <c r="AJ68" i="8" s="1"/>
  <c r="AF38" i="8" l="1"/>
  <c r="AE38" i="8"/>
  <c r="AF37" i="8"/>
  <c r="AE37" i="8"/>
  <c r="AF62" i="8"/>
  <c r="AE62" i="8"/>
  <c r="AH36" i="8"/>
  <c r="AJ36" i="8" s="1"/>
  <c r="AG36" i="8"/>
  <c r="G36" i="8" s="1"/>
  <c r="AH58" i="8"/>
  <c r="AJ58" i="8" s="1"/>
  <c r="AG58" i="8"/>
  <c r="G58" i="8" s="1"/>
  <c r="AF49" i="8"/>
  <c r="AE49" i="8"/>
  <c r="AH43" i="8"/>
  <c r="AJ43" i="8" s="1"/>
  <c r="AG43" i="8"/>
  <c r="G43" i="8" s="1"/>
  <c r="AH39" i="8"/>
  <c r="AJ39" i="8" s="1"/>
  <c r="AG39" i="8"/>
  <c r="G39" i="8" s="1"/>
  <c r="AH40" i="8"/>
  <c r="AJ40" i="8" s="1"/>
  <c r="AG40" i="8"/>
  <c r="G40" i="8" s="1"/>
  <c r="F296" i="16"/>
  <c r="H297" i="16"/>
  <c r="K296" i="16"/>
  <c r="R293" i="16"/>
  <c r="T293" i="16" s="1"/>
  <c r="V293" i="16" s="1"/>
  <c r="X293" i="16" s="1"/>
  <c r="Z293" i="16" s="1"/>
  <c r="AB293" i="16" s="1"/>
  <c r="AD293" i="16" s="1"/>
  <c r="AF293" i="16" s="1"/>
  <c r="AH293" i="16" s="1"/>
  <c r="AJ293" i="16" s="1"/>
  <c r="Q293" i="16"/>
  <c r="I293" i="16" s="1"/>
  <c r="N295" i="16"/>
  <c r="M295" i="16"/>
  <c r="P294" i="16"/>
  <c r="O294" i="16"/>
  <c r="AH64" i="8"/>
  <c r="AJ64" i="8" s="1"/>
  <c r="AG64" i="8"/>
  <c r="G64" i="8" s="1"/>
  <c r="AB92" i="8"/>
  <c r="AD92" i="8" s="1"/>
  <c r="AF92" i="8" s="1"/>
  <c r="AH92" i="8" s="1"/>
  <c r="AJ92" i="8" s="1"/>
  <c r="AA92" i="8"/>
  <c r="G92" i="8" s="1"/>
  <c r="AE97" i="21"/>
  <c r="AF97" i="21"/>
  <c r="M181" i="16"/>
  <c r="N181" i="16"/>
  <c r="O180" i="16"/>
  <c r="P180" i="16"/>
  <c r="Q179" i="16"/>
  <c r="I179" i="16" s="1"/>
  <c r="R179" i="16"/>
  <c r="T179" i="16" s="1"/>
  <c r="V179" i="16" s="1"/>
  <c r="X179" i="16" s="1"/>
  <c r="Z179" i="16" s="1"/>
  <c r="AB179" i="16" s="1"/>
  <c r="AD179" i="16" s="1"/>
  <c r="AF179" i="16" s="1"/>
  <c r="AH179" i="16" s="1"/>
  <c r="AJ179" i="16" s="1"/>
  <c r="H183" i="16"/>
  <c r="K182" i="16"/>
  <c r="AH90" i="8"/>
  <c r="AG90" i="8"/>
  <c r="AA83" i="16"/>
  <c r="AB83" i="16"/>
  <c r="R96" i="16"/>
  <c r="Q96" i="16"/>
  <c r="AF77" i="16"/>
  <c r="AH77" i="16" s="1"/>
  <c r="AJ77" i="16" s="1"/>
  <c r="AE77" i="16"/>
  <c r="I77" i="16" s="1"/>
  <c r="AA85" i="16"/>
  <c r="AB85" i="16"/>
  <c r="M102" i="16"/>
  <c r="N102" i="16"/>
  <c r="AC82" i="16"/>
  <c r="AD82" i="16"/>
  <c r="AD80" i="16"/>
  <c r="AC80" i="16"/>
  <c r="X91" i="16"/>
  <c r="W91" i="16"/>
  <c r="O103" i="16"/>
  <c r="P103" i="16"/>
  <c r="S95" i="16"/>
  <c r="T95" i="16"/>
  <c r="Z86" i="16"/>
  <c r="Y86" i="16"/>
  <c r="W87" i="16"/>
  <c r="X87" i="16"/>
  <c r="AD78" i="16"/>
  <c r="AC78" i="16"/>
  <c r="M104" i="16"/>
  <c r="N104" i="16"/>
  <c r="Y88" i="16"/>
  <c r="Z88" i="16"/>
  <c r="AA81" i="16"/>
  <c r="AB81" i="16"/>
  <c r="K105" i="16"/>
  <c r="AE79" i="16"/>
  <c r="I79" i="16" s="1"/>
  <c r="AF79" i="16"/>
  <c r="AH79" i="16" s="1"/>
  <c r="AJ79" i="16" s="1"/>
  <c r="X89" i="16"/>
  <c r="W89" i="16"/>
  <c r="V92" i="16"/>
  <c r="U92" i="16"/>
  <c r="U94" i="16"/>
  <c r="V94" i="16"/>
  <c r="K107" i="16"/>
  <c r="P101" i="16"/>
  <c r="O101" i="16"/>
  <c r="M106" i="16"/>
  <c r="N106" i="16"/>
  <c r="Y84" i="16"/>
  <c r="Z84" i="16"/>
  <c r="P99" i="16"/>
  <c r="O99" i="16"/>
  <c r="R98" i="16"/>
  <c r="Q98" i="16"/>
  <c r="R100" i="16"/>
  <c r="Q100" i="16"/>
  <c r="T93" i="16"/>
  <c r="S93" i="16"/>
  <c r="V90" i="16"/>
  <c r="U90" i="16"/>
  <c r="K109" i="16"/>
  <c r="AF75" i="16"/>
  <c r="AH75" i="16" s="1"/>
  <c r="AJ75" i="16" s="1"/>
  <c r="AE75" i="16"/>
  <c r="I75" i="16" s="1"/>
  <c r="T97" i="16"/>
  <c r="S97" i="16"/>
  <c r="X27" i="12"/>
  <c r="W27" i="12"/>
  <c r="V29" i="12"/>
  <c r="U29" i="12"/>
  <c r="Z60" i="12"/>
  <c r="Y60" i="12"/>
  <c r="U21" i="12"/>
  <c r="V21" i="12"/>
  <c r="Z62" i="12"/>
  <c r="Y62" i="12"/>
  <c r="Z37" i="12"/>
  <c r="Y37" i="12"/>
  <c r="Z24" i="12"/>
  <c r="Y24" i="12"/>
  <c r="Z47" i="12"/>
  <c r="Y47" i="12"/>
  <c r="Y38" i="12"/>
  <c r="Z38" i="12"/>
  <c r="X33" i="12"/>
  <c r="W33" i="12"/>
  <c r="Z57" i="12"/>
  <c r="Y57" i="12"/>
  <c r="Z31" i="12"/>
  <c r="Y31" i="12"/>
  <c r="Z58" i="12"/>
  <c r="Y58" i="12"/>
  <c r="X34" i="12"/>
  <c r="W34" i="12"/>
  <c r="V36" i="12"/>
  <c r="U36" i="12"/>
  <c r="X39" i="12"/>
  <c r="W39" i="12"/>
  <c r="AB49" i="12"/>
  <c r="AA49" i="12"/>
  <c r="AE109" i="9"/>
  <c r="AF109" i="9"/>
  <c r="Y18" i="12"/>
  <c r="Z18" i="12"/>
  <c r="Y55" i="12"/>
  <c r="Z55" i="12"/>
  <c r="AA54" i="12"/>
  <c r="AB54" i="12"/>
  <c r="AA50" i="12"/>
  <c r="AB50" i="12"/>
  <c r="Y43" i="12"/>
  <c r="Z43" i="12"/>
  <c r="Y41" i="12"/>
  <c r="Z41" i="12"/>
  <c r="Y63" i="12"/>
  <c r="Z63" i="12"/>
  <c r="Y48" i="12"/>
  <c r="Z48" i="12"/>
  <c r="Y44" i="12"/>
  <c r="Z44" i="12"/>
  <c r="Y42" i="12"/>
  <c r="Z42" i="12"/>
  <c r="Y64" i="12"/>
  <c r="Z64" i="12"/>
  <c r="Y56" i="12"/>
  <c r="Z56" i="12"/>
  <c r="W19" i="12"/>
  <c r="X19" i="12"/>
  <c r="W20" i="12"/>
  <c r="X20" i="12"/>
  <c r="U22" i="12"/>
  <c r="V22" i="12"/>
  <c r="Z46" i="12"/>
  <c r="Y46" i="12"/>
  <c r="Z59" i="12"/>
  <c r="Y59" i="12"/>
  <c r="Z61" i="12"/>
  <c r="Y61" i="12"/>
  <c r="Z45" i="12"/>
  <c r="Y45" i="12"/>
  <c r="AB53" i="12"/>
  <c r="AA53" i="12"/>
  <c r="Z17" i="12"/>
  <c r="Y17" i="12"/>
  <c r="W40" i="12"/>
  <c r="X40" i="12"/>
  <c r="AB51" i="12"/>
  <c r="AA51" i="12"/>
  <c r="U35" i="12"/>
  <c r="V35" i="12"/>
  <c r="Z23" i="12"/>
  <c r="Y23" i="12"/>
  <c r="AB52" i="12"/>
  <c r="AA52" i="12"/>
  <c r="Z25" i="12"/>
  <c r="Y25" i="12"/>
  <c r="Z26" i="12"/>
  <c r="Y26" i="12"/>
  <c r="Z32" i="12"/>
  <c r="Y32" i="12"/>
  <c r="X28" i="12"/>
  <c r="W28" i="12"/>
  <c r="V30" i="12"/>
  <c r="U30" i="12"/>
  <c r="AG34" i="8"/>
  <c r="AH34" i="8"/>
  <c r="AG35" i="8"/>
  <c r="AH35" i="8"/>
  <c r="AH37" i="8" l="1"/>
  <c r="AJ37" i="8" s="1"/>
  <c r="AG37" i="8"/>
  <c r="G37" i="8" s="1"/>
  <c r="AH38" i="8"/>
  <c r="AJ38" i="8" s="1"/>
  <c r="AG38" i="8"/>
  <c r="G38" i="8" s="1"/>
  <c r="AH49" i="8"/>
  <c r="AJ49" i="8" s="1"/>
  <c r="AG49" i="8"/>
  <c r="G49" i="8" s="1"/>
  <c r="AH62" i="8"/>
  <c r="AJ62" i="8" s="1"/>
  <c r="AG62" i="8"/>
  <c r="G62" i="8" s="1"/>
  <c r="N296" i="16"/>
  <c r="M296" i="16"/>
  <c r="O295" i="16"/>
  <c r="P295" i="16"/>
  <c r="F297" i="16"/>
  <c r="H298" i="16"/>
  <c r="K297" i="16"/>
  <c r="Q294" i="16"/>
  <c r="I294" i="16" s="1"/>
  <c r="R294" i="16"/>
  <c r="T294" i="16" s="1"/>
  <c r="V294" i="16" s="1"/>
  <c r="X294" i="16" s="1"/>
  <c r="Z294" i="16" s="1"/>
  <c r="AB294" i="16" s="1"/>
  <c r="AD294" i="16" s="1"/>
  <c r="AF294" i="16" s="1"/>
  <c r="AH294" i="16" s="1"/>
  <c r="AJ294" i="16" s="1"/>
  <c r="AH97" i="21"/>
  <c r="AG97" i="21"/>
  <c r="O181" i="16"/>
  <c r="P181" i="16"/>
  <c r="N182" i="16"/>
  <c r="M182" i="16"/>
  <c r="Q180" i="16"/>
  <c r="I180" i="16" s="1"/>
  <c r="R180" i="16"/>
  <c r="T180" i="16" s="1"/>
  <c r="V180" i="16" s="1"/>
  <c r="X180" i="16" s="1"/>
  <c r="Z180" i="16" s="1"/>
  <c r="AB180" i="16" s="1"/>
  <c r="AD180" i="16" s="1"/>
  <c r="AF180" i="16" s="1"/>
  <c r="AH180" i="16" s="1"/>
  <c r="AJ180" i="16" s="1"/>
  <c r="H184" i="16"/>
  <c r="K183" i="16"/>
  <c r="AJ90" i="8"/>
  <c r="AK90" i="8" s="1"/>
  <c r="AI90" i="8"/>
  <c r="AA84" i="16"/>
  <c r="AB84" i="16"/>
  <c r="W94" i="16"/>
  <c r="X94" i="16"/>
  <c r="AF82" i="16"/>
  <c r="AH82" i="16" s="1"/>
  <c r="AJ82" i="16" s="1"/>
  <c r="AE82" i="16"/>
  <c r="I82" i="16" s="1"/>
  <c r="AC85" i="16"/>
  <c r="AD85" i="16"/>
  <c r="V93" i="16"/>
  <c r="U93" i="16"/>
  <c r="T98" i="16"/>
  <c r="S98" i="16"/>
  <c r="Q101" i="16"/>
  <c r="R101" i="16"/>
  <c r="Z89" i="16"/>
  <c r="Y89" i="16"/>
  <c r="M105" i="16"/>
  <c r="N105" i="16"/>
  <c r="AA88" i="16"/>
  <c r="AB88" i="16"/>
  <c r="Y91" i="16"/>
  <c r="Z91" i="16"/>
  <c r="T96" i="16"/>
  <c r="S96" i="16"/>
  <c r="K112" i="16"/>
  <c r="P106" i="16"/>
  <c r="O106" i="16"/>
  <c r="M107" i="16"/>
  <c r="N107" i="16"/>
  <c r="K108" i="16"/>
  <c r="AF78" i="16"/>
  <c r="AH78" i="16" s="1"/>
  <c r="AJ78" i="16" s="1"/>
  <c r="AE78" i="16"/>
  <c r="I78" i="16" s="1"/>
  <c r="AA86" i="16"/>
  <c r="AB86" i="16"/>
  <c r="R103" i="16"/>
  <c r="Q103" i="16"/>
  <c r="O102" i="16"/>
  <c r="P102" i="16"/>
  <c r="V97" i="16"/>
  <c r="U97" i="16"/>
  <c r="N109" i="16"/>
  <c r="M109" i="16"/>
  <c r="X90" i="16"/>
  <c r="W90" i="16"/>
  <c r="S100" i="16"/>
  <c r="T100" i="16"/>
  <c r="Q99" i="16"/>
  <c r="R99" i="16"/>
  <c r="K110" i="16"/>
  <c r="X92" i="16"/>
  <c r="W92" i="16"/>
  <c r="AD81" i="16"/>
  <c r="AC81" i="16"/>
  <c r="P104" i="16"/>
  <c r="O104" i="16"/>
  <c r="Y87" i="16"/>
  <c r="Z87" i="16"/>
  <c r="U95" i="16"/>
  <c r="V95" i="16"/>
  <c r="AF80" i="16"/>
  <c r="AH80" i="16" s="1"/>
  <c r="AJ80" i="16" s="1"/>
  <c r="AE80" i="16"/>
  <c r="I80" i="16" s="1"/>
  <c r="AC83" i="16"/>
  <c r="AD83" i="16"/>
  <c r="X30" i="12"/>
  <c r="W30" i="12"/>
  <c r="Z28" i="12"/>
  <c r="Y28" i="12"/>
  <c r="AA32" i="12"/>
  <c r="AB32" i="12"/>
  <c r="AA26" i="12"/>
  <c r="AB26" i="12"/>
  <c r="AA25" i="12"/>
  <c r="AB25" i="12"/>
  <c r="AD52" i="12"/>
  <c r="AF52" i="12" s="1"/>
  <c r="AH52" i="12" s="1"/>
  <c r="AC52" i="12"/>
  <c r="G52" i="12" s="1"/>
  <c r="AA23" i="12"/>
  <c r="AB23" i="12"/>
  <c r="AC51" i="12"/>
  <c r="AD51" i="12"/>
  <c r="AF51" i="12" s="1"/>
  <c r="AH51" i="12" s="1"/>
  <c r="AB17" i="12"/>
  <c r="AA17" i="12"/>
  <c r="AD53" i="12"/>
  <c r="AF53" i="12" s="1"/>
  <c r="AH53" i="12" s="1"/>
  <c r="AC53" i="12"/>
  <c r="G53" i="12" s="1"/>
  <c r="AA45" i="12"/>
  <c r="AB45" i="12"/>
  <c r="AB61" i="12"/>
  <c r="AA61" i="12"/>
  <c r="AB59" i="12"/>
  <c r="AA59" i="12"/>
  <c r="AA46" i="12"/>
  <c r="AB46" i="12"/>
  <c r="AA63" i="12"/>
  <c r="AB63" i="12"/>
  <c r="AB41" i="12"/>
  <c r="AA41" i="12"/>
  <c r="AB43" i="12"/>
  <c r="AA43" i="12"/>
  <c r="AD50" i="12"/>
  <c r="AF50" i="12" s="1"/>
  <c r="AH50" i="12" s="1"/>
  <c r="AC50" i="12"/>
  <c r="G50" i="12" s="1"/>
  <c r="AC54" i="12"/>
  <c r="G54" i="12" s="1"/>
  <c r="AD54" i="12"/>
  <c r="AF54" i="12" s="1"/>
  <c r="AH54" i="12" s="1"/>
  <c r="AA55" i="12"/>
  <c r="AB55" i="12"/>
  <c r="AB18" i="12"/>
  <c r="AA18" i="12"/>
  <c r="AG109" i="9"/>
  <c r="AH109" i="9"/>
  <c r="AB38" i="12"/>
  <c r="AA38" i="12"/>
  <c r="X21" i="12"/>
  <c r="W21" i="12"/>
  <c r="X35" i="12"/>
  <c r="W35" i="12"/>
  <c r="Z40" i="12"/>
  <c r="Y40" i="12"/>
  <c r="W22" i="12"/>
  <c r="X22" i="12"/>
  <c r="Y20" i="12"/>
  <c r="Z20" i="12"/>
  <c r="Y19" i="12"/>
  <c r="Z19" i="12"/>
  <c r="AA56" i="12"/>
  <c r="AB56" i="12"/>
  <c r="AA64" i="12"/>
  <c r="AB64" i="12"/>
  <c r="AA42" i="12"/>
  <c r="AB42" i="12"/>
  <c r="AA44" i="12"/>
  <c r="AB44" i="12"/>
  <c r="AA48" i="12"/>
  <c r="AB48" i="12"/>
  <c r="AC49" i="12"/>
  <c r="G49" i="12" s="1"/>
  <c r="AD49" i="12"/>
  <c r="AF49" i="12" s="1"/>
  <c r="AH49" i="12" s="1"/>
  <c r="Y39" i="12"/>
  <c r="Z39" i="12"/>
  <c r="W36" i="12"/>
  <c r="X36" i="12"/>
  <c r="Y34" i="12"/>
  <c r="Z34" i="12"/>
  <c r="AB58" i="12"/>
  <c r="AA58" i="12"/>
  <c r="AA31" i="12"/>
  <c r="AB31" i="12"/>
  <c r="AB57" i="12"/>
  <c r="AA57" i="12"/>
  <c r="Y33" i="12"/>
  <c r="Z33" i="12"/>
  <c r="AA47" i="12"/>
  <c r="AB47" i="12"/>
  <c r="AB24" i="12"/>
  <c r="AA24" i="12"/>
  <c r="AB37" i="12"/>
  <c r="AA37" i="12"/>
  <c r="AB62" i="12"/>
  <c r="AA62" i="12"/>
  <c r="AB60" i="12"/>
  <c r="AA60" i="12"/>
  <c r="X29" i="12"/>
  <c r="W29" i="12"/>
  <c r="Z27" i="12"/>
  <c r="Y27" i="12"/>
  <c r="G51" i="12"/>
  <c r="AI35" i="8"/>
  <c r="AJ35" i="8"/>
  <c r="AK35" i="8" s="1"/>
  <c r="AI34" i="8"/>
  <c r="AJ34" i="8"/>
  <c r="AK34" i="8" s="1"/>
  <c r="N297" i="16" l="1"/>
  <c r="M297" i="16"/>
  <c r="R295" i="16"/>
  <c r="T295" i="16" s="1"/>
  <c r="V295" i="16" s="1"/>
  <c r="X295" i="16" s="1"/>
  <c r="Z295" i="16" s="1"/>
  <c r="AB295" i="16" s="1"/>
  <c r="AD295" i="16" s="1"/>
  <c r="AF295" i="16" s="1"/>
  <c r="AH295" i="16" s="1"/>
  <c r="AJ295" i="16" s="1"/>
  <c r="Q295" i="16"/>
  <c r="I295" i="16" s="1"/>
  <c r="P296" i="16"/>
  <c r="O296" i="16"/>
  <c r="H299" i="16"/>
  <c r="K298" i="16"/>
  <c r="F298" i="16"/>
  <c r="AJ97" i="21"/>
  <c r="AK97" i="21" s="1"/>
  <c r="AI97" i="21"/>
  <c r="N183" i="16"/>
  <c r="M183" i="16"/>
  <c r="H185" i="16"/>
  <c r="K184" i="16"/>
  <c r="O182" i="16"/>
  <c r="P182" i="16"/>
  <c r="Q181" i="16"/>
  <c r="I181" i="16" s="1"/>
  <c r="R181" i="16"/>
  <c r="T181" i="16" s="1"/>
  <c r="V181" i="16" s="1"/>
  <c r="X181" i="16" s="1"/>
  <c r="Z181" i="16" s="1"/>
  <c r="AB181" i="16" s="1"/>
  <c r="AD181" i="16" s="1"/>
  <c r="AF181" i="16" s="1"/>
  <c r="AH181" i="16" s="1"/>
  <c r="AJ181" i="16" s="1"/>
  <c r="G90" i="8"/>
  <c r="N110" i="16"/>
  <c r="M110" i="16"/>
  <c r="O107" i="16"/>
  <c r="P107" i="16"/>
  <c r="V96" i="16"/>
  <c r="U96" i="16"/>
  <c r="W95" i="16"/>
  <c r="X95" i="16"/>
  <c r="P109" i="16"/>
  <c r="O109" i="16"/>
  <c r="AC86" i="16"/>
  <c r="AD86" i="16"/>
  <c r="M108" i="16"/>
  <c r="N108" i="16"/>
  <c r="K115" i="16"/>
  <c r="AB89" i="16"/>
  <c r="AA89" i="16"/>
  <c r="V98" i="16"/>
  <c r="U98" i="16"/>
  <c r="Q104" i="16"/>
  <c r="R104" i="16"/>
  <c r="Z92" i="16"/>
  <c r="Y92" i="16"/>
  <c r="S99" i="16"/>
  <c r="T99" i="16"/>
  <c r="K111" i="16"/>
  <c r="R106" i="16"/>
  <c r="Q106" i="16"/>
  <c r="AA91" i="16"/>
  <c r="AB91" i="16"/>
  <c r="P105" i="16"/>
  <c r="O105" i="16"/>
  <c r="S101" i="16"/>
  <c r="T101" i="16"/>
  <c r="AF85" i="16"/>
  <c r="AH85" i="16" s="1"/>
  <c r="AJ85" i="16" s="1"/>
  <c r="AE85" i="16"/>
  <c r="I85" i="16" s="1"/>
  <c r="AD84" i="16"/>
  <c r="AC84" i="16"/>
  <c r="AA87" i="16"/>
  <c r="AB87" i="16"/>
  <c r="Z90" i="16"/>
  <c r="Y90" i="16"/>
  <c r="X97" i="16"/>
  <c r="W97" i="16"/>
  <c r="X93" i="16"/>
  <c r="W93" i="16"/>
  <c r="AF83" i="16"/>
  <c r="AH83" i="16" s="1"/>
  <c r="AJ83" i="16" s="1"/>
  <c r="AE83" i="16"/>
  <c r="I83" i="16" s="1"/>
  <c r="AE81" i="16"/>
  <c r="I81" i="16" s="1"/>
  <c r="AF81" i="16"/>
  <c r="AH81" i="16" s="1"/>
  <c r="AJ81" i="16" s="1"/>
  <c r="K113" i="16"/>
  <c r="V100" i="16"/>
  <c r="U100" i="16"/>
  <c r="R102" i="16"/>
  <c r="Q102" i="16"/>
  <c r="S103" i="16"/>
  <c r="T103" i="16"/>
  <c r="N112" i="16"/>
  <c r="M112" i="16"/>
  <c r="AC88" i="16"/>
  <c r="AD88" i="16"/>
  <c r="Z94" i="16"/>
  <c r="Y94" i="16"/>
  <c r="AA27" i="12"/>
  <c r="AB27" i="12"/>
  <c r="Y29" i="12"/>
  <c r="Z29" i="12"/>
  <c r="AD60" i="12"/>
  <c r="AF60" i="12" s="1"/>
  <c r="AH60" i="12" s="1"/>
  <c r="AC60" i="12"/>
  <c r="G60" i="12" s="1"/>
  <c r="AD62" i="12"/>
  <c r="AF62" i="12" s="1"/>
  <c r="AH62" i="12" s="1"/>
  <c r="AC62" i="12"/>
  <c r="G62" i="12" s="1"/>
  <c r="AD37" i="12"/>
  <c r="AF37" i="12" s="1"/>
  <c r="AH37" i="12" s="1"/>
  <c r="AC37" i="12"/>
  <c r="G37" i="12" s="1"/>
  <c r="AC24" i="12"/>
  <c r="G24" i="12" s="1"/>
  <c r="AD24" i="12"/>
  <c r="AF24" i="12" s="1"/>
  <c r="AH24" i="12" s="1"/>
  <c r="AD57" i="12"/>
  <c r="AF57" i="12" s="1"/>
  <c r="AH57" i="12" s="1"/>
  <c r="AC57" i="12"/>
  <c r="G57" i="12" s="1"/>
  <c r="AD58" i="12"/>
  <c r="AF58" i="12" s="1"/>
  <c r="AH58" i="12" s="1"/>
  <c r="AC58" i="12"/>
  <c r="G58" i="12" s="1"/>
  <c r="AA40" i="12"/>
  <c r="AB40" i="12"/>
  <c r="Y35" i="12"/>
  <c r="Z35" i="12"/>
  <c r="Y21" i="12"/>
  <c r="Z21" i="12"/>
  <c r="AD38" i="12"/>
  <c r="AF38" i="12" s="1"/>
  <c r="AH38" i="12" s="1"/>
  <c r="AC38" i="12"/>
  <c r="G38" i="12" s="1"/>
  <c r="AC18" i="12"/>
  <c r="G18" i="12" s="1"/>
  <c r="AD18" i="12"/>
  <c r="AF18" i="12" s="1"/>
  <c r="AH18" i="12" s="1"/>
  <c r="AC43" i="12"/>
  <c r="G43" i="12" s="1"/>
  <c r="AD43" i="12"/>
  <c r="AF43" i="12" s="1"/>
  <c r="AH43" i="12" s="1"/>
  <c r="AD41" i="12"/>
  <c r="AF41" i="12" s="1"/>
  <c r="AH41" i="12" s="1"/>
  <c r="AC41" i="12"/>
  <c r="G41" i="12" s="1"/>
  <c r="AD59" i="12"/>
  <c r="AF59" i="12" s="1"/>
  <c r="AH59" i="12" s="1"/>
  <c r="AC59" i="12"/>
  <c r="G59" i="12" s="1"/>
  <c r="AD61" i="12"/>
  <c r="AF61" i="12" s="1"/>
  <c r="AH61" i="12" s="1"/>
  <c r="AC61" i="12"/>
  <c r="G61" i="12" s="1"/>
  <c r="AD17" i="12"/>
  <c r="AF17" i="12" s="1"/>
  <c r="AH17" i="12" s="1"/>
  <c r="AC17" i="12"/>
  <c r="G17" i="12" s="1"/>
  <c r="AA28" i="12"/>
  <c r="AB28" i="12"/>
  <c r="Y30" i="12"/>
  <c r="Z30" i="12"/>
  <c r="AD47" i="12"/>
  <c r="AF47" i="12" s="1"/>
  <c r="AH47" i="12" s="1"/>
  <c r="AC47" i="12"/>
  <c r="G47" i="12" s="1"/>
  <c r="AB33" i="12"/>
  <c r="AA33" i="12"/>
  <c r="AC31" i="12"/>
  <c r="G31" i="12" s="1"/>
  <c r="AD31" i="12"/>
  <c r="AF31" i="12" s="1"/>
  <c r="AH31" i="12" s="1"/>
  <c r="AB34" i="12"/>
  <c r="AA34" i="12"/>
  <c r="Z36" i="12"/>
  <c r="Y36" i="12"/>
  <c r="AB39" i="12"/>
  <c r="AA39" i="12"/>
  <c r="AD48" i="12"/>
  <c r="AF48" i="12" s="1"/>
  <c r="AH48" i="12" s="1"/>
  <c r="AC48" i="12"/>
  <c r="G48" i="12" s="1"/>
  <c r="AD44" i="12"/>
  <c r="AF44" i="12" s="1"/>
  <c r="AH44" i="12" s="1"/>
  <c r="AC44" i="12"/>
  <c r="G44" i="12" s="1"/>
  <c r="AD42" i="12"/>
  <c r="AF42" i="12" s="1"/>
  <c r="AH42" i="12" s="1"/>
  <c r="AC42" i="12"/>
  <c r="G42" i="12" s="1"/>
  <c r="AC64" i="12"/>
  <c r="G64" i="12" s="1"/>
  <c r="AD64" i="12"/>
  <c r="AF64" i="12" s="1"/>
  <c r="AH64" i="12" s="1"/>
  <c r="AC56" i="12"/>
  <c r="G56" i="12" s="1"/>
  <c r="AD56" i="12"/>
  <c r="AF56" i="12" s="1"/>
  <c r="AH56" i="12" s="1"/>
  <c r="AA19" i="12"/>
  <c r="AB19" i="12"/>
  <c r="AA20" i="12"/>
  <c r="AB20" i="12"/>
  <c r="Z22" i="12"/>
  <c r="Y22" i="12"/>
  <c r="AI109" i="9"/>
  <c r="AJ109" i="9"/>
  <c r="AK109" i="9" s="1"/>
  <c r="AD55" i="12"/>
  <c r="AF55" i="12" s="1"/>
  <c r="AH55" i="12" s="1"/>
  <c r="AC55" i="12"/>
  <c r="G55" i="12" s="1"/>
  <c r="AC63" i="12"/>
  <c r="G63" i="12" s="1"/>
  <c r="AD63" i="12"/>
  <c r="AF63" i="12" s="1"/>
  <c r="AH63" i="12" s="1"/>
  <c r="AD46" i="12"/>
  <c r="AF46" i="12" s="1"/>
  <c r="AH46" i="12" s="1"/>
  <c r="AC46" i="12"/>
  <c r="G46" i="12" s="1"/>
  <c r="AD45" i="12"/>
  <c r="AF45" i="12" s="1"/>
  <c r="AH45" i="12" s="1"/>
  <c r="AC45" i="12"/>
  <c r="G45" i="12" s="1"/>
  <c r="AC23" i="12"/>
  <c r="G23" i="12" s="1"/>
  <c r="AD23" i="12"/>
  <c r="AF23" i="12" s="1"/>
  <c r="AH23" i="12" s="1"/>
  <c r="AD25" i="12"/>
  <c r="AF25" i="12" s="1"/>
  <c r="AH25" i="12" s="1"/>
  <c r="AC25" i="12"/>
  <c r="G25" i="12" s="1"/>
  <c r="AD26" i="12"/>
  <c r="AF26" i="12" s="1"/>
  <c r="AH26" i="12" s="1"/>
  <c r="AC26" i="12"/>
  <c r="G26" i="12" s="1"/>
  <c r="AD32" i="12"/>
  <c r="AF32" i="12" s="1"/>
  <c r="AH32" i="12" s="1"/>
  <c r="AC32" i="12"/>
  <c r="G32" i="12" s="1"/>
  <c r="G34" i="8"/>
  <c r="G35" i="8"/>
  <c r="R296" i="16" l="1"/>
  <c r="T296" i="16" s="1"/>
  <c r="V296" i="16" s="1"/>
  <c r="X296" i="16" s="1"/>
  <c r="Z296" i="16" s="1"/>
  <c r="AB296" i="16" s="1"/>
  <c r="AD296" i="16" s="1"/>
  <c r="AF296" i="16" s="1"/>
  <c r="AH296" i="16" s="1"/>
  <c r="AJ296" i="16" s="1"/>
  <c r="Q296" i="16"/>
  <c r="I296" i="16" s="1"/>
  <c r="O297" i="16"/>
  <c r="P297" i="16"/>
  <c r="N298" i="16"/>
  <c r="M298" i="16"/>
  <c r="H300" i="16"/>
  <c r="K299" i="16"/>
  <c r="F299" i="16"/>
  <c r="G97" i="21"/>
  <c r="Q182" i="16"/>
  <c r="I182" i="16" s="1"/>
  <c r="R182" i="16"/>
  <c r="T182" i="16" s="1"/>
  <c r="V182" i="16" s="1"/>
  <c r="X182" i="16" s="1"/>
  <c r="Z182" i="16" s="1"/>
  <c r="AB182" i="16" s="1"/>
  <c r="AD182" i="16" s="1"/>
  <c r="AF182" i="16" s="1"/>
  <c r="AH182" i="16" s="1"/>
  <c r="AJ182" i="16" s="1"/>
  <c r="H186" i="16"/>
  <c r="K185" i="16"/>
  <c r="N184" i="16"/>
  <c r="M184" i="16"/>
  <c r="O183" i="16"/>
  <c r="P183" i="16"/>
  <c r="T102" i="16"/>
  <c r="S102" i="16"/>
  <c r="AF84" i="16"/>
  <c r="AH84" i="16" s="1"/>
  <c r="AJ84" i="16" s="1"/>
  <c r="AE84" i="16"/>
  <c r="I84" i="16" s="1"/>
  <c r="N111" i="16"/>
  <c r="M111" i="16"/>
  <c r="K118" i="16"/>
  <c r="AE86" i="16"/>
  <c r="I86" i="16" s="1"/>
  <c r="AF86" i="16"/>
  <c r="AH86" i="16" s="1"/>
  <c r="AJ86" i="16" s="1"/>
  <c r="Y95" i="16"/>
  <c r="Z95" i="16"/>
  <c r="Q107" i="16"/>
  <c r="R107" i="16"/>
  <c r="AA94" i="16"/>
  <c r="AB94" i="16"/>
  <c r="O112" i="16"/>
  <c r="P112" i="16"/>
  <c r="W100" i="16"/>
  <c r="X100" i="16"/>
  <c r="Z93" i="16"/>
  <c r="Y93" i="16"/>
  <c r="Z97" i="16"/>
  <c r="Y97" i="16"/>
  <c r="AC87" i="16"/>
  <c r="AD87" i="16"/>
  <c r="AB92" i="16"/>
  <c r="AA92" i="16"/>
  <c r="W98" i="16"/>
  <c r="X98" i="16"/>
  <c r="M115" i="16"/>
  <c r="N115" i="16"/>
  <c r="AE88" i="16"/>
  <c r="I88" i="16" s="1"/>
  <c r="AF88" i="16"/>
  <c r="AH88" i="16" s="1"/>
  <c r="AJ88" i="16" s="1"/>
  <c r="N113" i="16"/>
  <c r="M113" i="16"/>
  <c r="R105" i="16"/>
  <c r="Q105" i="16"/>
  <c r="T106" i="16"/>
  <c r="S106" i="16"/>
  <c r="U99" i="16"/>
  <c r="V99" i="16"/>
  <c r="T104" i="16"/>
  <c r="S104" i="16"/>
  <c r="O108" i="16"/>
  <c r="P108" i="16"/>
  <c r="U103" i="16"/>
  <c r="V103" i="16"/>
  <c r="K116" i="16"/>
  <c r="AB90" i="16"/>
  <c r="AA90" i="16"/>
  <c r="V101" i="16"/>
  <c r="U101" i="16"/>
  <c r="AD91" i="16"/>
  <c r="AC91" i="16"/>
  <c r="K114" i="16"/>
  <c r="AD89" i="16"/>
  <c r="AC89" i="16"/>
  <c r="R109" i="16"/>
  <c r="Q109" i="16"/>
  <c r="W96" i="16"/>
  <c r="X96" i="16"/>
  <c r="P110" i="16"/>
  <c r="O110" i="16"/>
  <c r="AC20" i="12"/>
  <c r="AD20" i="12"/>
  <c r="AF20" i="12" s="1"/>
  <c r="AH20" i="12" s="1"/>
  <c r="AI20" i="12" s="1"/>
  <c r="AC19" i="12"/>
  <c r="AD19" i="12"/>
  <c r="AF19" i="12" s="1"/>
  <c r="AH19" i="12" s="1"/>
  <c r="AI19" i="12" s="1"/>
  <c r="AB30" i="12"/>
  <c r="AA30" i="12"/>
  <c r="AD28" i="12"/>
  <c r="AF28" i="12" s="1"/>
  <c r="AH28" i="12" s="1"/>
  <c r="AC28" i="12"/>
  <c r="G28" i="12" s="1"/>
  <c r="AB21" i="12"/>
  <c r="AA21" i="12"/>
  <c r="AB35" i="12"/>
  <c r="AA35" i="12"/>
  <c r="AD40" i="12"/>
  <c r="AF40" i="12" s="1"/>
  <c r="AH40" i="12" s="1"/>
  <c r="AC40" i="12"/>
  <c r="G40" i="12" s="1"/>
  <c r="AB29" i="12"/>
  <c r="AA29" i="12"/>
  <c r="AD27" i="12"/>
  <c r="AF27" i="12" s="1"/>
  <c r="AH27" i="12" s="1"/>
  <c r="AC27" i="12"/>
  <c r="G27" i="12" s="1"/>
  <c r="AA22" i="12"/>
  <c r="AB22" i="12"/>
  <c r="AC39" i="12"/>
  <c r="G39" i="12" s="1"/>
  <c r="AD39" i="12"/>
  <c r="AF39" i="12" s="1"/>
  <c r="AH39" i="12" s="1"/>
  <c r="AA36" i="12"/>
  <c r="AB36" i="12"/>
  <c r="AC34" i="12"/>
  <c r="G34" i="12" s="1"/>
  <c r="AD34" i="12"/>
  <c r="AF34" i="12" s="1"/>
  <c r="AH34" i="12" s="1"/>
  <c r="AC33" i="12"/>
  <c r="G33" i="12" s="1"/>
  <c r="AD33" i="12"/>
  <c r="AF33" i="12" s="1"/>
  <c r="AH33" i="12" s="1"/>
  <c r="G109" i="9"/>
  <c r="R297" i="16" l="1"/>
  <c r="T297" i="16" s="1"/>
  <c r="V297" i="16" s="1"/>
  <c r="X297" i="16" s="1"/>
  <c r="Z297" i="16" s="1"/>
  <c r="AB297" i="16" s="1"/>
  <c r="AD297" i="16" s="1"/>
  <c r="AF297" i="16" s="1"/>
  <c r="AH297" i="16" s="1"/>
  <c r="AJ297" i="16" s="1"/>
  <c r="Q297" i="16"/>
  <c r="I297" i="16" s="1"/>
  <c r="O298" i="16"/>
  <c r="P298" i="16"/>
  <c r="N299" i="16"/>
  <c r="M299" i="16"/>
  <c r="F300" i="16"/>
  <c r="H301" i="16"/>
  <c r="K300" i="16"/>
  <c r="O184" i="16"/>
  <c r="P184" i="16"/>
  <c r="H187" i="16"/>
  <c r="K186" i="16"/>
  <c r="Q183" i="16"/>
  <c r="I183" i="16" s="1"/>
  <c r="R183" i="16"/>
  <c r="T183" i="16" s="1"/>
  <c r="V183" i="16" s="1"/>
  <c r="X183" i="16" s="1"/>
  <c r="Z183" i="16" s="1"/>
  <c r="AB183" i="16" s="1"/>
  <c r="AD183" i="16" s="1"/>
  <c r="AF183" i="16" s="1"/>
  <c r="AH183" i="16" s="1"/>
  <c r="AJ183" i="16" s="1"/>
  <c r="M185" i="16"/>
  <c r="N185" i="16"/>
  <c r="Q110" i="16"/>
  <c r="R110" i="16"/>
  <c r="M116" i="16"/>
  <c r="N116" i="16"/>
  <c r="T105" i="16"/>
  <c r="S105" i="16"/>
  <c r="W103" i="16"/>
  <c r="X103" i="16"/>
  <c r="R108" i="16"/>
  <c r="Q108" i="16"/>
  <c r="V104" i="16"/>
  <c r="U104" i="16"/>
  <c r="U106" i="16"/>
  <c r="V106" i="16"/>
  <c r="P115" i="16"/>
  <c r="O115" i="16"/>
  <c r="AB93" i="16"/>
  <c r="AA93" i="16"/>
  <c r="AF89" i="16"/>
  <c r="AH89" i="16" s="1"/>
  <c r="AJ89" i="16" s="1"/>
  <c r="AE89" i="16"/>
  <c r="I89" i="16" s="1"/>
  <c r="AF91" i="16"/>
  <c r="AH91" i="16" s="1"/>
  <c r="AJ91" i="16" s="1"/>
  <c r="AE91" i="16"/>
  <c r="I91" i="16" s="1"/>
  <c r="AD90" i="16"/>
  <c r="AC90" i="16"/>
  <c r="X99" i="16"/>
  <c r="W99" i="16"/>
  <c r="P113" i="16"/>
  <c r="O113" i="16"/>
  <c r="AD92" i="16"/>
  <c r="AC92" i="16"/>
  <c r="Y100" i="16"/>
  <c r="Z100" i="16"/>
  <c r="AC94" i="16"/>
  <c r="AD94" i="16"/>
  <c r="AA95" i="16"/>
  <c r="AB95" i="16"/>
  <c r="K121" i="16"/>
  <c r="P111" i="16"/>
  <c r="O111" i="16"/>
  <c r="T109" i="16"/>
  <c r="S109" i="16"/>
  <c r="M114" i="16"/>
  <c r="N114" i="16"/>
  <c r="Z98" i="16"/>
  <c r="Y98" i="16"/>
  <c r="AB97" i="16"/>
  <c r="AA97" i="16"/>
  <c r="N118" i="16"/>
  <c r="M118" i="16"/>
  <c r="U102" i="16"/>
  <c r="V102" i="16"/>
  <c r="Y96" i="16"/>
  <c r="Z96" i="16"/>
  <c r="K117" i="16"/>
  <c r="X101" i="16"/>
  <c r="W101" i="16"/>
  <c r="K119" i="16"/>
  <c r="AE87" i="16"/>
  <c r="I87" i="16" s="1"/>
  <c r="AF87" i="16"/>
  <c r="AH87" i="16" s="1"/>
  <c r="AJ87" i="16" s="1"/>
  <c r="Q112" i="16"/>
  <c r="R112" i="16"/>
  <c r="S107" i="16"/>
  <c r="T107" i="16"/>
  <c r="G19" i="12"/>
  <c r="G20" i="12"/>
  <c r="AD36" i="12"/>
  <c r="AF36" i="12" s="1"/>
  <c r="AH36" i="12" s="1"/>
  <c r="AC36" i="12"/>
  <c r="G36" i="12" s="1"/>
  <c r="AD22" i="12"/>
  <c r="AF22" i="12" s="1"/>
  <c r="AH22" i="12" s="1"/>
  <c r="AC22" i="12"/>
  <c r="G22" i="12" s="1"/>
  <c r="AC29" i="12"/>
  <c r="G29" i="12" s="1"/>
  <c r="AD29" i="12"/>
  <c r="AF29" i="12" s="1"/>
  <c r="AH29" i="12" s="1"/>
  <c r="AC35" i="12"/>
  <c r="G35" i="12" s="1"/>
  <c r="AD35" i="12"/>
  <c r="AF35" i="12" s="1"/>
  <c r="AH35" i="12" s="1"/>
  <c r="AC21" i="12"/>
  <c r="G21" i="12" s="1"/>
  <c r="AD21" i="12"/>
  <c r="AF21" i="12" s="1"/>
  <c r="AH21" i="12" s="1"/>
  <c r="AC30" i="12"/>
  <c r="G30" i="12" s="1"/>
  <c r="AD30" i="12"/>
  <c r="AF30" i="12" s="1"/>
  <c r="AH30" i="12" s="1"/>
  <c r="P299" i="16" l="1"/>
  <c r="O299" i="16"/>
  <c r="R298" i="16"/>
  <c r="T298" i="16" s="1"/>
  <c r="V298" i="16" s="1"/>
  <c r="X298" i="16" s="1"/>
  <c r="Z298" i="16" s="1"/>
  <c r="AB298" i="16" s="1"/>
  <c r="AD298" i="16" s="1"/>
  <c r="AF298" i="16" s="1"/>
  <c r="AH298" i="16" s="1"/>
  <c r="AJ298" i="16" s="1"/>
  <c r="Q298" i="16"/>
  <c r="I298" i="16" s="1"/>
  <c r="N300" i="16"/>
  <c r="M300" i="16"/>
  <c r="H302" i="16"/>
  <c r="K301" i="16"/>
  <c r="F301" i="16"/>
  <c r="F148" i="16"/>
  <c r="F149" i="16"/>
  <c r="F150" i="16"/>
  <c r="F151" i="16"/>
  <c r="F152" i="16"/>
  <c r="F153" i="16"/>
  <c r="K187" i="16"/>
  <c r="F138" i="16"/>
  <c r="F154" i="16"/>
  <c r="F145" i="16"/>
  <c r="F137" i="16"/>
  <c r="F135" i="16"/>
  <c r="F139" i="16"/>
  <c r="F146" i="16"/>
  <c r="F140" i="16"/>
  <c r="F142" i="16"/>
  <c r="F155" i="16"/>
  <c r="F143" i="16"/>
  <c r="F136" i="16"/>
  <c r="F144" i="16"/>
  <c r="F141" i="16"/>
  <c r="F147"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Q184" i="16"/>
  <c r="I184" i="16" s="1"/>
  <c r="R184" i="16"/>
  <c r="T184" i="16" s="1"/>
  <c r="V184" i="16" s="1"/>
  <c r="X184" i="16" s="1"/>
  <c r="Z184" i="16" s="1"/>
  <c r="AB184" i="16" s="1"/>
  <c r="AD184" i="16" s="1"/>
  <c r="AF184" i="16" s="1"/>
  <c r="AH184" i="16" s="1"/>
  <c r="AJ184" i="16" s="1"/>
  <c r="O185" i="16"/>
  <c r="P185" i="16"/>
  <c r="F186" i="16"/>
  <c r="N186" i="16"/>
  <c r="M186" i="16"/>
  <c r="U107" i="16"/>
  <c r="V107" i="16"/>
  <c r="AB96" i="16"/>
  <c r="AA96" i="16"/>
  <c r="AB100" i="16"/>
  <c r="AA100" i="16"/>
  <c r="S112" i="16"/>
  <c r="T112" i="16"/>
  <c r="N119" i="16"/>
  <c r="M119" i="16"/>
  <c r="N117" i="16"/>
  <c r="M117" i="16"/>
  <c r="X102" i="16"/>
  <c r="W102" i="16"/>
  <c r="V109" i="16"/>
  <c r="U109" i="16"/>
  <c r="N121" i="16"/>
  <c r="M121" i="16"/>
  <c r="AF94" i="16"/>
  <c r="AH94" i="16" s="1"/>
  <c r="AJ94" i="16" s="1"/>
  <c r="AE94" i="16"/>
  <c r="I94" i="16" s="1"/>
  <c r="R113" i="16"/>
  <c r="Q113" i="16"/>
  <c r="W104" i="16"/>
  <c r="X104" i="16"/>
  <c r="K122" i="16"/>
  <c r="K120" i="16"/>
  <c r="AD97" i="16"/>
  <c r="AC97" i="16"/>
  <c r="O114" i="16"/>
  <c r="P114" i="16"/>
  <c r="K124" i="16"/>
  <c r="AF92" i="16"/>
  <c r="AH92" i="16" s="1"/>
  <c r="AJ92" i="16" s="1"/>
  <c r="AE92" i="16"/>
  <c r="I92" i="16" s="1"/>
  <c r="AF90" i="16"/>
  <c r="AH90" i="16" s="1"/>
  <c r="AJ90" i="16" s="1"/>
  <c r="AE90" i="16"/>
  <c r="I90" i="16" s="1"/>
  <c r="AD93" i="16"/>
  <c r="AC93" i="16"/>
  <c r="X106" i="16"/>
  <c r="W106" i="16"/>
  <c r="T110" i="16"/>
  <c r="S110" i="16"/>
  <c r="AD95" i="16"/>
  <c r="AC95" i="16"/>
  <c r="T108" i="16"/>
  <c r="S108" i="16"/>
  <c r="V105" i="16"/>
  <c r="U105" i="16"/>
  <c r="Z101" i="16"/>
  <c r="Y101" i="16"/>
  <c r="O118" i="16"/>
  <c r="P118" i="16"/>
  <c r="AB98" i="16"/>
  <c r="AA98" i="16"/>
  <c r="R111" i="16"/>
  <c r="Q111" i="16"/>
  <c r="Y99" i="16"/>
  <c r="Z99" i="16"/>
  <c r="R115" i="16"/>
  <c r="Q115" i="16"/>
  <c r="Z103" i="16"/>
  <c r="Y103" i="16"/>
  <c r="O116" i="16"/>
  <c r="P116" i="16"/>
  <c r="P300" i="16" l="1"/>
  <c r="O300" i="16"/>
  <c r="M301" i="16"/>
  <c r="N301" i="16"/>
  <c r="R299" i="16"/>
  <c r="T299" i="16" s="1"/>
  <c r="V299" i="16" s="1"/>
  <c r="X299" i="16" s="1"/>
  <c r="Z299" i="16" s="1"/>
  <c r="AB299" i="16" s="1"/>
  <c r="AD299" i="16" s="1"/>
  <c r="AF299" i="16" s="1"/>
  <c r="AH299" i="16" s="1"/>
  <c r="AJ299" i="16" s="1"/>
  <c r="Q299" i="16"/>
  <c r="I299" i="16" s="1"/>
  <c r="H303" i="16"/>
  <c r="K302" i="16"/>
  <c r="F302" i="16"/>
  <c r="Q185" i="16"/>
  <c r="I185" i="16" s="1"/>
  <c r="R185" i="16"/>
  <c r="T185" i="16" s="1"/>
  <c r="V185" i="16" s="1"/>
  <c r="X185" i="16" s="1"/>
  <c r="Z185" i="16" s="1"/>
  <c r="AB185" i="16" s="1"/>
  <c r="AD185" i="16" s="1"/>
  <c r="AF185" i="16" s="1"/>
  <c r="AH185" i="16" s="1"/>
  <c r="AJ185" i="16" s="1"/>
  <c r="O186" i="16"/>
  <c r="P186" i="16"/>
  <c r="M187" i="16"/>
  <c r="N187" i="16"/>
  <c r="AB99" i="16"/>
  <c r="AA99" i="16"/>
  <c r="X105" i="16"/>
  <c r="W105" i="16"/>
  <c r="AF97" i="16"/>
  <c r="AH97" i="16" s="1"/>
  <c r="AJ97" i="16" s="1"/>
  <c r="AE97" i="16"/>
  <c r="I97" i="16" s="1"/>
  <c r="N122" i="16"/>
  <c r="M122" i="16"/>
  <c r="Y102" i="16"/>
  <c r="Z102" i="16"/>
  <c r="AD100" i="16"/>
  <c r="AC100" i="16"/>
  <c r="Q116" i="16"/>
  <c r="R116" i="16"/>
  <c r="R118" i="16"/>
  <c r="Q118" i="16"/>
  <c r="U108" i="16"/>
  <c r="V108" i="16"/>
  <c r="AF93" i="16"/>
  <c r="AH93" i="16" s="1"/>
  <c r="AJ93" i="16" s="1"/>
  <c r="AE93" i="16"/>
  <c r="I93" i="16" s="1"/>
  <c r="K123" i="16"/>
  <c r="P117" i="16"/>
  <c r="O117" i="16"/>
  <c r="AD96" i="16"/>
  <c r="AC96" i="16"/>
  <c r="T115" i="16"/>
  <c r="S115" i="16"/>
  <c r="T111" i="16"/>
  <c r="S111" i="16"/>
  <c r="N124" i="16"/>
  <c r="M124" i="16"/>
  <c r="K125" i="16"/>
  <c r="Z104" i="16"/>
  <c r="Y104" i="16"/>
  <c r="T113" i="16"/>
  <c r="S113" i="16"/>
  <c r="P121" i="16"/>
  <c r="O121" i="16"/>
  <c r="W107" i="16"/>
  <c r="X107" i="16"/>
  <c r="Z106" i="16"/>
  <c r="Y106" i="16"/>
  <c r="K127" i="16"/>
  <c r="K130" i="16"/>
  <c r="P119" i="16"/>
  <c r="O119" i="16"/>
  <c r="AA103" i="16"/>
  <c r="AB103" i="16"/>
  <c r="AD98" i="16"/>
  <c r="AC98" i="16"/>
  <c r="AB101" i="16"/>
  <c r="AA101" i="16"/>
  <c r="AF95" i="16"/>
  <c r="AH95" i="16" s="1"/>
  <c r="AJ95" i="16" s="1"/>
  <c r="AE95" i="16"/>
  <c r="I95" i="16" s="1"/>
  <c r="U110" i="16"/>
  <c r="V110" i="16"/>
  <c r="R114" i="16"/>
  <c r="Q114" i="16"/>
  <c r="N120" i="16"/>
  <c r="M120" i="16"/>
  <c r="X109" i="16"/>
  <c r="W109" i="16"/>
  <c r="V112" i="16"/>
  <c r="U112" i="16"/>
  <c r="R300" i="16" l="1"/>
  <c r="T300" i="16" s="1"/>
  <c r="V300" i="16" s="1"/>
  <c r="X300" i="16" s="1"/>
  <c r="Z300" i="16" s="1"/>
  <c r="AB300" i="16" s="1"/>
  <c r="AD300" i="16" s="1"/>
  <c r="AF300" i="16" s="1"/>
  <c r="AH300" i="16" s="1"/>
  <c r="AJ300" i="16" s="1"/>
  <c r="Q300" i="16"/>
  <c r="I300" i="16" s="1"/>
  <c r="P301" i="16"/>
  <c r="O301" i="16"/>
  <c r="M302" i="16"/>
  <c r="N302" i="16"/>
  <c r="H304" i="16"/>
  <c r="K303" i="16"/>
  <c r="F303" i="16"/>
  <c r="P187" i="16"/>
  <c r="O187" i="16"/>
  <c r="Q186" i="16"/>
  <c r="I186" i="16" s="1"/>
  <c r="R186" i="16"/>
  <c r="T186" i="16" s="1"/>
  <c r="V186" i="16" s="1"/>
  <c r="X186" i="16" s="1"/>
  <c r="Z186" i="16" s="1"/>
  <c r="AB186" i="16" s="1"/>
  <c r="AD186" i="16" s="1"/>
  <c r="AF186" i="16" s="1"/>
  <c r="AH186" i="16" s="1"/>
  <c r="AJ186" i="16" s="1"/>
  <c r="AD103" i="16"/>
  <c r="AC103" i="16"/>
  <c r="M130" i="16"/>
  <c r="N130" i="16"/>
  <c r="V113" i="16"/>
  <c r="U113" i="16"/>
  <c r="K131" i="16"/>
  <c r="K128" i="16"/>
  <c r="R121" i="16"/>
  <c r="Q121" i="16"/>
  <c r="AB104" i="16"/>
  <c r="AA104" i="16"/>
  <c r="O124" i="16"/>
  <c r="P124" i="16"/>
  <c r="N123" i="16"/>
  <c r="M123" i="16"/>
  <c r="X108" i="16"/>
  <c r="W108" i="16"/>
  <c r="AE100" i="16"/>
  <c r="I100" i="16" s="1"/>
  <c r="AF100" i="16"/>
  <c r="AH100" i="16" s="1"/>
  <c r="AJ100" i="16" s="1"/>
  <c r="O122" i="16"/>
  <c r="P122" i="16"/>
  <c r="Z105" i="16"/>
  <c r="Y105" i="16"/>
  <c r="Z109" i="16"/>
  <c r="Y109" i="16"/>
  <c r="T114" i="16"/>
  <c r="S114" i="16"/>
  <c r="AE98" i="16"/>
  <c r="I98" i="16" s="1"/>
  <c r="AF98" i="16"/>
  <c r="AH98" i="16" s="1"/>
  <c r="AJ98" i="16" s="1"/>
  <c r="R119" i="16"/>
  <c r="Q119" i="16"/>
  <c r="AB106" i="16"/>
  <c r="AA106" i="16"/>
  <c r="N125" i="16"/>
  <c r="M125" i="16"/>
  <c r="V115" i="16"/>
  <c r="U115" i="16"/>
  <c r="R117" i="16"/>
  <c r="Q117" i="16"/>
  <c r="K126" i="16"/>
  <c r="T116" i="16"/>
  <c r="S116" i="16"/>
  <c r="AB102" i="16"/>
  <c r="AA102" i="16"/>
  <c r="W112" i="16"/>
  <c r="X112" i="16"/>
  <c r="X110" i="16"/>
  <c r="W110" i="16"/>
  <c r="AD99" i="16"/>
  <c r="AC99" i="16"/>
  <c r="O120" i="16"/>
  <c r="P120" i="16"/>
  <c r="AD101" i="16"/>
  <c r="AC101" i="16"/>
  <c r="M127" i="16"/>
  <c r="N127" i="16"/>
  <c r="Y107" i="16"/>
  <c r="Z107" i="16"/>
  <c r="V111" i="16"/>
  <c r="U111" i="16"/>
  <c r="AE96" i="16"/>
  <c r="I96" i="16" s="1"/>
  <c r="AF96" i="16"/>
  <c r="AH96" i="16" s="1"/>
  <c r="AJ96" i="16" s="1"/>
  <c r="T118" i="16"/>
  <c r="S118" i="16"/>
  <c r="P302" i="16" l="1"/>
  <c r="O302" i="16"/>
  <c r="N303" i="16"/>
  <c r="M303" i="16"/>
  <c r="R301" i="16"/>
  <c r="T301" i="16" s="1"/>
  <c r="V301" i="16" s="1"/>
  <c r="X301" i="16" s="1"/>
  <c r="Z301" i="16" s="1"/>
  <c r="AB301" i="16" s="1"/>
  <c r="AD301" i="16" s="1"/>
  <c r="AF301" i="16" s="1"/>
  <c r="AH301" i="16" s="1"/>
  <c r="AJ301" i="16" s="1"/>
  <c r="Q301" i="16"/>
  <c r="I301" i="16" s="1"/>
  <c r="F304" i="16"/>
  <c r="H305" i="16"/>
  <c r="K304" i="16"/>
  <c r="R187" i="16"/>
  <c r="T187" i="16" s="1"/>
  <c r="V187" i="16" s="1"/>
  <c r="X187" i="16" s="1"/>
  <c r="Z187" i="16" s="1"/>
  <c r="AB187" i="16" s="1"/>
  <c r="AD187" i="16" s="1"/>
  <c r="AF187" i="16" s="1"/>
  <c r="AH187" i="16" s="1"/>
  <c r="AJ187" i="16" s="1"/>
  <c r="Q187" i="16"/>
  <c r="I187" i="16" s="1"/>
  <c r="V118" i="16"/>
  <c r="U118" i="16"/>
  <c r="O127" i="16"/>
  <c r="P127" i="16"/>
  <c r="Y112" i="16"/>
  <c r="Z112" i="16"/>
  <c r="X115" i="16"/>
  <c r="W115" i="16"/>
  <c r="AB109" i="16"/>
  <c r="AA109" i="16"/>
  <c r="U116" i="16"/>
  <c r="V116" i="16"/>
  <c r="AA107" i="16"/>
  <c r="AB107" i="16"/>
  <c r="T117" i="16"/>
  <c r="S117" i="16"/>
  <c r="P125" i="16"/>
  <c r="O125" i="16"/>
  <c r="T119" i="16"/>
  <c r="S119" i="16"/>
  <c r="V114" i="16"/>
  <c r="U114" i="16"/>
  <c r="AB105" i="16"/>
  <c r="AA105" i="16"/>
  <c r="O123" i="16"/>
  <c r="P123" i="16"/>
  <c r="AD104" i="16"/>
  <c r="AC104" i="16"/>
  <c r="X113" i="16"/>
  <c r="W113" i="16"/>
  <c r="AF103" i="16"/>
  <c r="AH103" i="16" s="1"/>
  <c r="AJ103" i="16" s="1"/>
  <c r="AE103" i="16"/>
  <c r="I103" i="16" s="1"/>
  <c r="X111" i="16"/>
  <c r="W111" i="16"/>
  <c r="R120" i="16"/>
  <c r="Q120" i="16"/>
  <c r="K132" i="16"/>
  <c r="K129" i="16"/>
  <c r="AD106" i="16"/>
  <c r="AC106" i="16"/>
  <c r="Z108" i="16"/>
  <c r="Y108" i="16"/>
  <c r="T121" i="16"/>
  <c r="S121" i="16"/>
  <c r="M131" i="16"/>
  <c r="N131" i="16"/>
  <c r="AF101" i="16"/>
  <c r="AH101" i="16" s="1"/>
  <c r="AJ101" i="16" s="1"/>
  <c r="AE101" i="16"/>
  <c r="I101" i="16" s="1"/>
  <c r="AF99" i="16"/>
  <c r="AH99" i="16" s="1"/>
  <c r="AJ99" i="16" s="1"/>
  <c r="AE99" i="16"/>
  <c r="I99" i="16" s="1"/>
  <c r="Z110" i="16"/>
  <c r="Y110" i="16"/>
  <c r="AC102" i="16"/>
  <c r="AD102" i="16"/>
  <c r="N126" i="16"/>
  <c r="M126" i="16"/>
  <c r="R122" i="16"/>
  <c r="Q122" i="16"/>
  <c r="Q124" i="16"/>
  <c r="R124" i="16"/>
  <c r="M128" i="16"/>
  <c r="N128" i="16"/>
  <c r="P130" i="16"/>
  <c r="O130" i="16"/>
  <c r="P303" i="16" l="1"/>
  <c r="O303" i="16"/>
  <c r="H306" i="16"/>
  <c r="K305" i="16"/>
  <c r="F305" i="16"/>
  <c r="R302" i="16"/>
  <c r="T302" i="16" s="1"/>
  <c r="V302" i="16" s="1"/>
  <c r="X302" i="16" s="1"/>
  <c r="Z302" i="16" s="1"/>
  <c r="AB302" i="16" s="1"/>
  <c r="AD302" i="16" s="1"/>
  <c r="AF302" i="16" s="1"/>
  <c r="AH302" i="16" s="1"/>
  <c r="AJ302" i="16" s="1"/>
  <c r="Q302" i="16"/>
  <c r="I302" i="16" s="1"/>
  <c r="M304" i="16"/>
  <c r="N304" i="16"/>
  <c r="AF102" i="16"/>
  <c r="AH102" i="16" s="1"/>
  <c r="AJ102" i="16" s="1"/>
  <c r="AE102" i="16"/>
  <c r="I102" i="16" s="1"/>
  <c r="V121" i="16"/>
  <c r="U121" i="16"/>
  <c r="AF106" i="16"/>
  <c r="AH106" i="16" s="1"/>
  <c r="AJ106" i="16" s="1"/>
  <c r="AE106" i="16"/>
  <c r="I106" i="16" s="1"/>
  <c r="S120" i="16"/>
  <c r="T120" i="16"/>
  <c r="AE104" i="16"/>
  <c r="I104" i="16" s="1"/>
  <c r="AF104" i="16"/>
  <c r="AH104" i="16" s="1"/>
  <c r="AJ104" i="16" s="1"/>
  <c r="AD105" i="16"/>
  <c r="AC105" i="16"/>
  <c r="U119" i="16"/>
  <c r="V119" i="16"/>
  <c r="V117" i="16"/>
  <c r="U117" i="16"/>
  <c r="W116" i="16"/>
  <c r="X116" i="16"/>
  <c r="Z115" i="16"/>
  <c r="Y115" i="16"/>
  <c r="T122" i="16"/>
  <c r="S122" i="16"/>
  <c r="P131" i="16"/>
  <c r="O131" i="16"/>
  <c r="N129" i="16"/>
  <c r="M129" i="16"/>
  <c r="R123" i="16"/>
  <c r="Q123" i="16"/>
  <c r="AB112" i="16"/>
  <c r="AA112" i="16"/>
  <c r="R130" i="16"/>
  <c r="Q130" i="16"/>
  <c r="S124" i="16"/>
  <c r="T124" i="16"/>
  <c r="AB108" i="16"/>
  <c r="AA108" i="16"/>
  <c r="M132" i="16"/>
  <c r="N132" i="16"/>
  <c r="Z111" i="16"/>
  <c r="Y111" i="16"/>
  <c r="Z113" i="16"/>
  <c r="Y113" i="16"/>
  <c r="X114" i="16"/>
  <c r="W114" i="16"/>
  <c r="R125" i="16"/>
  <c r="Q125" i="16"/>
  <c r="AD107" i="16"/>
  <c r="AC107" i="16"/>
  <c r="AD109" i="16"/>
  <c r="AC109" i="16"/>
  <c r="X118" i="16"/>
  <c r="W118" i="16"/>
  <c r="O128" i="16"/>
  <c r="P128" i="16"/>
  <c r="P126" i="16"/>
  <c r="O126" i="16"/>
  <c r="AB110" i="16"/>
  <c r="AA110" i="16"/>
  <c r="R127" i="16"/>
  <c r="Q127" i="16"/>
  <c r="P304" i="16" l="1"/>
  <c r="O304" i="16"/>
  <c r="N305" i="16"/>
  <c r="M305" i="16"/>
  <c r="K306" i="16"/>
  <c r="F306" i="16"/>
  <c r="H307" i="16"/>
  <c r="R303" i="16"/>
  <c r="T303" i="16" s="1"/>
  <c r="V303" i="16" s="1"/>
  <c r="X303" i="16" s="1"/>
  <c r="Z303" i="16" s="1"/>
  <c r="AB303" i="16" s="1"/>
  <c r="AD303" i="16" s="1"/>
  <c r="AF303" i="16" s="1"/>
  <c r="AH303" i="16" s="1"/>
  <c r="AJ303" i="16" s="1"/>
  <c r="Q303" i="16"/>
  <c r="I303" i="16" s="1"/>
  <c r="R131" i="16"/>
  <c r="Q131" i="16"/>
  <c r="U120" i="16"/>
  <c r="V120" i="16"/>
  <c r="R126" i="16"/>
  <c r="Q126" i="16"/>
  <c r="Z118" i="16"/>
  <c r="Y118" i="16"/>
  <c r="AF107" i="16"/>
  <c r="AH107" i="16" s="1"/>
  <c r="AJ107" i="16" s="1"/>
  <c r="AE107" i="16"/>
  <c r="I107" i="16" s="1"/>
  <c r="Z114" i="16"/>
  <c r="Y114" i="16"/>
  <c r="AB111" i="16"/>
  <c r="AA111" i="16"/>
  <c r="AD108" i="16"/>
  <c r="AC108" i="16"/>
  <c r="AC112" i="16"/>
  <c r="AD112" i="16"/>
  <c r="AB115" i="16"/>
  <c r="AA115" i="16"/>
  <c r="X117" i="16"/>
  <c r="W117" i="16"/>
  <c r="AF105" i="16"/>
  <c r="AH105" i="16" s="1"/>
  <c r="AJ105" i="16" s="1"/>
  <c r="AE105" i="16"/>
  <c r="I105" i="16" s="1"/>
  <c r="X121" i="16"/>
  <c r="W121" i="16"/>
  <c r="R128" i="16"/>
  <c r="Q128" i="16"/>
  <c r="P132" i="16"/>
  <c r="O132" i="16"/>
  <c r="T130" i="16"/>
  <c r="S130" i="16"/>
  <c r="P129" i="16"/>
  <c r="O129" i="16"/>
  <c r="Z116" i="16"/>
  <c r="Y116" i="16"/>
  <c r="X119" i="16"/>
  <c r="W119" i="16"/>
  <c r="T127" i="16"/>
  <c r="S127" i="16"/>
  <c r="AD110" i="16"/>
  <c r="AC110" i="16"/>
  <c r="AF109" i="16"/>
  <c r="AH109" i="16" s="1"/>
  <c r="AJ109" i="16" s="1"/>
  <c r="AE109" i="16"/>
  <c r="I109" i="16" s="1"/>
  <c r="T125" i="16"/>
  <c r="S125" i="16"/>
  <c r="AB113" i="16"/>
  <c r="AA113" i="16"/>
  <c r="V124" i="16"/>
  <c r="U124" i="16"/>
  <c r="T123" i="16"/>
  <c r="S123" i="16"/>
  <c r="V122" i="16"/>
  <c r="U122" i="16"/>
  <c r="F307" i="16" l="1"/>
  <c r="H308" i="16"/>
  <c r="K307" i="16"/>
  <c r="M306" i="16"/>
  <c r="N306" i="16"/>
  <c r="P305" i="16"/>
  <c r="O305" i="16"/>
  <c r="Q304" i="16"/>
  <c r="I304" i="16" s="1"/>
  <c r="R304" i="16"/>
  <c r="T304" i="16" s="1"/>
  <c r="V304" i="16" s="1"/>
  <c r="X304" i="16" s="1"/>
  <c r="Z304" i="16" s="1"/>
  <c r="AB304" i="16" s="1"/>
  <c r="AD304" i="16" s="1"/>
  <c r="AF304" i="16" s="1"/>
  <c r="AH304" i="16" s="1"/>
  <c r="AJ304" i="16" s="1"/>
  <c r="AD113" i="16"/>
  <c r="AC113" i="16"/>
  <c r="V127" i="16"/>
  <c r="U127" i="16"/>
  <c r="Z119" i="16"/>
  <c r="Y119" i="16"/>
  <c r="R132" i="16"/>
  <c r="Q132" i="16"/>
  <c r="S128" i="16"/>
  <c r="T128" i="16"/>
  <c r="AD115" i="16"/>
  <c r="AC115" i="16"/>
  <c r="AD111" i="16"/>
  <c r="AC111" i="16"/>
  <c r="W124" i="16"/>
  <c r="X124" i="16"/>
  <c r="V125" i="16"/>
  <c r="U125" i="16"/>
  <c r="AF110" i="16"/>
  <c r="AH110" i="16" s="1"/>
  <c r="AJ110" i="16" s="1"/>
  <c r="AE110" i="16"/>
  <c r="I110" i="16" s="1"/>
  <c r="AA116" i="16"/>
  <c r="AB116" i="16"/>
  <c r="U130" i="16"/>
  <c r="V130" i="16"/>
  <c r="Z121" i="16"/>
  <c r="Y121" i="16"/>
  <c r="Z117" i="16"/>
  <c r="Y117" i="16"/>
  <c r="AE112" i="16"/>
  <c r="I112" i="16" s="1"/>
  <c r="AF112" i="16"/>
  <c r="AH112" i="16" s="1"/>
  <c r="AJ112" i="16" s="1"/>
  <c r="AF108" i="16"/>
  <c r="AH108" i="16" s="1"/>
  <c r="AJ108" i="16" s="1"/>
  <c r="AE108" i="16"/>
  <c r="I108" i="16" s="1"/>
  <c r="AB114" i="16"/>
  <c r="AA114" i="16"/>
  <c r="AB118" i="16"/>
  <c r="AA118" i="16"/>
  <c r="W120" i="16"/>
  <c r="X120" i="16"/>
  <c r="R129" i="16"/>
  <c r="Q129" i="16"/>
  <c r="S126" i="16"/>
  <c r="T126" i="16"/>
  <c r="X122" i="16"/>
  <c r="W122" i="16"/>
  <c r="V123" i="16"/>
  <c r="U123" i="16"/>
  <c r="T131" i="16"/>
  <c r="S131" i="16"/>
  <c r="P306" i="16" l="1"/>
  <c r="O306" i="16"/>
  <c r="N307" i="16"/>
  <c r="M307" i="16"/>
  <c r="F308" i="16"/>
  <c r="H309" i="16"/>
  <c r="K308" i="16"/>
  <c r="R305" i="16"/>
  <c r="T305" i="16" s="1"/>
  <c r="V305" i="16" s="1"/>
  <c r="X305" i="16" s="1"/>
  <c r="Z305" i="16" s="1"/>
  <c r="AB305" i="16" s="1"/>
  <c r="AD305" i="16" s="1"/>
  <c r="AF305" i="16" s="1"/>
  <c r="AH305" i="16" s="1"/>
  <c r="AJ305" i="16" s="1"/>
  <c r="Q305" i="16"/>
  <c r="I305" i="16" s="1"/>
  <c r="X130" i="16"/>
  <c r="W130" i="16"/>
  <c r="AF111" i="16"/>
  <c r="AH111" i="16" s="1"/>
  <c r="AJ111" i="16" s="1"/>
  <c r="AE111" i="16"/>
  <c r="I111" i="16" s="1"/>
  <c r="AB119" i="16"/>
  <c r="AA119" i="16"/>
  <c r="AF113" i="16"/>
  <c r="AH113" i="16" s="1"/>
  <c r="AJ113" i="16" s="1"/>
  <c r="AE113" i="16"/>
  <c r="I113" i="16" s="1"/>
  <c r="V126" i="16"/>
  <c r="U126" i="16"/>
  <c r="AD118" i="16"/>
  <c r="AC118" i="16"/>
  <c r="AB117" i="16"/>
  <c r="AA117" i="16"/>
  <c r="Z124" i="16"/>
  <c r="Y124" i="16"/>
  <c r="V131" i="16"/>
  <c r="U131" i="16"/>
  <c r="X123" i="16"/>
  <c r="W123" i="16"/>
  <c r="Y120" i="16"/>
  <c r="Z120" i="16"/>
  <c r="AC116" i="16"/>
  <c r="AD116" i="16"/>
  <c r="AF115" i="16"/>
  <c r="AH115" i="16" s="1"/>
  <c r="AJ115" i="16" s="1"/>
  <c r="AE115" i="16"/>
  <c r="I115" i="16" s="1"/>
  <c r="T132" i="16"/>
  <c r="S132" i="16"/>
  <c r="X127" i="16"/>
  <c r="W127" i="16"/>
  <c r="Z122" i="16"/>
  <c r="Y122" i="16"/>
  <c r="T129" i="16"/>
  <c r="S129" i="16"/>
  <c r="AD114" i="16"/>
  <c r="AC114" i="16"/>
  <c r="AB121" i="16"/>
  <c r="AA121" i="16"/>
  <c r="X125" i="16"/>
  <c r="W125" i="16"/>
  <c r="V128" i="16"/>
  <c r="U128" i="16"/>
  <c r="H310" i="16" l="1"/>
  <c r="K309" i="16"/>
  <c r="F309" i="16"/>
  <c r="N308" i="16"/>
  <c r="M308" i="16"/>
  <c r="P307" i="16"/>
  <c r="O307" i="16"/>
  <c r="R306" i="16"/>
  <c r="T306" i="16" s="1"/>
  <c r="V306" i="16" s="1"/>
  <c r="X306" i="16" s="1"/>
  <c r="Z306" i="16" s="1"/>
  <c r="AB306" i="16" s="1"/>
  <c r="AD306" i="16" s="1"/>
  <c r="AF306" i="16" s="1"/>
  <c r="AH306" i="16" s="1"/>
  <c r="AJ306" i="16" s="1"/>
  <c r="Q306" i="16"/>
  <c r="I306" i="16" s="1"/>
  <c r="Z125" i="16"/>
  <c r="Y125" i="16"/>
  <c r="AF114" i="16"/>
  <c r="AH114" i="16" s="1"/>
  <c r="AJ114" i="16" s="1"/>
  <c r="AE114" i="16"/>
  <c r="I114" i="16" s="1"/>
  <c r="AB122" i="16"/>
  <c r="AA122" i="16"/>
  <c r="V132" i="16"/>
  <c r="U132" i="16"/>
  <c r="Z123" i="16"/>
  <c r="Y123" i="16"/>
  <c r="AD117" i="16"/>
  <c r="AC117" i="16"/>
  <c r="W126" i="16"/>
  <c r="X126" i="16"/>
  <c r="W128" i="16"/>
  <c r="X128" i="16"/>
  <c r="AA120" i="16"/>
  <c r="AB120" i="16"/>
  <c r="AA124" i="16"/>
  <c r="AB124" i="16"/>
  <c r="AD119" i="16"/>
  <c r="AC119" i="16"/>
  <c r="Z130" i="16"/>
  <c r="Y130" i="16"/>
  <c r="AD121" i="16"/>
  <c r="AC121" i="16"/>
  <c r="V129" i="16"/>
  <c r="U129" i="16"/>
  <c r="Z127" i="16"/>
  <c r="Y127" i="16"/>
  <c r="X131" i="16"/>
  <c r="W131" i="16"/>
  <c r="AF118" i="16"/>
  <c r="AH118" i="16" s="1"/>
  <c r="AJ118" i="16" s="1"/>
  <c r="AE118" i="16"/>
  <c r="I118" i="16" s="1"/>
  <c r="AF116" i="16"/>
  <c r="AH116" i="16" s="1"/>
  <c r="AJ116" i="16" s="1"/>
  <c r="AE116" i="16"/>
  <c r="I116" i="16" s="1"/>
  <c r="Q307" i="16" l="1"/>
  <c r="I307" i="16" s="1"/>
  <c r="R307" i="16"/>
  <c r="T307" i="16" s="1"/>
  <c r="V307" i="16" s="1"/>
  <c r="X307" i="16" s="1"/>
  <c r="Z307" i="16" s="1"/>
  <c r="AB307" i="16" s="1"/>
  <c r="AD307" i="16" s="1"/>
  <c r="AF307" i="16" s="1"/>
  <c r="AH307" i="16" s="1"/>
  <c r="AJ307" i="16" s="1"/>
  <c r="P308" i="16"/>
  <c r="O308" i="16"/>
  <c r="N309" i="16"/>
  <c r="M309" i="16"/>
  <c r="K310" i="16"/>
  <c r="F310" i="16"/>
  <c r="H311" i="16"/>
  <c r="AD124" i="16"/>
  <c r="AC124" i="16"/>
  <c r="AF117" i="16"/>
  <c r="AH117" i="16" s="1"/>
  <c r="AJ117" i="16" s="1"/>
  <c r="AE117" i="16"/>
  <c r="I117" i="16" s="1"/>
  <c r="Z131" i="16"/>
  <c r="Y131" i="16"/>
  <c r="AC120" i="16"/>
  <c r="AD120" i="16"/>
  <c r="Z128" i="16"/>
  <c r="Y128" i="16"/>
  <c r="AB123" i="16"/>
  <c r="AA123" i="16"/>
  <c r="X129" i="16"/>
  <c r="W129" i="16"/>
  <c r="AB130" i="16"/>
  <c r="AA130" i="16"/>
  <c r="Y126" i="16"/>
  <c r="Z126" i="16"/>
  <c r="X132" i="16"/>
  <c r="W132" i="16"/>
  <c r="AB127" i="16"/>
  <c r="AA127" i="16"/>
  <c r="AF121" i="16"/>
  <c r="AH121" i="16" s="1"/>
  <c r="AJ121" i="16" s="1"/>
  <c r="AE121" i="16"/>
  <c r="I121" i="16" s="1"/>
  <c r="AF119" i="16"/>
  <c r="AH119" i="16" s="1"/>
  <c r="AJ119" i="16" s="1"/>
  <c r="AE119" i="16"/>
  <c r="I119" i="16" s="1"/>
  <c r="AD122" i="16"/>
  <c r="AC122" i="16"/>
  <c r="AB125" i="16"/>
  <c r="AA125" i="16"/>
  <c r="P309" i="16" l="1"/>
  <c r="O309" i="16"/>
  <c r="Q308" i="16"/>
  <c r="I308" i="16" s="1"/>
  <c r="R308" i="16"/>
  <c r="T308" i="16" s="1"/>
  <c r="V308" i="16" s="1"/>
  <c r="X308" i="16" s="1"/>
  <c r="Z308" i="16" s="1"/>
  <c r="AB308" i="16" s="1"/>
  <c r="AD308" i="16" s="1"/>
  <c r="AF308" i="16" s="1"/>
  <c r="AH308" i="16" s="1"/>
  <c r="AJ308" i="16" s="1"/>
  <c r="N310" i="16"/>
  <c r="M310" i="16"/>
  <c r="F311" i="16"/>
  <c r="H312" i="16"/>
  <c r="K311" i="16"/>
  <c r="AD125" i="16"/>
  <c r="AC125" i="16"/>
  <c r="AB126" i="16"/>
  <c r="AA126" i="16"/>
  <c r="AD127" i="16"/>
  <c r="AC127" i="16"/>
  <c r="Z129" i="16"/>
  <c r="Y129" i="16"/>
  <c r="AB128" i="16"/>
  <c r="AA128" i="16"/>
  <c r="AB131" i="16"/>
  <c r="AA131" i="16"/>
  <c r="AE124" i="16"/>
  <c r="I124" i="16" s="1"/>
  <c r="AF124" i="16"/>
  <c r="AH124" i="16" s="1"/>
  <c r="AJ124" i="16" s="1"/>
  <c r="AF122" i="16"/>
  <c r="AH122" i="16" s="1"/>
  <c r="AJ122" i="16" s="1"/>
  <c r="AE122" i="16"/>
  <c r="I122" i="16" s="1"/>
  <c r="AF120" i="16"/>
  <c r="AH120" i="16" s="1"/>
  <c r="AJ120" i="16" s="1"/>
  <c r="AE120" i="16"/>
  <c r="I120" i="16" s="1"/>
  <c r="Z132" i="16"/>
  <c r="Y132" i="16"/>
  <c r="AD130" i="16"/>
  <c r="AC130" i="16"/>
  <c r="AD123" i="16"/>
  <c r="AC123" i="16"/>
  <c r="N311" i="16" l="1"/>
  <c r="M311" i="16"/>
  <c r="P310" i="16"/>
  <c r="O310" i="16"/>
  <c r="R309" i="16"/>
  <c r="T309" i="16" s="1"/>
  <c r="V309" i="16" s="1"/>
  <c r="X309" i="16" s="1"/>
  <c r="Z309" i="16" s="1"/>
  <c r="AB309" i="16" s="1"/>
  <c r="AD309" i="16" s="1"/>
  <c r="AF309" i="16" s="1"/>
  <c r="AH309" i="16" s="1"/>
  <c r="AJ309" i="16" s="1"/>
  <c r="Q309" i="16"/>
  <c r="I309" i="16" s="1"/>
  <c r="F312" i="16"/>
  <c r="H313" i="16"/>
  <c r="K312" i="16"/>
  <c r="AC126" i="16"/>
  <c r="AD126" i="16"/>
  <c r="AD131" i="16"/>
  <c r="AC131" i="16"/>
  <c r="AB129" i="16"/>
  <c r="AA129" i="16"/>
  <c r="AF130" i="16"/>
  <c r="AH130" i="16" s="1"/>
  <c r="AJ130" i="16" s="1"/>
  <c r="AE130" i="16"/>
  <c r="I130" i="16" s="1"/>
  <c r="AF123" i="16"/>
  <c r="AH123" i="16" s="1"/>
  <c r="AJ123" i="16" s="1"/>
  <c r="AE123" i="16"/>
  <c r="I123" i="16" s="1"/>
  <c r="AB132" i="16"/>
  <c r="AA132" i="16"/>
  <c r="AF127" i="16"/>
  <c r="AH127" i="16" s="1"/>
  <c r="AJ127" i="16" s="1"/>
  <c r="AE127" i="16"/>
  <c r="I127" i="16" s="1"/>
  <c r="AD128" i="16"/>
  <c r="AC128" i="16"/>
  <c r="AF125" i="16"/>
  <c r="AH125" i="16" s="1"/>
  <c r="AJ125" i="16" s="1"/>
  <c r="AE125" i="16"/>
  <c r="I125" i="16" s="1"/>
  <c r="N312" i="16" l="1"/>
  <c r="M312" i="16"/>
  <c r="R310" i="16"/>
  <c r="T310" i="16" s="1"/>
  <c r="V310" i="16" s="1"/>
  <c r="X310" i="16" s="1"/>
  <c r="Z310" i="16" s="1"/>
  <c r="AB310" i="16" s="1"/>
  <c r="AD310" i="16" s="1"/>
  <c r="AF310" i="16" s="1"/>
  <c r="AH310" i="16" s="1"/>
  <c r="AJ310" i="16" s="1"/>
  <c r="Q310" i="16"/>
  <c r="I310" i="16" s="1"/>
  <c r="H314" i="16"/>
  <c r="K313" i="16"/>
  <c r="F313" i="16"/>
  <c r="P311" i="16"/>
  <c r="O311" i="16"/>
  <c r="AE126" i="16"/>
  <c r="I126" i="16" s="1"/>
  <c r="AF126" i="16"/>
  <c r="AH126" i="16" s="1"/>
  <c r="AJ126" i="16" s="1"/>
  <c r="AD132" i="16"/>
  <c r="AC132" i="16"/>
  <c r="AF131" i="16"/>
  <c r="AH131" i="16" s="1"/>
  <c r="AJ131" i="16" s="1"/>
  <c r="AE131" i="16"/>
  <c r="I131" i="16" s="1"/>
  <c r="AF128" i="16"/>
  <c r="AH128" i="16" s="1"/>
  <c r="AJ128" i="16" s="1"/>
  <c r="AE128" i="16"/>
  <c r="I128" i="16" s="1"/>
  <c r="AD129" i="16"/>
  <c r="AC129" i="16"/>
  <c r="N313" i="16" l="1"/>
  <c r="M313" i="16"/>
  <c r="F314" i="16"/>
  <c r="H315" i="16"/>
  <c r="K314" i="16"/>
  <c r="Q311" i="16"/>
  <c r="I311" i="16" s="1"/>
  <c r="R311" i="16"/>
  <c r="T311" i="16" s="1"/>
  <c r="V311" i="16" s="1"/>
  <c r="X311" i="16" s="1"/>
  <c r="Z311" i="16" s="1"/>
  <c r="AB311" i="16" s="1"/>
  <c r="AD311" i="16" s="1"/>
  <c r="AF311" i="16" s="1"/>
  <c r="AH311" i="16" s="1"/>
  <c r="AJ311" i="16" s="1"/>
  <c r="P312" i="16"/>
  <c r="O312" i="16"/>
  <c r="AF132" i="16"/>
  <c r="AH132" i="16" s="1"/>
  <c r="AJ132" i="16" s="1"/>
  <c r="AE132" i="16"/>
  <c r="I132" i="16" s="1"/>
  <c r="AF129" i="16"/>
  <c r="AH129" i="16" s="1"/>
  <c r="AJ129" i="16" s="1"/>
  <c r="AE129" i="16"/>
  <c r="I129" i="16" s="1"/>
  <c r="G97" i="17"/>
  <c r="E96" i="17"/>
  <c r="E98" i="17"/>
  <c r="G98" i="17" s="1"/>
  <c r="P313" i="16" l="1"/>
  <c r="O313" i="16"/>
  <c r="N314" i="16"/>
  <c r="M314" i="16"/>
  <c r="H316" i="16"/>
  <c r="K315" i="16"/>
  <c r="F315" i="16"/>
  <c r="R312" i="16"/>
  <c r="T312" i="16" s="1"/>
  <c r="V312" i="16" s="1"/>
  <c r="X312" i="16" s="1"/>
  <c r="Z312" i="16" s="1"/>
  <c r="AB312" i="16" s="1"/>
  <c r="AD312" i="16" s="1"/>
  <c r="AF312" i="16" s="1"/>
  <c r="AH312" i="16" s="1"/>
  <c r="AJ312" i="16" s="1"/>
  <c r="Q312" i="16"/>
  <c r="I312" i="16" s="1"/>
  <c r="E99" i="17"/>
  <c r="E100" i="17" s="1"/>
  <c r="E95" i="17"/>
  <c r="G95" i="17" s="1"/>
  <c r="G96" i="17"/>
  <c r="F316" i="16" l="1"/>
  <c r="H317" i="16"/>
  <c r="K316" i="16"/>
  <c r="P314" i="16"/>
  <c r="O314" i="16"/>
  <c r="N315" i="16"/>
  <c r="M315" i="16"/>
  <c r="R313" i="16"/>
  <c r="T313" i="16" s="1"/>
  <c r="V313" i="16" s="1"/>
  <c r="X313" i="16" s="1"/>
  <c r="Z313" i="16" s="1"/>
  <c r="AB313" i="16" s="1"/>
  <c r="AD313" i="16" s="1"/>
  <c r="AF313" i="16" s="1"/>
  <c r="AH313" i="16" s="1"/>
  <c r="AJ313" i="16" s="1"/>
  <c r="Q313" i="16"/>
  <c r="I313" i="16" s="1"/>
  <c r="G99" i="17"/>
  <c r="G100" i="17"/>
  <c r="E101" i="17"/>
  <c r="L101" i="17" s="1"/>
  <c r="O315" i="16" l="1"/>
  <c r="P315" i="16"/>
  <c r="F317" i="16"/>
  <c r="K317" i="16"/>
  <c r="Q314" i="16"/>
  <c r="I314" i="16" s="1"/>
  <c r="R314" i="16"/>
  <c r="T314" i="16" s="1"/>
  <c r="V314" i="16" s="1"/>
  <c r="X314" i="16" s="1"/>
  <c r="Z314" i="16" s="1"/>
  <c r="AB314" i="16" s="1"/>
  <c r="AD314" i="16" s="1"/>
  <c r="AF314" i="16" s="1"/>
  <c r="AH314" i="16" s="1"/>
  <c r="AJ314" i="16" s="1"/>
  <c r="N316" i="16"/>
  <c r="M316" i="16"/>
  <c r="E102" i="17"/>
  <c r="G101" i="17"/>
  <c r="R315" i="16" l="1"/>
  <c r="T315" i="16" s="1"/>
  <c r="V315" i="16" s="1"/>
  <c r="X315" i="16" s="1"/>
  <c r="Z315" i="16" s="1"/>
  <c r="AB315" i="16" s="1"/>
  <c r="AD315" i="16" s="1"/>
  <c r="AF315" i="16" s="1"/>
  <c r="AH315" i="16" s="1"/>
  <c r="AJ315" i="16" s="1"/>
  <c r="Q315" i="16"/>
  <c r="I315" i="16" s="1"/>
  <c r="N317" i="16"/>
  <c r="M317" i="16"/>
  <c r="P316" i="16"/>
  <c r="O316" i="16"/>
  <c r="G102" i="17"/>
  <c r="E103" i="17"/>
  <c r="P317" i="16" l="1"/>
  <c r="O317" i="16"/>
  <c r="R316" i="16"/>
  <c r="T316" i="16" s="1"/>
  <c r="V316" i="16" s="1"/>
  <c r="X316" i="16" s="1"/>
  <c r="Z316" i="16" s="1"/>
  <c r="AB316" i="16" s="1"/>
  <c r="AD316" i="16" s="1"/>
  <c r="AF316" i="16" s="1"/>
  <c r="AH316" i="16" s="1"/>
  <c r="AJ316" i="16" s="1"/>
  <c r="Q316" i="16"/>
  <c r="I316" i="16" s="1"/>
  <c r="E104" i="17"/>
  <c r="G103" i="17"/>
  <c r="R317" i="16" l="1"/>
  <c r="T317" i="16" s="1"/>
  <c r="V317" i="16" s="1"/>
  <c r="X317" i="16" s="1"/>
  <c r="Z317" i="16" s="1"/>
  <c r="AB317" i="16" s="1"/>
  <c r="AD317" i="16" s="1"/>
  <c r="AF317" i="16" s="1"/>
  <c r="AH317" i="16" s="1"/>
  <c r="AJ317" i="16" s="1"/>
  <c r="Q317" i="16"/>
  <c r="I317" i="16" s="1"/>
  <c r="G104" i="17"/>
  <c r="E105" i="17"/>
  <c r="G105" i="17" l="1"/>
  <c r="E106" i="17"/>
  <c r="G106" i="17" l="1"/>
  <c r="E107" i="17"/>
  <c r="G107" i="17" s="1"/>
  <c r="O101" i="17"/>
  <c r="Q101" i="17" s="1"/>
  <c r="L102" i="17"/>
  <c r="L103" i="17" s="1"/>
  <c r="L100" i="17"/>
  <c r="O100" i="17" s="1"/>
  <c r="R100" i="17" s="1"/>
  <c r="R101" i="17" l="1"/>
  <c r="S101" i="17" s="1"/>
  <c r="L99" i="17"/>
  <c r="O99" i="17" s="1"/>
  <c r="Q100" i="17"/>
  <c r="L104" i="17"/>
  <c r="O103" i="17"/>
  <c r="O102" i="17"/>
  <c r="T100" i="17"/>
  <c r="S100" i="17"/>
  <c r="L98" i="17" l="1"/>
  <c r="O98" i="17" s="1"/>
  <c r="T101" i="17"/>
  <c r="U101" i="17" s="1"/>
  <c r="R103" i="17"/>
  <c r="Q103" i="17"/>
  <c r="Q99" i="17"/>
  <c r="R99" i="17"/>
  <c r="U100" i="17"/>
  <c r="V100" i="17"/>
  <c r="Q102" i="17"/>
  <c r="R102" i="17"/>
  <c r="L105" i="17"/>
  <c r="O104" i="17"/>
  <c r="L97" i="17" l="1"/>
  <c r="L96" i="17" s="1"/>
  <c r="V101" i="17"/>
  <c r="X101" i="17" s="1"/>
  <c r="Q104" i="17"/>
  <c r="R104" i="17"/>
  <c r="O105" i="17"/>
  <c r="L106" i="17"/>
  <c r="X100" i="17"/>
  <c r="W100" i="17"/>
  <c r="S103" i="17"/>
  <c r="T103" i="17"/>
  <c r="Q98" i="17"/>
  <c r="R98" i="17"/>
  <c r="S102" i="17"/>
  <c r="T102" i="17"/>
  <c r="T99" i="17"/>
  <c r="S99" i="17"/>
  <c r="O97" i="17" l="1"/>
  <c r="R97" i="17" s="1"/>
  <c r="W101" i="17"/>
  <c r="T98" i="17"/>
  <c r="S98" i="17"/>
  <c r="L95" i="17"/>
  <c r="O95" i="17" s="1"/>
  <c r="O96" i="17"/>
  <c r="Y100" i="17"/>
  <c r="Z100" i="17"/>
  <c r="U99" i="17"/>
  <c r="V99" i="17"/>
  <c r="L107" i="17"/>
  <c r="O107" i="17" s="1"/>
  <c r="O106" i="17"/>
  <c r="T104" i="17"/>
  <c r="S104" i="17"/>
  <c r="Y101" i="17"/>
  <c r="Z101" i="17"/>
  <c r="V102" i="17"/>
  <c r="U102" i="17"/>
  <c r="U103" i="17"/>
  <c r="V103" i="17"/>
  <c r="Q105" i="17"/>
  <c r="R105" i="17"/>
  <c r="Q97" i="17" l="1"/>
  <c r="R107" i="17"/>
  <c r="Q107" i="17"/>
  <c r="W99" i="17"/>
  <c r="X99" i="17"/>
  <c r="Q96" i="17"/>
  <c r="R96" i="17"/>
  <c r="S105" i="17"/>
  <c r="T105" i="17"/>
  <c r="W102" i="17"/>
  <c r="X102" i="17"/>
  <c r="U104" i="17"/>
  <c r="V104" i="17"/>
  <c r="T97" i="17"/>
  <c r="S97" i="17"/>
  <c r="AB100" i="17"/>
  <c r="AA100" i="17"/>
  <c r="W103" i="17"/>
  <c r="X103" i="17"/>
  <c r="AA101" i="17"/>
  <c r="AB101" i="17"/>
  <c r="R106" i="17"/>
  <c r="Q106" i="17"/>
  <c r="U98" i="17"/>
  <c r="V98" i="17"/>
  <c r="R95" i="17"/>
  <c r="Q95" i="17"/>
  <c r="T106" i="17" l="1"/>
  <c r="S106" i="17"/>
  <c r="AD101" i="17"/>
  <c r="AC101" i="17"/>
  <c r="AD100" i="17"/>
  <c r="AC100" i="17"/>
  <c r="T107" i="17"/>
  <c r="S107" i="17"/>
  <c r="S95" i="17"/>
  <c r="T95" i="17"/>
  <c r="Z103" i="17"/>
  <c r="Y103" i="17"/>
  <c r="Z102" i="17"/>
  <c r="Y102" i="17"/>
  <c r="V105" i="17"/>
  <c r="U105" i="17"/>
  <c r="Y99" i="17"/>
  <c r="Z99" i="17"/>
  <c r="V97" i="17"/>
  <c r="U97" i="17"/>
  <c r="W98" i="17"/>
  <c r="X98" i="17"/>
  <c r="X104" i="17"/>
  <c r="W104" i="17"/>
  <c r="S96" i="17"/>
  <c r="T96" i="17"/>
  <c r="AA102" i="17" l="1"/>
  <c r="AB102" i="17"/>
  <c r="U96" i="17"/>
  <c r="V96" i="17"/>
  <c r="W97" i="17"/>
  <c r="X97" i="17"/>
  <c r="X105" i="17"/>
  <c r="W105" i="17"/>
  <c r="AA103" i="17"/>
  <c r="AB103" i="17"/>
  <c r="AE101" i="17"/>
  <c r="AF101" i="17"/>
  <c r="Y98" i="17"/>
  <c r="Z98" i="17"/>
  <c r="AB99" i="17"/>
  <c r="AA99" i="17"/>
  <c r="U107" i="17"/>
  <c r="V107" i="17"/>
  <c r="AF100" i="17"/>
  <c r="AE100" i="17"/>
  <c r="V95" i="17"/>
  <c r="U95" i="17"/>
  <c r="Y104" i="17"/>
  <c r="Z104" i="17"/>
  <c r="U106" i="17"/>
  <c r="V106" i="17"/>
  <c r="AB104" i="17" l="1"/>
  <c r="AA104" i="17"/>
  <c r="W96" i="17"/>
  <c r="X96" i="17"/>
  <c r="X106" i="17"/>
  <c r="W106" i="17"/>
  <c r="AG100" i="17"/>
  <c r="AH100" i="17"/>
  <c r="AC99" i="17"/>
  <c r="AD99" i="17"/>
  <c r="Z105" i="17"/>
  <c r="Y105" i="17"/>
  <c r="X107" i="17"/>
  <c r="W107" i="17"/>
  <c r="AA98" i="17"/>
  <c r="AB98" i="17"/>
  <c r="AD103" i="17"/>
  <c r="AC103" i="17"/>
  <c r="Y97" i="17"/>
  <c r="Z97" i="17"/>
  <c r="AH101" i="17"/>
  <c r="AG101" i="17"/>
  <c r="W95" i="17"/>
  <c r="X95" i="17"/>
  <c r="AD102" i="17"/>
  <c r="AC102" i="17"/>
  <c r="Y106" i="17" l="1"/>
  <c r="Z106" i="17"/>
  <c r="AC104" i="17"/>
  <c r="AD104" i="17"/>
  <c r="AI101" i="17"/>
  <c r="M101" i="17" s="1"/>
  <c r="AJ101" i="17"/>
  <c r="AL101" i="17" s="1"/>
  <c r="AN101" i="17" s="1"/>
  <c r="AI100" i="17"/>
  <c r="M100" i="17" s="1"/>
  <c r="AJ100" i="17"/>
  <c r="AL100" i="17" s="1"/>
  <c r="AN100" i="17" s="1"/>
  <c r="Z96" i="17"/>
  <c r="Y96" i="17"/>
  <c r="Y95" i="17"/>
  <c r="Z95" i="17"/>
  <c r="AF103" i="17"/>
  <c r="AE103" i="17"/>
  <c r="Y107" i="17"/>
  <c r="Z107" i="17"/>
  <c r="AA105" i="17"/>
  <c r="AB105" i="17"/>
  <c r="AE102" i="17"/>
  <c r="AF102" i="17"/>
  <c r="AA97" i="17"/>
  <c r="AB97" i="17"/>
  <c r="AC98" i="17"/>
  <c r="AD98" i="17"/>
  <c r="AF99" i="17"/>
  <c r="AE99" i="17"/>
  <c r="AD97" i="17" l="1"/>
  <c r="AC97" i="17"/>
  <c r="AD105" i="17"/>
  <c r="AC105" i="17"/>
  <c r="AB106" i="17"/>
  <c r="AA106" i="17"/>
  <c r="AH99" i="17"/>
  <c r="AG99" i="17"/>
  <c r="AG103" i="17"/>
  <c r="AH103" i="17"/>
  <c r="AA96" i="17"/>
  <c r="AB96" i="17"/>
  <c r="AE98" i="17"/>
  <c r="AF98" i="17"/>
  <c r="AG102" i="17"/>
  <c r="AH102" i="17"/>
  <c r="AA107" i="17"/>
  <c r="AB107" i="17"/>
  <c r="AB95" i="17"/>
  <c r="AA95" i="17"/>
  <c r="AF104" i="17"/>
  <c r="AE104" i="17"/>
  <c r="AC106" i="17" l="1"/>
  <c r="AD106" i="17"/>
  <c r="AE97" i="17"/>
  <c r="AF97" i="17"/>
  <c r="AC107" i="17"/>
  <c r="AD107" i="17"/>
  <c r="AG98" i="17"/>
  <c r="AH98" i="17"/>
  <c r="AD96" i="17"/>
  <c r="AC96" i="17"/>
  <c r="AH104" i="17"/>
  <c r="AG104" i="17"/>
  <c r="AJ99" i="17"/>
  <c r="AL99" i="17" s="1"/>
  <c r="AN99" i="17" s="1"/>
  <c r="AI99" i="17"/>
  <c r="M99" i="17" s="1"/>
  <c r="AF105" i="17"/>
  <c r="AE105" i="17"/>
  <c r="AD95" i="17"/>
  <c r="AC95" i="17"/>
  <c r="AJ102" i="17"/>
  <c r="AL102" i="17" s="1"/>
  <c r="AN102" i="17" s="1"/>
  <c r="AI102" i="17"/>
  <c r="M102" i="17" s="1"/>
  <c r="AI103" i="17"/>
  <c r="M103" i="17" s="1"/>
  <c r="AJ103" i="17"/>
  <c r="AL103" i="17" s="1"/>
  <c r="AN103" i="17" s="1"/>
  <c r="AE95" i="17" l="1"/>
  <c r="AF95" i="17"/>
  <c r="AE107" i="17"/>
  <c r="AF107" i="17"/>
  <c r="AE106" i="17"/>
  <c r="AF106" i="17"/>
  <c r="AE96" i="17"/>
  <c r="AF96" i="17"/>
  <c r="AG105" i="17"/>
  <c r="AH105" i="17"/>
  <c r="AI104" i="17"/>
  <c r="M104" i="17" s="1"/>
  <c r="AJ104" i="17"/>
  <c r="AL104" i="17" s="1"/>
  <c r="AN104" i="17" s="1"/>
  <c r="AJ98" i="17"/>
  <c r="AL98" i="17" s="1"/>
  <c r="AN98" i="17" s="1"/>
  <c r="AI98" i="17"/>
  <c r="M98" i="17" s="1"/>
  <c r="AG97" i="17"/>
  <c r="AH97" i="17"/>
  <c r="AH96" i="17" l="1"/>
  <c r="AG96" i="17"/>
  <c r="AH95" i="17"/>
  <c r="AG95" i="17"/>
  <c r="AJ105" i="17"/>
  <c r="AL105" i="17" s="1"/>
  <c r="AN105" i="17" s="1"/>
  <c r="AI105" i="17"/>
  <c r="M105" i="17" s="1"/>
  <c r="AG107" i="17"/>
  <c r="AH107" i="17"/>
  <c r="AI97" i="17"/>
  <c r="M97" i="17" s="1"/>
  <c r="AJ97" i="17"/>
  <c r="AL97" i="17" s="1"/>
  <c r="AN97" i="17" s="1"/>
  <c r="AG106" i="17"/>
  <c r="AH106" i="17"/>
  <c r="AI96" i="17" l="1"/>
  <c r="M96" i="17" s="1"/>
  <c r="AJ96" i="17"/>
  <c r="AL96" i="17" s="1"/>
  <c r="AN96" i="17" s="1"/>
  <c r="AI106" i="17"/>
  <c r="M106" i="17" s="1"/>
  <c r="AJ106" i="17"/>
  <c r="AL106" i="17" s="1"/>
  <c r="AN106" i="17" s="1"/>
  <c r="AJ107" i="17"/>
  <c r="AL107" i="17" s="1"/>
  <c r="AN107" i="17" s="1"/>
  <c r="AI107" i="17"/>
  <c r="M107" i="17" s="1"/>
  <c r="AI95" i="17"/>
  <c r="M95" i="17" s="1"/>
  <c r="AJ95" i="17"/>
  <c r="AL95" i="17" s="1"/>
  <c r="AN95" i="17" s="1"/>
  <c r="F8" i="26"/>
  <c r="F43" i="26" s="1"/>
  <c r="K43" i="26" s="1"/>
  <c r="D5" i="26"/>
  <c r="D9" i="26" s="1"/>
  <c r="F9" i="26" s="1"/>
  <c r="N8" i="26" l="1"/>
  <c r="P8" i="26" s="1"/>
  <c r="F39" i="26"/>
  <c r="K39" i="26" s="1"/>
  <c r="F54" i="26"/>
  <c r="K54" i="26" s="1"/>
  <c r="M54" i="26" s="1"/>
  <c r="D6" i="26"/>
  <c r="F6" i="26" s="1"/>
  <c r="AM132" i="26" s="1"/>
  <c r="D10" i="26"/>
  <c r="F10" i="26" s="1"/>
  <c r="K10" i="26" s="1"/>
  <c r="N43" i="26"/>
  <c r="M43" i="26"/>
  <c r="H43" i="26"/>
  <c r="K9" i="26"/>
  <c r="N9" i="26"/>
  <c r="P9" i="26" s="1"/>
  <c r="F50" i="26"/>
  <c r="K50" i="26" s="1"/>
  <c r="H39" i="26"/>
  <c r="M39" i="26"/>
  <c r="N39" i="26"/>
  <c r="H54" i="26"/>
  <c r="F5" i="26"/>
  <c r="D29" i="26"/>
  <c r="F29" i="26" s="1"/>
  <c r="D30" i="26"/>
  <c r="F30" i="26" s="1"/>
  <c r="K8" i="26"/>
  <c r="F55" i="26"/>
  <c r="K55" i="26" s="1"/>
  <c r="F42" i="26"/>
  <c r="K42" i="26" s="1"/>
  <c r="D11" i="26"/>
  <c r="F11" i="26" s="1"/>
  <c r="K6" i="26" l="1"/>
  <c r="D138" i="26"/>
  <c r="AM133" i="26"/>
  <c r="AM118" i="26"/>
  <c r="F49" i="26"/>
  <c r="K49" i="26" s="1"/>
  <c r="M49" i="26" s="1"/>
  <c r="AM119" i="26"/>
  <c r="N54" i="26"/>
  <c r="P54" i="26" s="1"/>
  <c r="N6" i="26"/>
  <c r="P6" i="26" s="1"/>
  <c r="AM125" i="26"/>
  <c r="AM120" i="26"/>
  <c r="AM111" i="26"/>
  <c r="D110" i="26" s="1"/>
  <c r="D137" i="26" s="1"/>
  <c r="AM123" i="26"/>
  <c r="F51" i="26"/>
  <c r="K51" i="26" s="1"/>
  <c r="M51" i="26" s="1"/>
  <c r="AM131" i="26"/>
  <c r="N10" i="26"/>
  <c r="P10" i="26" s="1"/>
  <c r="F57" i="26"/>
  <c r="K57" i="26" s="1"/>
  <c r="N57" i="26" s="1"/>
  <c r="F44" i="26"/>
  <c r="K44" i="26" s="1"/>
  <c r="H44" i="26" s="1"/>
  <c r="F45" i="26"/>
  <c r="K45" i="26" s="1"/>
  <c r="H45" i="26" s="1"/>
  <c r="N49" i="26"/>
  <c r="D135" i="26"/>
  <c r="D134" i="26"/>
  <c r="F131" i="26"/>
  <c r="K131" i="26" s="1"/>
  <c r="F129" i="26"/>
  <c r="K129" i="26" s="1"/>
  <c r="F113" i="26"/>
  <c r="K113" i="26" s="1"/>
  <c r="F112" i="26"/>
  <c r="K112" i="26" s="1"/>
  <c r="F127" i="26"/>
  <c r="K127" i="26" s="1"/>
  <c r="F125" i="26"/>
  <c r="K125" i="26" s="1"/>
  <c r="F130" i="26"/>
  <c r="K130" i="26" s="1"/>
  <c r="F121" i="26"/>
  <c r="K121" i="26" s="1"/>
  <c r="F128" i="26"/>
  <c r="K128" i="26" s="1"/>
  <c r="F114" i="26"/>
  <c r="K114" i="26" s="1"/>
  <c r="F117" i="26"/>
  <c r="K117" i="26" s="1"/>
  <c r="F120" i="26"/>
  <c r="K120" i="26" s="1"/>
  <c r="D136" i="26"/>
  <c r="F118" i="26"/>
  <c r="K118" i="26" s="1"/>
  <c r="F111" i="26"/>
  <c r="K111" i="26" s="1"/>
  <c r="F119" i="26"/>
  <c r="K119" i="26" s="1"/>
  <c r="F116" i="26"/>
  <c r="K116" i="26" s="1"/>
  <c r="F123" i="26"/>
  <c r="K123" i="26" s="1"/>
  <c r="F124" i="26"/>
  <c r="K124" i="26" s="1"/>
  <c r="F115" i="26"/>
  <c r="K115" i="26" s="1"/>
  <c r="F122" i="26"/>
  <c r="K122" i="26" s="1"/>
  <c r="F132" i="26"/>
  <c r="K132" i="26" s="1"/>
  <c r="F126" i="26"/>
  <c r="K126" i="26" s="1"/>
  <c r="N11" i="26"/>
  <c r="P11" i="26" s="1"/>
  <c r="K11" i="26"/>
  <c r="F62" i="26"/>
  <c r="K62" i="26" s="1"/>
  <c r="F60" i="26"/>
  <c r="K60" i="26" s="1"/>
  <c r="N30" i="26"/>
  <c r="P30" i="26" s="1"/>
  <c r="K30" i="26"/>
  <c r="H42" i="26"/>
  <c r="N42" i="26"/>
  <c r="M42" i="26"/>
  <c r="N29" i="26"/>
  <c r="P29" i="26" s="1"/>
  <c r="K29" i="26"/>
  <c r="M57" i="26"/>
  <c r="H55" i="26"/>
  <c r="M55" i="26"/>
  <c r="N55" i="26"/>
  <c r="K5" i="26"/>
  <c r="F56" i="26"/>
  <c r="K56" i="26" s="1"/>
  <c r="F37" i="26"/>
  <c r="K37" i="26" s="1"/>
  <c r="F58" i="26"/>
  <c r="K58" i="26" s="1"/>
  <c r="F38" i="26"/>
  <c r="K38" i="26" s="1"/>
  <c r="N5" i="26"/>
  <c r="P5" i="26" s="1"/>
  <c r="F36" i="26"/>
  <c r="K36" i="26" s="1"/>
  <c r="F108" i="26"/>
  <c r="K108" i="26" s="1"/>
  <c r="O39" i="26"/>
  <c r="P39" i="26"/>
  <c r="H50" i="26"/>
  <c r="N50" i="26"/>
  <c r="M50" i="26"/>
  <c r="M44" i="26"/>
  <c r="N44" i="26"/>
  <c r="O43" i="26"/>
  <c r="P43" i="26"/>
  <c r="H49" i="26" l="1"/>
  <c r="N51" i="26"/>
  <c r="F133" i="26"/>
  <c r="K133" i="26" s="1"/>
  <c r="O54" i="26"/>
  <c r="H57" i="26"/>
  <c r="M45" i="26"/>
  <c r="N45" i="26"/>
  <c r="O45" i="26" s="1"/>
  <c r="H36" i="26"/>
  <c r="N36" i="26"/>
  <c r="M36" i="26"/>
  <c r="N124" i="26"/>
  <c r="M124" i="26"/>
  <c r="M117" i="26"/>
  <c r="N117" i="26"/>
  <c r="M113" i="26"/>
  <c r="N113" i="26"/>
  <c r="Q43" i="26"/>
  <c r="R43" i="26"/>
  <c r="H56" i="26"/>
  <c r="M56" i="26"/>
  <c r="N56" i="26"/>
  <c r="N123" i="26"/>
  <c r="M123" i="26"/>
  <c r="M114" i="26"/>
  <c r="N114" i="26"/>
  <c r="M129" i="26"/>
  <c r="N129" i="26"/>
  <c r="H38" i="26"/>
  <c r="M38" i="26"/>
  <c r="N38" i="26"/>
  <c r="H62" i="26"/>
  <c r="N62" i="26"/>
  <c r="M62" i="26"/>
  <c r="M122" i="26"/>
  <c r="N122" i="26"/>
  <c r="M116" i="26"/>
  <c r="N116" i="26"/>
  <c r="M128" i="26"/>
  <c r="N128" i="26"/>
  <c r="N127" i="26"/>
  <c r="M127" i="26"/>
  <c r="M133" i="26"/>
  <c r="N133" i="26"/>
  <c r="H37" i="26"/>
  <c r="M37" i="26"/>
  <c r="N37" i="26"/>
  <c r="N126" i="26"/>
  <c r="M126" i="26"/>
  <c r="M111" i="26"/>
  <c r="N111" i="26"/>
  <c r="M130" i="26"/>
  <c r="N130" i="26"/>
  <c r="Q39" i="26"/>
  <c r="R39" i="26"/>
  <c r="O42" i="26"/>
  <c r="P42" i="26"/>
  <c r="H60" i="26"/>
  <c r="M60" i="26"/>
  <c r="N60" i="26"/>
  <c r="N132" i="26"/>
  <c r="M132" i="26"/>
  <c r="M118" i="26"/>
  <c r="N118" i="26"/>
  <c r="M125" i="26"/>
  <c r="N125" i="26"/>
  <c r="O44" i="26"/>
  <c r="P44" i="26"/>
  <c r="P50" i="26"/>
  <c r="O50" i="26"/>
  <c r="N108" i="26"/>
  <c r="M108" i="26"/>
  <c r="H58" i="26"/>
  <c r="M58" i="26"/>
  <c r="N58" i="26"/>
  <c r="R23" i="26"/>
  <c r="O55" i="26"/>
  <c r="P55" i="26"/>
  <c r="O57" i="26"/>
  <c r="P57" i="26"/>
  <c r="O51" i="26"/>
  <c r="P51" i="26"/>
  <c r="M115" i="26"/>
  <c r="N115" i="26"/>
  <c r="N119" i="26"/>
  <c r="M119" i="26"/>
  <c r="M120" i="26"/>
  <c r="N120" i="26"/>
  <c r="N121" i="26"/>
  <c r="M121" i="26"/>
  <c r="M112" i="26"/>
  <c r="N112" i="26"/>
  <c r="M131" i="26"/>
  <c r="N131" i="26"/>
  <c r="O49" i="26"/>
  <c r="P49" i="26"/>
  <c r="R54" i="26"/>
  <c r="Q54" i="26"/>
  <c r="P45" i="26" l="1"/>
  <c r="R45" i="26" s="1"/>
  <c r="O112" i="26"/>
  <c r="P112" i="26"/>
  <c r="O115" i="26"/>
  <c r="P115" i="26"/>
  <c r="R44" i="26"/>
  <c r="Q44" i="26"/>
  <c r="O37" i="26"/>
  <c r="P37" i="26"/>
  <c r="O117" i="26"/>
  <c r="P117" i="26"/>
  <c r="O60" i="26"/>
  <c r="P60" i="26"/>
  <c r="P116" i="26"/>
  <c r="O116" i="26"/>
  <c r="O56" i="26"/>
  <c r="P56" i="26"/>
  <c r="O131" i="26"/>
  <c r="P131" i="26"/>
  <c r="Q55" i="26"/>
  <c r="R55" i="26"/>
  <c r="S39" i="26"/>
  <c r="T39" i="26"/>
  <c r="O111" i="26"/>
  <c r="P111" i="26"/>
  <c r="O127" i="26"/>
  <c r="P127" i="26"/>
  <c r="P38" i="26"/>
  <c r="O38" i="26"/>
  <c r="P129" i="26"/>
  <c r="O129" i="26"/>
  <c r="O113" i="26"/>
  <c r="P113" i="26"/>
  <c r="Q49" i="26"/>
  <c r="R49" i="26"/>
  <c r="O120" i="26"/>
  <c r="P120" i="26"/>
  <c r="Q57" i="26"/>
  <c r="R57" i="26"/>
  <c r="D92" i="26"/>
  <c r="F92" i="26" s="1"/>
  <c r="K92" i="26" s="1"/>
  <c r="D23" i="26"/>
  <c r="O132" i="26"/>
  <c r="P132" i="26"/>
  <c r="R42" i="26"/>
  <c r="Q42" i="26"/>
  <c r="O130" i="26"/>
  <c r="P130" i="26"/>
  <c r="O62" i="26"/>
  <c r="P62" i="26"/>
  <c r="O114" i="26"/>
  <c r="P114" i="26"/>
  <c r="S43" i="26"/>
  <c r="T43" i="26"/>
  <c r="O58" i="26"/>
  <c r="P58" i="26"/>
  <c r="O108" i="26"/>
  <c r="P108" i="26"/>
  <c r="O118" i="26"/>
  <c r="P118" i="26"/>
  <c r="O126" i="26"/>
  <c r="P126" i="26"/>
  <c r="Q51" i="26"/>
  <c r="R51" i="26"/>
  <c r="S54" i="26"/>
  <c r="T54" i="26"/>
  <c r="P121" i="26"/>
  <c r="O121" i="26"/>
  <c r="O119" i="26"/>
  <c r="P119" i="26"/>
  <c r="Q50" i="26"/>
  <c r="R50" i="26"/>
  <c r="O125" i="26"/>
  <c r="P125" i="26"/>
  <c r="O133" i="26"/>
  <c r="P133" i="26"/>
  <c r="O128" i="26"/>
  <c r="P128" i="26"/>
  <c r="O122" i="26"/>
  <c r="P122" i="26"/>
  <c r="O123" i="26"/>
  <c r="P123" i="26"/>
  <c r="O124" i="26"/>
  <c r="P124" i="26"/>
  <c r="O36" i="26"/>
  <c r="P36" i="26"/>
  <c r="Q45" i="26" l="1"/>
  <c r="Q121" i="26"/>
  <c r="R121" i="26"/>
  <c r="Q114" i="26"/>
  <c r="R114" i="26"/>
  <c r="Q127" i="26"/>
  <c r="R127" i="26"/>
  <c r="Q131" i="26"/>
  <c r="R131" i="26"/>
  <c r="Q124" i="26"/>
  <c r="R124" i="26"/>
  <c r="Q122" i="26"/>
  <c r="R122" i="26"/>
  <c r="S42" i="26"/>
  <c r="T42" i="26"/>
  <c r="S55" i="26"/>
  <c r="T55" i="26"/>
  <c r="U54" i="26"/>
  <c r="V54" i="26"/>
  <c r="U43" i="26"/>
  <c r="V43" i="26"/>
  <c r="Q62" i="26"/>
  <c r="R62" i="26"/>
  <c r="Q130" i="26"/>
  <c r="R130" i="26"/>
  <c r="Q132" i="26"/>
  <c r="R132" i="26"/>
  <c r="N92" i="26"/>
  <c r="M92" i="26"/>
  <c r="Q38" i="26"/>
  <c r="R38" i="26"/>
  <c r="R111" i="26"/>
  <c r="Q111" i="26"/>
  <c r="S45" i="26"/>
  <c r="T45" i="26"/>
  <c r="Q123" i="26"/>
  <c r="R123" i="26"/>
  <c r="T51" i="26"/>
  <c r="S51" i="26"/>
  <c r="Q129" i="26"/>
  <c r="R129" i="26"/>
  <c r="U39" i="26"/>
  <c r="V39" i="26"/>
  <c r="Q60" i="26"/>
  <c r="R60" i="26"/>
  <c r="Q117" i="26"/>
  <c r="R117" i="26"/>
  <c r="Q133" i="26"/>
  <c r="R133" i="26"/>
  <c r="Q125" i="26"/>
  <c r="R125" i="26"/>
  <c r="Q119" i="26"/>
  <c r="R119" i="26"/>
  <c r="R126" i="26"/>
  <c r="Q126" i="26"/>
  <c r="Q108" i="26"/>
  <c r="R108" i="26"/>
  <c r="D24" i="26"/>
  <c r="F24" i="26" s="1"/>
  <c r="F23" i="26"/>
  <c r="D25" i="26"/>
  <c r="F25" i="26" s="1"/>
  <c r="D26" i="26"/>
  <c r="F26" i="26" s="1"/>
  <c r="R120" i="26"/>
  <c r="Q120" i="26"/>
  <c r="Q116" i="26"/>
  <c r="R116" i="26"/>
  <c r="Q115" i="26"/>
  <c r="R115" i="26"/>
  <c r="Q36" i="26"/>
  <c r="R36" i="26"/>
  <c r="R128" i="26"/>
  <c r="Q128" i="26"/>
  <c r="S50" i="26"/>
  <c r="T50" i="26"/>
  <c r="Q118" i="26"/>
  <c r="R118" i="26"/>
  <c r="Q58" i="26"/>
  <c r="R58" i="26"/>
  <c r="S57" i="26"/>
  <c r="T57" i="26"/>
  <c r="S49" i="26"/>
  <c r="T49" i="26"/>
  <c r="Q113" i="26"/>
  <c r="R113" i="26"/>
  <c r="Q56" i="26"/>
  <c r="R56" i="26"/>
  <c r="R37" i="26"/>
  <c r="Q37" i="26"/>
  <c r="S44" i="26"/>
  <c r="T44" i="26"/>
  <c r="R112" i="26"/>
  <c r="Q112" i="26"/>
  <c r="S37" i="26" l="1"/>
  <c r="T37" i="26"/>
  <c r="T115" i="26"/>
  <c r="S115" i="26"/>
  <c r="S117" i="26"/>
  <c r="T117" i="26"/>
  <c r="S123" i="26"/>
  <c r="T123" i="26"/>
  <c r="W43" i="26"/>
  <c r="X43" i="26"/>
  <c r="U55" i="26"/>
  <c r="G55" i="26" s="1"/>
  <c r="V55" i="26"/>
  <c r="X55" i="26" s="1"/>
  <c r="Z55" i="26" s="1"/>
  <c r="AB55" i="26" s="1"/>
  <c r="AD55" i="26" s="1"/>
  <c r="AF55" i="26" s="1"/>
  <c r="AH55" i="26" s="1"/>
  <c r="AJ55" i="26" s="1"/>
  <c r="S131" i="26"/>
  <c r="T131" i="26"/>
  <c r="T120" i="26"/>
  <c r="S120" i="26"/>
  <c r="K24" i="26"/>
  <c r="N24" i="26"/>
  <c r="P24" i="26" s="1"/>
  <c r="T126" i="26"/>
  <c r="S126" i="26"/>
  <c r="S111" i="26"/>
  <c r="T111" i="26"/>
  <c r="O92" i="26"/>
  <c r="P92" i="26"/>
  <c r="S56" i="26"/>
  <c r="T56" i="26"/>
  <c r="U49" i="26"/>
  <c r="V49" i="26"/>
  <c r="S58" i="26"/>
  <c r="T58" i="26"/>
  <c r="U50" i="26"/>
  <c r="V50" i="26"/>
  <c r="S36" i="26"/>
  <c r="T36" i="26"/>
  <c r="S116" i="26"/>
  <c r="T116" i="26"/>
  <c r="F97" i="26"/>
  <c r="K97" i="26" s="1"/>
  <c r="F100" i="26"/>
  <c r="K100" i="26" s="1"/>
  <c r="N26" i="26"/>
  <c r="P26" i="26" s="1"/>
  <c r="K26" i="26"/>
  <c r="F98" i="26"/>
  <c r="K98" i="26" s="1"/>
  <c r="F99" i="26"/>
  <c r="K99" i="26" s="1"/>
  <c r="S108" i="26"/>
  <c r="T108" i="26"/>
  <c r="S119" i="26"/>
  <c r="T119" i="26"/>
  <c r="S133" i="26"/>
  <c r="T133" i="26"/>
  <c r="T60" i="26"/>
  <c r="S60" i="26"/>
  <c r="S129" i="26"/>
  <c r="T129" i="26"/>
  <c r="U51" i="26"/>
  <c r="V51" i="26"/>
  <c r="U45" i="26"/>
  <c r="V45" i="26"/>
  <c r="S38" i="26"/>
  <c r="T38" i="26"/>
  <c r="S132" i="26"/>
  <c r="T132" i="26"/>
  <c r="S62" i="26"/>
  <c r="T62" i="26"/>
  <c r="X54" i="26"/>
  <c r="W54" i="26"/>
  <c r="U42" i="26"/>
  <c r="V42" i="26"/>
  <c r="S124" i="26"/>
  <c r="T124" i="26"/>
  <c r="T127" i="26"/>
  <c r="S127" i="26"/>
  <c r="S121" i="26"/>
  <c r="T121" i="26"/>
  <c r="S112" i="26"/>
  <c r="T112" i="26"/>
  <c r="T113" i="26"/>
  <c r="S113" i="26"/>
  <c r="U57" i="26"/>
  <c r="G57" i="26" s="1"/>
  <c r="V57" i="26"/>
  <c r="X57" i="26" s="1"/>
  <c r="Z57" i="26" s="1"/>
  <c r="AB57" i="26" s="1"/>
  <c r="AD57" i="26" s="1"/>
  <c r="AF57" i="26" s="1"/>
  <c r="AH57" i="26" s="1"/>
  <c r="AJ57" i="26" s="1"/>
  <c r="S118" i="26"/>
  <c r="T118" i="26"/>
  <c r="K23" i="26"/>
  <c r="N23" i="26"/>
  <c r="P23" i="26" s="1"/>
  <c r="S125" i="26"/>
  <c r="T125" i="26"/>
  <c r="W39" i="26"/>
  <c r="X39" i="26"/>
  <c r="T130" i="26"/>
  <c r="S130" i="26"/>
  <c r="S122" i="26"/>
  <c r="T122" i="26"/>
  <c r="S114" i="26"/>
  <c r="T114" i="26"/>
  <c r="U44" i="26"/>
  <c r="V44" i="26"/>
  <c r="S128" i="26"/>
  <c r="T128" i="26"/>
  <c r="N25" i="26"/>
  <c r="P25" i="26" s="1"/>
  <c r="K25" i="26"/>
  <c r="X44" i="26" l="1"/>
  <c r="Z44" i="26" s="1"/>
  <c r="AB44" i="26" s="1"/>
  <c r="AD44" i="26" s="1"/>
  <c r="AF44" i="26" s="1"/>
  <c r="AH44" i="26" s="1"/>
  <c r="AJ44" i="26" s="1"/>
  <c r="W44" i="26"/>
  <c r="G44" i="26" s="1"/>
  <c r="X45" i="26"/>
  <c r="Z45" i="26" s="1"/>
  <c r="AB45" i="26" s="1"/>
  <c r="AD45" i="26" s="1"/>
  <c r="AF45" i="26" s="1"/>
  <c r="AH45" i="26" s="1"/>
  <c r="AJ45" i="26" s="1"/>
  <c r="W45" i="26"/>
  <c r="G45" i="26" s="1"/>
  <c r="U112" i="26"/>
  <c r="V112" i="26"/>
  <c r="W42" i="26"/>
  <c r="X42" i="26"/>
  <c r="U62" i="26"/>
  <c r="V62" i="26"/>
  <c r="U38" i="26"/>
  <c r="V38" i="26"/>
  <c r="W51" i="26"/>
  <c r="X51" i="26"/>
  <c r="V119" i="26"/>
  <c r="U119" i="26"/>
  <c r="M100" i="26"/>
  <c r="N100" i="26"/>
  <c r="U37" i="26"/>
  <c r="V37" i="26"/>
  <c r="M98" i="26"/>
  <c r="N98" i="26"/>
  <c r="U123" i="26"/>
  <c r="V123" i="26"/>
  <c r="V122" i="26"/>
  <c r="U122" i="26"/>
  <c r="U118" i="26"/>
  <c r="V118" i="26"/>
  <c r="V121" i="26"/>
  <c r="U121" i="26"/>
  <c r="U124" i="26"/>
  <c r="V124" i="26"/>
  <c r="V132" i="26"/>
  <c r="U132" i="26"/>
  <c r="U129" i="26"/>
  <c r="V129" i="26"/>
  <c r="U133" i="26"/>
  <c r="V133" i="26"/>
  <c r="U108" i="26"/>
  <c r="V108" i="26"/>
  <c r="U116" i="26"/>
  <c r="V116" i="26"/>
  <c r="W50" i="26"/>
  <c r="X50" i="26"/>
  <c r="W49" i="26"/>
  <c r="X49" i="26"/>
  <c r="Q92" i="26"/>
  <c r="R92" i="26"/>
  <c r="U131" i="26"/>
  <c r="V131" i="26"/>
  <c r="Y43" i="26"/>
  <c r="Z43" i="26"/>
  <c r="U128" i="26"/>
  <c r="V128" i="26"/>
  <c r="U114" i="26"/>
  <c r="V114" i="26"/>
  <c r="M99" i="26"/>
  <c r="N99" i="26"/>
  <c r="U36" i="26"/>
  <c r="V36" i="26"/>
  <c r="U58" i="26"/>
  <c r="V58" i="26"/>
  <c r="U56" i="26"/>
  <c r="G56" i="26" s="1"/>
  <c r="V56" i="26"/>
  <c r="X56" i="26" s="1"/>
  <c r="Z56" i="26" s="1"/>
  <c r="AB56" i="26" s="1"/>
  <c r="AD56" i="26" s="1"/>
  <c r="AF56" i="26" s="1"/>
  <c r="AH56" i="26" s="1"/>
  <c r="AJ56" i="26" s="1"/>
  <c r="U111" i="26"/>
  <c r="V111" i="26"/>
  <c r="U126" i="26"/>
  <c r="V126" i="26"/>
  <c r="U120" i="26"/>
  <c r="V120" i="26"/>
  <c r="U130" i="26"/>
  <c r="V130" i="26"/>
  <c r="U125" i="26"/>
  <c r="V125" i="26"/>
  <c r="U127" i="26"/>
  <c r="V127" i="26"/>
  <c r="U60" i="26"/>
  <c r="V60" i="26"/>
  <c r="N97" i="26"/>
  <c r="M97" i="26"/>
  <c r="Y39" i="26"/>
  <c r="Z39" i="26"/>
  <c r="U113" i="26"/>
  <c r="V113" i="26"/>
  <c r="Y54" i="26"/>
  <c r="G54" i="26" s="1"/>
  <c r="Z54" i="26"/>
  <c r="AB54" i="26" s="1"/>
  <c r="AD54" i="26" s="1"/>
  <c r="AF54" i="26" s="1"/>
  <c r="AH54" i="26" s="1"/>
  <c r="AJ54" i="26" s="1"/>
  <c r="U117" i="26"/>
  <c r="V117" i="26"/>
  <c r="U115" i="26"/>
  <c r="V115" i="26"/>
  <c r="O97" i="26" l="1"/>
  <c r="P97" i="26"/>
  <c r="W130" i="26"/>
  <c r="X130" i="26"/>
  <c r="W126" i="26"/>
  <c r="X126" i="26"/>
  <c r="W36" i="26"/>
  <c r="X36" i="26"/>
  <c r="W114" i="26"/>
  <c r="X114" i="26"/>
  <c r="W132" i="26"/>
  <c r="X132" i="26"/>
  <c r="W37" i="26"/>
  <c r="X37" i="26"/>
  <c r="W38" i="26"/>
  <c r="X38" i="26"/>
  <c r="Y42" i="26"/>
  <c r="Z42" i="26"/>
  <c r="W117" i="26"/>
  <c r="X117" i="26"/>
  <c r="AA39" i="26"/>
  <c r="AB39" i="26"/>
  <c r="W60" i="26"/>
  <c r="X60" i="26"/>
  <c r="AA43" i="26"/>
  <c r="AB43" i="26"/>
  <c r="S92" i="26"/>
  <c r="T92" i="26"/>
  <c r="Y50" i="26"/>
  <c r="G50" i="26" s="1"/>
  <c r="Z50" i="26"/>
  <c r="AB50" i="26" s="1"/>
  <c r="AD50" i="26" s="1"/>
  <c r="AF50" i="26" s="1"/>
  <c r="AH50" i="26" s="1"/>
  <c r="AJ50" i="26" s="1"/>
  <c r="W108" i="26"/>
  <c r="X108" i="26"/>
  <c r="W129" i="26"/>
  <c r="X129" i="26"/>
  <c r="W121" i="26"/>
  <c r="X121" i="26"/>
  <c r="W122" i="26"/>
  <c r="X122" i="26"/>
  <c r="O98" i="26"/>
  <c r="P98" i="26"/>
  <c r="W119" i="26"/>
  <c r="X119" i="26"/>
  <c r="W113" i="26"/>
  <c r="X113" i="26"/>
  <c r="W125" i="26"/>
  <c r="X125" i="26"/>
  <c r="W120" i="26"/>
  <c r="X120" i="26"/>
  <c r="W111" i="26"/>
  <c r="X111" i="26"/>
  <c r="W58" i="26"/>
  <c r="X58" i="26"/>
  <c r="O99" i="26"/>
  <c r="P99" i="26"/>
  <c r="W128" i="26"/>
  <c r="X128" i="26"/>
  <c r="W124" i="26"/>
  <c r="X124" i="26"/>
  <c r="X118" i="26"/>
  <c r="W118" i="26"/>
  <c r="O100" i="26"/>
  <c r="P100" i="26"/>
  <c r="Y51" i="26"/>
  <c r="G51" i="26" s="1"/>
  <c r="Z51" i="26"/>
  <c r="AB51" i="26" s="1"/>
  <c r="AD51" i="26" s="1"/>
  <c r="AF51" i="26" s="1"/>
  <c r="AH51" i="26" s="1"/>
  <c r="AJ51" i="26" s="1"/>
  <c r="X62" i="26"/>
  <c r="W62" i="26"/>
  <c r="W112" i="26"/>
  <c r="X112" i="26"/>
  <c r="W115" i="26"/>
  <c r="X115" i="26"/>
  <c r="W127" i="26"/>
  <c r="X127" i="26"/>
  <c r="W131" i="26"/>
  <c r="X131" i="26"/>
  <c r="Y49" i="26"/>
  <c r="Z49" i="26"/>
  <c r="W116" i="26"/>
  <c r="X116" i="26"/>
  <c r="W133" i="26"/>
  <c r="X133" i="26"/>
  <c r="W123" i="26"/>
  <c r="X123" i="26"/>
  <c r="AB49" i="26" l="1"/>
  <c r="AA49" i="26"/>
  <c r="AD39" i="26"/>
  <c r="AC39" i="26"/>
  <c r="AD43" i="26"/>
  <c r="AC43" i="26"/>
  <c r="Y121" i="26"/>
  <c r="Z121" i="26"/>
  <c r="Z126" i="26"/>
  <c r="Y126" i="26"/>
  <c r="Y123" i="26"/>
  <c r="Z123" i="26"/>
  <c r="Z115" i="26"/>
  <c r="Y115" i="26"/>
  <c r="Q100" i="26"/>
  <c r="R100" i="26"/>
  <c r="Y118" i="26"/>
  <c r="Z118" i="26"/>
  <c r="Q99" i="26"/>
  <c r="R99" i="26"/>
  <c r="Y125" i="26"/>
  <c r="Z125" i="26"/>
  <c r="Q97" i="26"/>
  <c r="R97" i="26"/>
  <c r="Z116" i="26"/>
  <c r="Y116" i="26"/>
  <c r="Y131" i="26"/>
  <c r="Z131" i="26"/>
  <c r="Z127" i="26"/>
  <c r="Y127" i="26"/>
  <c r="Y62" i="26"/>
  <c r="Z62" i="26"/>
  <c r="Y124" i="26"/>
  <c r="Z124" i="26"/>
  <c r="Z119" i="26"/>
  <c r="Y119" i="26"/>
  <c r="Y122" i="26"/>
  <c r="Z122" i="26"/>
  <c r="Y129" i="26"/>
  <c r="Z129" i="26"/>
  <c r="Y36" i="26"/>
  <c r="Z36" i="26"/>
  <c r="Y130" i="26"/>
  <c r="Z130" i="26"/>
  <c r="Y133" i="26"/>
  <c r="Z133" i="26"/>
  <c r="Q98" i="26"/>
  <c r="R98" i="26"/>
  <c r="Y108" i="26"/>
  <c r="Z108" i="26"/>
  <c r="U92" i="26"/>
  <c r="V92" i="26"/>
  <c r="Y37" i="26"/>
  <c r="Z37" i="26"/>
  <c r="Z114" i="26"/>
  <c r="Y114" i="26"/>
  <c r="Y111" i="26"/>
  <c r="Z111" i="26"/>
  <c r="Y60" i="26"/>
  <c r="G60" i="26" s="1"/>
  <c r="Z60" i="26"/>
  <c r="AB60" i="26" s="1"/>
  <c r="AD60" i="26" s="1"/>
  <c r="AF60" i="26" s="1"/>
  <c r="AH60" i="26" s="1"/>
  <c r="AJ60" i="26" s="1"/>
  <c r="Y117" i="26"/>
  <c r="Z117" i="26"/>
  <c r="Y38" i="26"/>
  <c r="Z38" i="26"/>
  <c r="Z112" i="26"/>
  <c r="Y112" i="26"/>
  <c r="Y128" i="26"/>
  <c r="Z128" i="26"/>
  <c r="Y58" i="26"/>
  <c r="Z58" i="26"/>
  <c r="Y120" i="26"/>
  <c r="Z120" i="26"/>
  <c r="Y113" i="26"/>
  <c r="Z113" i="26"/>
  <c r="AA42" i="26"/>
  <c r="AB42" i="26"/>
  <c r="Z132" i="26"/>
  <c r="Y132" i="26"/>
  <c r="AB37" i="26" l="1"/>
  <c r="AA37" i="26"/>
  <c r="AB38" i="26"/>
  <c r="AA38" i="26"/>
  <c r="AB62" i="26"/>
  <c r="AA62" i="26"/>
  <c r="AD49" i="26"/>
  <c r="AC49" i="26"/>
  <c r="AD42" i="26"/>
  <c r="AC42" i="26"/>
  <c r="AF43" i="26"/>
  <c r="AE43" i="26"/>
  <c r="AF39" i="26"/>
  <c r="AE39" i="26"/>
  <c r="AA119" i="26"/>
  <c r="AB119" i="26"/>
  <c r="AA118" i="26"/>
  <c r="AB118" i="26"/>
  <c r="AB113" i="26"/>
  <c r="AA113" i="26"/>
  <c r="AA58" i="26"/>
  <c r="AB58" i="26"/>
  <c r="W92" i="26"/>
  <c r="X92" i="26"/>
  <c r="AA133" i="26"/>
  <c r="AB133" i="26"/>
  <c r="AB126" i="26"/>
  <c r="AA126" i="26"/>
  <c r="AB112" i="26"/>
  <c r="AA112" i="26"/>
  <c r="AA117" i="26"/>
  <c r="AB117" i="26"/>
  <c r="AA111" i="26"/>
  <c r="AB111" i="26"/>
  <c r="AA124" i="26"/>
  <c r="AB124" i="26"/>
  <c r="S99" i="26"/>
  <c r="T99" i="26"/>
  <c r="T100" i="26"/>
  <c r="S100" i="26"/>
  <c r="AA123" i="26"/>
  <c r="AB123" i="26"/>
  <c r="AB121" i="26"/>
  <c r="AA121" i="26"/>
  <c r="AA131" i="26"/>
  <c r="AB131" i="26"/>
  <c r="AB125" i="26"/>
  <c r="AA125" i="26"/>
  <c r="AA114" i="26"/>
  <c r="AB114" i="26"/>
  <c r="S98" i="26"/>
  <c r="T98" i="26"/>
  <c r="AA36" i="26"/>
  <c r="AB36" i="26"/>
  <c r="AB122" i="26"/>
  <c r="AA122" i="26"/>
  <c r="S97" i="26"/>
  <c r="T97" i="26"/>
  <c r="AB115" i="26"/>
  <c r="AA115" i="26"/>
  <c r="AA132" i="26"/>
  <c r="AB132" i="26"/>
  <c r="AA120" i="26"/>
  <c r="AB120" i="26"/>
  <c r="AA128" i="26"/>
  <c r="AB128" i="26"/>
  <c r="AA108" i="26"/>
  <c r="AB108" i="26"/>
  <c r="AA130" i="26"/>
  <c r="AB130" i="26"/>
  <c r="AA129" i="26"/>
  <c r="AB129" i="26"/>
  <c r="AA127" i="26"/>
  <c r="AB127" i="26"/>
  <c r="AA116" i="26"/>
  <c r="AB116" i="26"/>
  <c r="AD38" i="26" l="1"/>
  <c r="AC38" i="26"/>
  <c r="AD37" i="26"/>
  <c r="AC37" i="26"/>
  <c r="AF49" i="26"/>
  <c r="AE49" i="26"/>
  <c r="AD58" i="26"/>
  <c r="AC58" i="26"/>
  <c r="AD36" i="26"/>
  <c r="AC36" i="26"/>
  <c r="AD62" i="26"/>
  <c r="AC62" i="26"/>
  <c r="AF42" i="26"/>
  <c r="AE42" i="26"/>
  <c r="AH39" i="26"/>
  <c r="AJ39" i="26" s="1"/>
  <c r="AG39" i="26"/>
  <c r="G39" i="26" s="1"/>
  <c r="AH43" i="26"/>
  <c r="AJ43" i="26" s="1"/>
  <c r="AG43" i="26"/>
  <c r="G43" i="26" s="1"/>
  <c r="AC127" i="26"/>
  <c r="AD127" i="26"/>
  <c r="AC114" i="26"/>
  <c r="AD114" i="26"/>
  <c r="AC121" i="26"/>
  <c r="AD121" i="26"/>
  <c r="U100" i="26"/>
  <c r="V100" i="26"/>
  <c r="AC111" i="26"/>
  <c r="AD111" i="26"/>
  <c r="AD123" i="26"/>
  <c r="AC123" i="26"/>
  <c r="U99" i="26"/>
  <c r="V99" i="26"/>
  <c r="AC124" i="26"/>
  <c r="AD124" i="26"/>
  <c r="AD112" i="26"/>
  <c r="AC112" i="26"/>
  <c r="AC118" i="26"/>
  <c r="AD118" i="26"/>
  <c r="AD108" i="26"/>
  <c r="AC108" i="26"/>
  <c r="U98" i="26"/>
  <c r="V98" i="26"/>
  <c r="AC117" i="26"/>
  <c r="AD117" i="26"/>
  <c r="Y92" i="26"/>
  <c r="Z92" i="26"/>
  <c r="AC130" i="26"/>
  <c r="AD130" i="26"/>
  <c r="AC128" i="26"/>
  <c r="AD128" i="26"/>
  <c r="AD132" i="26"/>
  <c r="AC132" i="26"/>
  <c r="U97" i="26"/>
  <c r="V97" i="26"/>
  <c r="AC131" i="26"/>
  <c r="AD131" i="26"/>
  <c r="AC133" i="26"/>
  <c r="AD133" i="26"/>
  <c r="AC116" i="26"/>
  <c r="AD116" i="26"/>
  <c r="AC129" i="26"/>
  <c r="AD129" i="26"/>
  <c r="AC120" i="26"/>
  <c r="AD120" i="26"/>
  <c r="AD115" i="26"/>
  <c r="AC115" i="26"/>
  <c r="AC122" i="26"/>
  <c r="AD122" i="26"/>
  <c r="AC125" i="26"/>
  <c r="AD125" i="26"/>
  <c r="AC126" i="26"/>
  <c r="AD126" i="26"/>
  <c r="AC113" i="26"/>
  <c r="AD113" i="26"/>
  <c r="AC119" i="26"/>
  <c r="AD119" i="26"/>
  <c r="AF37" i="26" l="1"/>
  <c r="AE37" i="26"/>
  <c r="AF36" i="26"/>
  <c r="AE36" i="26"/>
  <c r="AF38" i="26"/>
  <c r="AE38" i="26"/>
  <c r="AF58" i="26"/>
  <c r="AE58" i="26"/>
  <c r="AF62" i="26"/>
  <c r="AE62" i="26"/>
  <c r="AH49" i="26"/>
  <c r="AJ49" i="26" s="1"/>
  <c r="AG49" i="26"/>
  <c r="G49" i="26" s="1"/>
  <c r="AH42" i="26"/>
  <c r="AJ42" i="26" s="1"/>
  <c r="AG42" i="26"/>
  <c r="G42" i="26" s="1"/>
  <c r="AE125" i="26"/>
  <c r="G125" i="26" s="1"/>
  <c r="AF125" i="26"/>
  <c r="AH125" i="26" s="1"/>
  <c r="AJ125" i="26" s="1"/>
  <c r="AE128" i="26"/>
  <c r="G128" i="26" s="1"/>
  <c r="AF128" i="26"/>
  <c r="AH128" i="26" s="1"/>
  <c r="AJ128" i="26" s="1"/>
  <c r="W98" i="26"/>
  <c r="X98" i="26"/>
  <c r="AF118" i="26"/>
  <c r="AH118" i="26" s="1"/>
  <c r="AJ118" i="26" s="1"/>
  <c r="AE118" i="26"/>
  <c r="G118" i="26" s="1"/>
  <c r="AE124" i="26"/>
  <c r="G124" i="26" s="1"/>
  <c r="AF124" i="26"/>
  <c r="AH124" i="26" s="1"/>
  <c r="AJ124" i="26" s="1"/>
  <c r="W100" i="26"/>
  <c r="X100" i="26"/>
  <c r="AE119" i="26"/>
  <c r="G119" i="26" s="1"/>
  <c r="AF119" i="26"/>
  <c r="AH119" i="26" s="1"/>
  <c r="AJ119" i="26" s="1"/>
  <c r="AF126" i="26"/>
  <c r="AH126" i="26" s="1"/>
  <c r="AJ126" i="26" s="1"/>
  <c r="AE126" i="26"/>
  <c r="G126" i="26" s="1"/>
  <c r="AA92" i="26"/>
  <c r="G92" i="26" s="1"/>
  <c r="AB92" i="26"/>
  <c r="AD92" i="26" s="1"/>
  <c r="AF92" i="26" s="1"/>
  <c r="AH92" i="26" s="1"/>
  <c r="AJ92" i="26" s="1"/>
  <c r="AE115" i="26"/>
  <c r="G115" i="26" s="1"/>
  <c r="AF115" i="26"/>
  <c r="AH115" i="26" s="1"/>
  <c r="AJ115" i="26" s="1"/>
  <c r="AE129" i="26"/>
  <c r="AF129" i="26"/>
  <c r="AH129" i="26" s="1"/>
  <c r="AJ129" i="26" s="1"/>
  <c r="AE131" i="26"/>
  <c r="G131" i="26" s="1"/>
  <c r="AF131" i="26"/>
  <c r="AH131" i="26" s="1"/>
  <c r="AJ131" i="26" s="1"/>
  <c r="AE130" i="26"/>
  <c r="G130" i="26" s="1"/>
  <c r="AF130" i="26"/>
  <c r="AH130" i="26" s="1"/>
  <c r="AJ130" i="26" s="1"/>
  <c r="W99" i="26"/>
  <c r="X99" i="26"/>
  <c r="AF111" i="26"/>
  <c r="AH111" i="26" s="1"/>
  <c r="AJ111" i="26" s="1"/>
  <c r="AE111" i="26"/>
  <c r="G111" i="26" s="1"/>
  <c r="AE121" i="26"/>
  <c r="G121" i="26" s="1"/>
  <c r="AF121" i="26"/>
  <c r="AH121" i="26" s="1"/>
  <c r="AJ121" i="26" s="1"/>
  <c r="AF127" i="26"/>
  <c r="AH127" i="26" s="1"/>
  <c r="AJ127" i="26" s="1"/>
  <c r="AE127" i="26"/>
  <c r="G127" i="26" s="1"/>
  <c r="AE120" i="26"/>
  <c r="G120" i="26" s="1"/>
  <c r="AF120" i="26"/>
  <c r="AH120" i="26" s="1"/>
  <c r="AJ120" i="26" s="1"/>
  <c r="AE116" i="26"/>
  <c r="G116" i="26" s="1"/>
  <c r="AF116" i="26"/>
  <c r="AH116" i="26" s="1"/>
  <c r="AJ116" i="26" s="1"/>
  <c r="W97" i="26"/>
  <c r="X97" i="26"/>
  <c r="AE114" i="26"/>
  <c r="G114" i="26" s="1"/>
  <c r="AF114" i="26"/>
  <c r="AH114" i="26" s="1"/>
  <c r="AJ114" i="26" s="1"/>
  <c r="AE123" i="26"/>
  <c r="G123" i="26" s="1"/>
  <c r="AF123" i="26"/>
  <c r="AH123" i="26" s="1"/>
  <c r="AJ123" i="26" s="1"/>
  <c r="AE113" i="26"/>
  <c r="G113" i="26" s="1"/>
  <c r="AF113" i="26"/>
  <c r="AH113" i="26" s="1"/>
  <c r="AJ113" i="26" s="1"/>
  <c r="AE122" i="26"/>
  <c r="G122" i="26" s="1"/>
  <c r="AF122" i="26"/>
  <c r="AH122" i="26" s="1"/>
  <c r="AJ122" i="26" s="1"/>
  <c r="G129" i="26"/>
  <c r="AE133" i="26"/>
  <c r="G133" i="26" s="1"/>
  <c r="AF133" i="26"/>
  <c r="AH133" i="26" s="1"/>
  <c r="AJ133" i="26" s="1"/>
  <c r="AE132" i="26"/>
  <c r="G132" i="26" s="1"/>
  <c r="AF132" i="26"/>
  <c r="AH132" i="26" s="1"/>
  <c r="AJ132" i="26" s="1"/>
  <c r="AF117" i="26"/>
  <c r="AH117" i="26" s="1"/>
  <c r="AJ117" i="26" s="1"/>
  <c r="AE117" i="26"/>
  <c r="G117" i="26" s="1"/>
  <c r="AF108" i="26"/>
  <c r="AE108" i="26"/>
  <c r="AE112" i="26"/>
  <c r="G112" i="26" s="1"/>
  <c r="AF112" i="26"/>
  <c r="AH112" i="26" s="1"/>
  <c r="AJ112" i="26" s="1"/>
  <c r="AH36" i="26" l="1"/>
  <c r="AJ36" i="26" s="1"/>
  <c r="AG36" i="26"/>
  <c r="G36" i="26" s="1"/>
  <c r="AH62" i="26"/>
  <c r="AJ62" i="26" s="1"/>
  <c r="AG62" i="26"/>
  <c r="G62" i="26" s="1"/>
  <c r="AH37" i="26"/>
  <c r="AJ37" i="26" s="1"/>
  <c r="AG37" i="26"/>
  <c r="G37" i="26" s="1"/>
  <c r="AH58" i="26"/>
  <c r="AJ58" i="26" s="1"/>
  <c r="AG58" i="26"/>
  <c r="G58" i="26" s="1"/>
  <c r="AH38" i="26"/>
  <c r="AJ38" i="26" s="1"/>
  <c r="AG38" i="26"/>
  <c r="G38" i="26" s="1"/>
  <c r="Y98" i="26"/>
  <c r="G98" i="26" s="1"/>
  <c r="Z98" i="26"/>
  <c r="AB98" i="26" s="1"/>
  <c r="AD98" i="26" s="1"/>
  <c r="AF98" i="26" s="1"/>
  <c r="AH98" i="26" s="1"/>
  <c r="AJ98" i="26" s="1"/>
  <c r="AG108" i="26"/>
  <c r="AH108" i="26"/>
  <c r="Y100" i="26"/>
  <c r="G100" i="26" s="1"/>
  <c r="Z100" i="26"/>
  <c r="AB100" i="26" s="1"/>
  <c r="AD100" i="26" s="1"/>
  <c r="AF100" i="26" s="1"/>
  <c r="AH100" i="26" s="1"/>
  <c r="AJ100" i="26" s="1"/>
  <c r="Y97" i="26"/>
  <c r="G97" i="26" s="1"/>
  <c r="Z97" i="26"/>
  <c r="AB97" i="26" s="1"/>
  <c r="AD97" i="26" s="1"/>
  <c r="AF97" i="26" s="1"/>
  <c r="AH97" i="26" s="1"/>
  <c r="AJ97" i="26" s="1"/>
  <c r="Y99" i="26"/>
  <c r="G99" i="26" s="1"/>
  <c r="Z99" i="26"/>
  <c r="AB99" i="26" s="1"/>
  <c r="AD99" i="26" s="1"/>
  <c r="AF99" i="26" s="1"/>
  <c r="AH99" i="26" s="1"/>
  <c r="AJ99" i="26" s="1"/>
  <c r="AI108" i="26" l="1"/>
  <c r="AJ108" i="26"/>
  <c r="AK108" i="26" s="1"/>
  <c r="G108" i="26" l="1"/>
  <c r="I12" i="27"/>
  <c r="L12" i="27"/>
  <c r="N12" i="27" s="1"/>
  <c r="I13" i="27"/>
  <c r="F15" i="27"/>
  <c r="I15" i="27" s="1"/>
  <c r="F37" i="27"/>
  <c r="I37" i="27" s="1"/>
  <c r="L37" i="27" s="1"/>
  <c r="L13" i="27"/>
  <c r="N13" i="27" s="1"/>
  <c r="F14" i="27"/>
  <c r="I14" i="27" s="1"/>
  <c r="M37" i="27" l="1"/>
  <c r="N37" i="27"/>
  <c r="K37" i="27"/>
  <c r="F17" i="27"/>
  <c r="L14" i="27"/>
  <c r="N14" i="27" s="1"/>
  <c r="L15" i="27"/>
  <c r="N15" i="27" s="1"/>
  <c r="F19" i="27" l="1"/>
  <c r="F20" i="27" s="1"/>
  <c r="L17" i="27"/>
  <c r="N17" i="27" s="1"/>
  <c r="I17" i="27"/>
  <c r="P37" i="27"/>
  <c r="O37" i="27"/>
  <c r="I20" i="27" l="1"/>
  <c r="L20" i="27"/>
  <c r="N20" i="27" s="1"/>
  <c r="Q37" i="27"/>
  <c r="R37" i="27"/>
  <c r="I19" i="27"/>
  <c r="L19" i="27"/>
  <c r="N19" i="27" s="1"/>
  <c r="T37" i="27" l="1"/>
  <c r="S37" i="27"/>
  <c r="U37" i="27" l="1"/>
  <c r="V37" i="27"/>
  <c r="W37" i="27" l="1"/>
  <c r="X37" i="27"/>
  <c r="Y37" i="27" l="1"/>
  <c r="Z37" i="27"/>
  <c r="AB37" i="27" l="1"/>
  <c r="AA37" i="27"/>
  <c r="AD37" i="27" l="1"/>
  <c r="AF37" i="27" s="1"/>
  <c r="AH37" i="27" s="1"/>
  <c r="AC37" i="27"/>
  <c r="G37" i="27" s="1"/>
</calcChain>
</file>

<file path=xl/sharedStrings.xml><?xml version="1.0" encoding="utf-8"?>
<sst xmlns="http://schemas.openxmlformats.org/spreadsheetml/2006/main" count="3043" uniqueCount="1883">
  <si>
    <t>Avogadro constant</t>
  </si>
  <si>
    <t>Rydberg constant</t>
  </si>
  <si>
    <t>Quantum of action</t>
  </si>
  <si>
    <t>Boltzmann constant</t>
  </si>
  <si>
    <t>Gas constant</t>
  </si>
  <si>
    <t>Unified atomic mass unit</t>
  </si>
  <si>
    <t>Bohr Radius</t>
  </si>
  <si>
    <t>Elementary electric charge</t>
  </si>
  <si>
    <t>Newtonian constant of gravitation</t>
  </si>
  <si>
    <t>Adjusted Planck length</t>
  </si>
  <si>
    <t>Maximum density of water</t>
  </si>
  <si>
    <t>Standard gravitational acceleration</t>
  </si>
  <si>
    <t>Astronomical unit</t>
  </si>
  <si>
    <t>Black-body radiation at the ice point</t>
    <phoneticPr fontId="1"/>
  </si>
  <si>
    <t>Molar volume of an ideal gas</t>
    <phoneticPr fontId="1"/>
  </si>
  <si>
    <t>Time</t>
  </si>
  <si>
    <t>Material quantity</t>
  </si>
  <si>
    <t>Length</t>
  </si>
  <si>
    <t>Energy</t>
  </si>
  <si>
    <t>Temperature</t>
  </si>
  <si>
    <t>Mass</t>
  </si>
  <si>
    <t>Work</t>
  </si>
  <si>
    <t>Force</t>
  </si>
  <si>
    <t>Pressure</t>
  </si>
  <si>
    <t>Charge</t>
  </si>
  <si>
    <t>Electrical current</t>
  </si>
  <si>
    <t>Units</t>
    <phoneticPr fontId="1"/>
  </si>
  <si>
    <t>Constants</t>
    <phoneticPr fontId="1"/>
  </si>
  <si>
    <t>Fine Structure Constant</t>
    <phoneticPr fontId="1"/>
  </si>
  <si>
    <t>Planck length</t>
    <phoneticPr fontId="1"/>
  </si>
  <si>
    <t>Speed of light in vacuum</t>
    <phoneticPr fontId="1"/>
  </si>
  <si>
    <t>Local Time</t>
    <phoneticPr fontId="1"/>
  </si>
  <si>
    <t>4π/α</t>
    <phoneticPr fontId="1"/>
  </si>
  <si>
    <t>4π/α^2</t>
    <phoneticPr fontId="1"/>
  </si>
  <si>
    <t>1/α</t>
    <phoneticPr fontId="1"/>
  </si>
  <si>
    <t>(1/α)^0.5</t>
    <phoneticPr fontId="1"/>
  </si>
  <si>
    <t>4π</t>
    <phoneticPr fontId="1"/>
  </si>
  <si>
    <t>1/4π</t>
    <phoneticPr fontId="1"/>
  </si>
  <si>
    <t>α/4π</t>
    <phoneticPr fontId="1"/>
  </si>
  <si>
    <t>α^0.5</t>
    <phoneticPr fontId="1"/>
  </si>
  <si>
    <t>α</t>
    <phoneticPr fontId="1"/>
  </si>
  <si>
    <t>α^2/4π</t>
    <phoneticPr fontId="1"/>
  </si>
  <si>
    <t>Item</t>
    <phoneticPr fontId="1"/>
  </si>
  <si>
    <t>Raw Value</t>
    <phoneticPr fontId="1"/>
  </si>
  <si>
    <t>Power</t>
    <phoneticPr fontId="1"/>
  </si>
  <si>
    <t>Dozenal</t>
    <phoneticPr fontId="1"/>
  </si>
  <si>
    <t>Decimal</t>
    <phoneticPr fontId="1"/>
  </si>
  <si>
    <t>Value/Unit</t>
    <phoneticPr fontId="1"/>
  </si>
  <si>
    <t>Specific heat of water</t>
    <phoneticPr fontId="1"/>
  </si>
  <si>
    <t>Dimensionless Numbers</t>
    <phoneticPr fontId="1"/>
  </si>
  <si>
    <t>Electron mass</t>
    <phoneticPr fontId="1"/>
  </si>
  <si>
    <t>Astronomical unit / c0</t>
    <phoneticPr fontId="1"/>
  </si>
  <si>
    <t>Astronomical unit / c0 / (12^(-3)day)</t>
    <phoneticPr fontId="1"/>
  </si>
  <si>
    <t>Density of ice at the ice point</t>
    <phoneticPr fontId="1"/>
  </si>
  <si>
    <t>Precision</t>
    <phoneticPr fontId="1"/>
  </si>
  <si>
    <t>Unit Value</t>
    <phoneticPr fontId="1"/>
  </si>
  <si>
    <t>s</t>
    <phoneticPr fontId="1"/>
  </si>
  <si>
    <t>m</t>
    <phoneticPr fontId="1"/>
  </si>
  <si>
    <t>J</t>
    <phoneticPr fontId="1"/>
  </si>
  <si>
    <t>K</t>
    <phoneticPr fontId="1"/>
  </si>
  <si>
    <t>mol</t>
    <phoneticPr fontId="1"/>
  </si>
  <si>
    <t>kg</t>
    <phoneticPr fontId="1"/>
  </si>
  <si>
    <t>W</t>
    <phoneticPr fontId="1"/>
  </si>
  <si>
    <t>N</t>
    <phoneticPr fontId="1"/>
  </si>
  <si>
    <t>Pa</t>
    <phoneticPr fontId="1"/>
  </si>
  <si>
    <t>C</t>
    <phoneticPr fontId="1"/>
  </si>
  <si>
    <t>A</t>
    <phoneticPr fontId="1"/>
  </si>
  <si>
    <t>1/mol</t>
    <phoneticPr fontId="1"/>
  </si>
  <si>
    <t>m/s</t>
    <phoneticPr fontId="1"/>
  </si>
  <si>
    <t>Js</t>
    <phoneticPr fontId="1"/>
  </si>
  <si>
    <t>J/K</t>
    <phoneticPr fontId="1"/>
  </si>
  <si>
    <t>J/(mol K)</t>
    <phoneticPr fontId="1"/>
  </si>
  <si>
    <t>(m/s)^4/N</t>
    <phoneticPr fontId="1"/>
  </si>
  <si>
    <t>m^3/mol</t>
    <phoneticPr fontId="1"/>
  </si>
  <si>
    <t>kg/m^3</t>
    <phoneticPr fontId="1"/>
  </si>
  <si>
    <t>m/s^2</t>
    <phoneticPr fontId="1"/>
  </si>
  <si>
    <t>W/m^2/K^4</t>
    <phoneticPr fontId="1"/>
  </si>
  <si>
    <t>Electrical potential difference</t>
    <phoneticPr fontId="1"/>
  </si>
  <si>
    <t>V</t>
    <phoneticPr fontId="1"/>
  </si>
  <si>
    <t>error/year</t>
  </si>
  <si>
    <t>0123456789XE</t>
    <phoneticPr fontId="1"/>
  </si>
  <si>
    <t>Rydberg</t>
    <phoneticPr fontId="1"/>
  </si>
  <si>
    <t>Bohr</t>
    <phoneticPr fontId="1"/>
  </si>
  <si>
    <t>Clock</t>
    <phoneticPr fontId="1"/>
  </si>
  <si>
    <t>Clock_by_Rydberg</t>
    <phoneticPr fontId="1"/>
  </si>
  <si>
    <t>Newtonian constant</t>
    <phoneticPr fontId="1"/>
  </si>
  <si>
    <t>Force Unit</t>
    <phoneticPr fontId="1"/>
  </si>
  <si>
    <t>sigma</t>
    <phoneticPr fontId="1"/>
  </si>
  <si>
    <t>s. dev</t>
    <phoneticPr fontId="1"/>
  </si>
  <si>
    <t>35*12^40 Units</t>
    <phoneticPr fontId="1"/>
  </si>
  <si>
    <t>Acceleration Unit</t>
    <phoneticPr fontId="1"/>
  </si>
  <si>
    <t>(5.5-1/12^2) Units</t>
    <phoneticPr fontId="1"/>
  </si>
  <si>
    <t>Dozenal</t>
  </si>
  <si>
    <t>Temperature of the triple point of water</t>
    <phoneticPr fontId="1"/>
  </si>
  <si>
    <t>Standard atmosphere</t>
    <phoneticPr fontId="1"/>
  </si>
  <si>
    <t>Unit Symbol</t>
    <phoneticPr fontId="1"/>
  </si>
  <si>
    <t>Impedance</t>
    <phoneticPr fontId="1"/>
  </si>
  <si>
    <t>J/kg/K</t>
    <phoneticPr fontId="1"/>
  </si>
  <si>
    <t>Ut queant laxis</t>
  </si>
  <si>
    <t>Resonare fibris</t>
  </si>
  <si>
    <t xml:space="preserve">Mira gestorum </t>
  </si>
  <si>
    <t>Famuli tuorum</t>
  </si>
  <si>
    <t xml:space="preserve">Solve polluti </t>
  </si>
  <si>
    <t>Sancte Ioannes</t>
  </si>
  <si>
    <t xml:space="preserve"> </t>
    <phoneticPr fontId="1"/>
  </si>
  <si>
    <r>
      <t xml:space="preserve">suffix </t>
    </r>
    <r>
      <rPr>
        <i/>
        <sz val="9"/>
        <color theme="1"/>
        <rFont val="Times New Roman"/>
        <family val="1"/>
      </rPr>
      <t>u</t>
    </r>
    <phoneticPr fontId="1"/>
  </si>
  <si>
    <r>
      <t xml:space="preserve">suffix </t>
    </r>
    <r>
      <rPr>
        <i/>
        <sz val="9"/>
        <color theme="1"/>
        <rFont val="Times New Roman"/>
        <family val="1"/>
      </rPr>
      <t>e</t>
    </r>
    <phoneticPr fontId="1"/>
  </si>
  <si>
    <r>
      <t xml:space="preserve">suffix </t>
    </r>
    <r>
      <rPr>
        <i/>
        <sz val="9"/>
        <color theme="1"/>
        <rFont val="Times New Roman"/>
        <family val="1"/>
      </rPr>
      <t>B</t>
    </r>
    <phoneticPr fontId="1"/>
  </si>
  <si>
    <t>Ω/ sr</t>
    <phoneticPr fontId="1"/>
  </si>
  <si>
    <t>W/m^2</t>
    <phoneticPr fontId="1"/>
  </si>
  <si>
    <t>-</t>
    <phoneticPr fontId="1"/>
  </si>
  <si>
    <t>-log(Sqrt([H+][OH-])/(mol/m^3))</t>
    <phoneticPr fontId="1"/>
  </si>
  <si>
    <t>log(12)</t>
    <phoneticPr fontId="1"/>
  </si>
  <si>
    <r>
      <t>Surface tension of water at 25</t>
    </r>
    <r>
      <rPr>
        <sz val="9"/>
        <color theme="1"/>
        <rFont val="ＭＳ Ｐ明朝"/>
        <family val="1"/>
        <charset val="128"/>
      </rPr>
      <t>℃</t>
    </r>
    <phoneticPr fontId="1"/>
  </si>
  <si>
    <t>N/m</t>
    <phoneticPr fontId="1"/>
  </si>
  <si>
    <t>year/day</t>
    <phoneticPr fontId="1"/>
  </si>
  <si>
    <t>Tropical Year Length</t>
    <phoneticPr fontId="1"/>
  </si>
  <si>
    <t>Astronomical unit / c0 / (12^(-3)day')</t>
    <phoneticPr fontId="1"/>
  </si>
  <si>
    <t>foot</t>
    <phoneticPr fontId="1"/>
  </si>
  <si>
    <t>ft</t>
    <phoneticPr fontId="1"/>
  </si>
  <si>
    <t>1/foot</t>
    <phoneticPr fontId="1"/>
  </si>
  <si>
    <t>1/ft</t>
    <phoneticPr fontId="1"/>
  </si>
  <si>
    <t>square foot</t>
    <phoneticPr fontId="1"/>
  </si>
  <si>
    <t>ft^2</t>
    <phoneticPr fontId="1"/>
  </si>
  <si>
    <t>1/square foot</t>
    <phoneticPr fontId="1"/>
  </si>
  <si>
    <t>ft^(-2)</t>
    <phoneticPr fontId="1"/>
  </si>
  <si>
    <t>cubic foot</t>
    <phoneticPr fontId="1"/>
  </si>
  <si>
    <t>1/cubic foot</t>
    <phoneticPr fontId="1"/>
  </si>
  <si>
    <t>ft^3</t>
    <phoneticPr fontId="1"/>
  </si>
  <si>
    <t>ft^(-3)</t>
    <phoneticPr fontId="1"/>
  </si>
  <si>
    <t>inch</t>
    <phoneticPr fontId="1"/>
  </si>
  <si>
    <t>1/inch</t>
    <phoneticPr fontId="1"/>
  </si>
  <si>
    <t>square inch</t>
    <phoneticPr fontId="1"/>
  </si>
  <si>
    <t>1/square inch</t>
    <phoneticPr fontId="1"/>
  </si>
  <si>
    <t>cubic inch</t>
    <phoneticPr fontId="1"/>
  </si>
  <si>
    <t>1/cubic inch</t>
    <phoneticPr fontId="1"/>
  </si>
  <si>
    <t>in</t>
    <phoneticPr fontId="1"/>
  </si>
  <si>
    <t>1/in</t>
    <phoneticPr fontId="1"/>
  </si>
  <si>
    <t>in^2</t>
    <phoneticPr fontId="1"/>
  </si>
  <si>
    <t>in^(-2)</t>
    <phoneticPr fontId="1"/>
  </si>
  <si>
    <t>in^3</t>
    <phoneticPr fontId="1"/>
  </si>
  <si>
    <t>in^(-3)</t>
    <phoneticPr fontId="1"/>
  </si>
  <si>
    <t>yard</t>
    <phoneticPr fontId="1"/>
  </si>
  <si>
    <t>1/yard</t>
    <phoneticPr fontId="1"/>
  </si>
  <si>
    <t>square yard</t>
    <phoneticPr fontId="1"/>
  </si>
  <si>
    <t>cubic yard</t>
    <phoneticPr fontId="1"/>
  </si>
  <si>
    <t>1/cubic yard</t>
    <phoneticPr fontId="1"/>
  </si>
  <si>
    <t>yd</t>
    <phoneticPr fontId="1"/>
  </si>
  <si>
    <t>1/yd</t>
    <phoneticPr fontId="1"/>
  </si>
  <si>
    <t>yd^2</t>
    <phoneticPr fontId="1"/>
  </si>
  <si>
    <t>yd^(-2)</t>
    <phoneticPr fontId="1"/>
  </si>
  <si>
    <t>yd^3</t>
    <phoneticPr fontId="1"/>
  </si>
  <si>
    <t>yd^(-3)</t>
    <phoneticPr fontId="1"/>
  </si>
  <si>
    <t>mile</t>
    <phoneticPr fontId="1"/>
  </si>
  <si>
    <t>1/mile</t>
    <phoneticPr fontId="1"/>
  </si>
  <si>
    <t>square mile</t>
    <phoneticPr fontId="1"/>
  </si>
  <si>
    <t>1/square mile</t>
    <phoneticPr fontId="1"/>
  </si>
  <si>
    <t>1/square yard</t>
    <phoneticPr fontId="1"/>
  </si>
  <si>
    <t>ml</t>
    <phoneticPr fontId="1"/>
  </si>
  <si>
    <t>1/ml</t>
    <phoneticPr fontId="1"/>
  </si>
  <si>
    <t>ml^2</t>
    <phoneticPr fontId="1"/>
  </si>
  <si>
    <t>ml^(-2)</t>
    <phoneticPr fontId="1"/>
  </si>
  <si>
    <t>acre</t>
    <phoneticPr fontId="1"/>
  </si>
  <si>
    <t>1/acre</t>
    <phoneticPr fontId="1"/>
  </si>
  <si>
    <t>ac</t>
    <phoneticPr fontId="1"/>
  </si>
  <si>
    <t>1/ac</t>
    <phoneticPr fontId="1"/>
  </si>
  <si>
    <t>gal</t>
    <phoneticPr fontId="1"/>
  </si>
  <si>
    <t>1/gal</t>
    <phoneticPr fontId="1"/>
  </si>
  <si>
    <t>gallon(UK)</t>
    <phoneticPr fontId="1"/>
  </si>
  <si>
    <t>1/gallon(UK)</t>
    <phoneticPr fontId="1"/>
  </si>
  <si>
    <t>gallon(US)</t>
    <phoneticPr fontId="1"/>
  </si>
  <si>
    <t>1/gallon(US)</t>
    <phoneticPr fontId="1"/>
  </si>
  <si>
    <t>pound</t>
    <phoneticPr fontId="1"/>
  </si>
  <si>
    <t>1/pound</t>
    <phoneticPr fontId="1"/>
  </si>
  <si>
    <t>lb</t>
    <phoneticPr fontId="1"/>
  </si>
  <si>
    <t>1/lb</t>
    <phoneticPr fontId="1"/>
  </si>
  <si>
    <t>ounce</t>
    <phoneticPr fontId="1"/>
  </si>
  <si>
    <t>1/ounce</t>
    <phoneticPr fontId="1"/>
  </si>
  <si>
    <t>oz</t>
    <phoneticPr fontId="1"/>
  </si>
  <si>
    <t>1/oz</t>
    <phoneticPr fontId="1"/>
  </si>
  <si>
    <t>pound force</t>
    <phoneticPr fontId="1"/>
  </si>
  <si>
    <t>1/pound force</t>
    <phoneticPr fontId="1"/>
  </si>
  <si>
    <t>lbw</t>
    <phoneticPr fontId="1"/>
  </si>
  <si>
    <t>1/lbw</t>
    <phoneticPr fontId="1"/>
  </si>
  <si>
    <t>foot/second</t>
    <phoneticPr fontId="1"/>
  </si>
  <si>
    <t>1/(foot/second)</t>
    <phoneticPr fontId="1"/>
  </si>
  <si>
    <t>ft/s</t>
    <phoneticPr fontId="1"/>
  </si>
  <si>
    <t>1/(ft/s)</t>
    <phoneticPr fontId="1"/>
  </si>
  <si>
    <t>mile/hour</t>
    <phoneticPr fontId="1"/>
  </si>
  <si>
    <t>1/(mile/hour)</t>
    <phoneticPr fontId="1"/>
  </si>
  <si>
    <t>ml/h</t>
    <phoneticPr fontId="1"/>
  </si>
  <si>
    <t>1/(ml/h)</t>
    <phoneticPr fontId="1"/>
  </si>
  <si>
    <r>
      <t>0</t>
    </r>
    <r>
      <rPr>
        <sz val="9"/>
        <color theme="1"/>
        <rFont val="ＭＳ Ｐ明朝"/>
        <family val="1"/>
        <charset val="128"/>
      </rPr>
      <t>℃</t>
    </r>
    <phoneticPr fontId="1"/>
  </si>
  <si>
    <r>
      <t>1/(0</t>
    </r>
    <r>
      <rPr>
        <sz val="9"/>
        <color theme="1"/>
        <rFont val="ＭＳ Ｐ明朝"/>
        <family val="1"/>
        <charset val="128"/>
      </rPr>
      <t>℃</t>
    </r>
    <r>
      <rPr>
        <sz val="9"/>
        <color theme="1"/>
        <rFont val="Times New Roman"/>
        <family val="1"/>
      </rPr>
      <t>)</t>
    </r>
    <phoneticPr fontId="1"/>
  </si>
  <si>
    <t>1/K</t>
    <phoneticPr fontId="1"/>
  </si>
  <si>
    <r>
      <t>100</t>
    </r>
    <r>
      <rPr>
        <sz val="9"/>
        <color theme="1"/>
        <rFont val="ＭＳ Ｐ明朝"/>
        <family val="1"/>
        <charset val="128"/>
      </rPr>
      <t>℃</t>
    </r>
    <phoneticPr fontId="1"/>
  </si>
  <si>
    <r>
      <t>1/(100</t>
    </r>
    <r>
      <rPr>
        <sz val="9"/>
        <color theme="1"/>
        <rFont val="ＭＳ Ｐ明朝"/>
        <family val="1"/>
        <charset val="128"/>
      </rPr>
      <t>℃</t>
    </r>
    <r>
      <rPr>
        <sz val="9"/>
        <color theme="1"/>
        <rFont val="Times New Roman"/>
        <family val="1"/>
      </rPr>
      <t>)</t>
    </r>
    <phoneticPr fontId="1"/>
  </si>
  <si>
    <r>
      <t>0</t>
    </r>
    <r>
      <rPr>
        <sz val="9"/>
        <color theme="1"/>
        <rFont val="ＭＳ Ｐ明朝"/>
        <family val="1"/>
        <charset val="128"/>
      </rPr>
      <t>℉</t>
    </r>
    <phoneticPr fontId="1"/>
  </si>
  <si>
    <r>
      <t>1/(0</t>
    </r>
    <r>
      <rPr>
        <sz val="9"/>
        <color theme="1"/>
        <rFont val="ＭＳ Ｐ明朝"/>
        <family val="1"/>
        <charset val="128"/>
      </rPr>
      <t>℉</t>
    </r>
    <r>
      <rPr>
        <sz val="9"/>
        <color theme="1"/>
        <rFont val="Times New Roman"/>
        <family val="1"/>
      </rPr>
      <t>)</t>
    </r>
    <phoneticPr fontId="1"/>
  </si>
  <si>
    <r>
      <t>100</t>
    </r>
    <r>
      <rPr>
        <sz val="9"/>
        <color theme="1"/>
        <rFont val="ＭＳ Ｐ明朝"/>
        <family val="1"/>
        <charset val="128"/>
      </rPr>
      <t>℉</t>
    </r>
    <phoneticPr fontId="1"/>
  </si>
  <si>
    <r>
      <t>1/(100</t>
    </r>
    <r>
      <rPr>
        <sz val="9"/>
        <color theme="1"/>
        <rFont val="ＭＳ Ｐ明朝"/>
        <family val="1"/>
        <charset val="128"/>
      </rPr>
      <t>℉</t>
    </r>
    <r>
      <rPr>
        <sz val="9"/>
        <color theme="1"/>
        <rFont val="Times New Roman"/>
        <family val="1"/>
      </rPr>
      <t>)</t>
    </r>
    <phoneticPr fontId="1"/>
  </si>
  <si>
    <t>yard-pound units</t>
    <phoneticPr fontId="1"/>
  </si>
  <si>
    <t>Units of Universal Unit System</t>
    <phoneticPr fontId="1"/>
  </si>
  <si>
    <r>
      <t xml:space="preserve">suffix </t>
    </r>
    <r>
      <rPr>
        <i/>
        <sz val="9"/>
        <color theme="1"/>
        <rFont val="Times New Roman"/>
        <family val="1"/>
      </rPr>
      <t>h</t>
    </r>
    <phoneticPr fontId="1"/>
  </si>
  <si>
    <r>
      <t>s_</t>
    </r>
    <r>
      <rPr>
        <i/>
        <sz val="9"/>
        <color theme="1"/>
        <rFont val="Times New Roman"/>
        <family val="1"/>
      </rPr>
      <t>h</t>
    </r>
    <r>
      <rPr>
        <sz val="9"/>
        <color theme="1"/>
        <rFont val="Times New Roman"/>
        <family val="1"/>
      </rPr>
      <t xml:space="preserve"> / s_</t>
    </r>
    <r>
      <rPr>
        <i/>
        <sz val="9"/>
        <color theme="1"/>
        <rFont val="Times New Roman"/>
        <family val="1"/>
      </rPr>
      <t>e</t>
    </r>
    <phoneticPr fontId="1"/>
  </si>
  <si>
    <r>
      <t>s_</t>
    </r>
    <r>
      <rPr>
        <i/>
        <sz val="9"/>
        <color theme="1"/>
        <rFont val="Times New Roman"/>
        <family val="1"/>
      </rPr>
      <t>e</t>
    </r>
    <r>
      <rPr>
        <sz val="9"/>
        <color theme="1"/>
        <rFont val="Times New Roman"/>
        <family val="1"/>
      </rPr>
      <t xml:space="preserve"> / s_</t>
    </r>
    <r>
      <rPr>
        <i/>
        <sz val="9"/>
        <color theme="1"/>
        <rFont val="Times New Roman"/>
        <family val="1"/>
      </rPr>
      <t>h</t>
    </r>
    <phoneticPr fontId="1"/>
  </si>
  <si>
    <t>troy ounce</t>
    <phoneticPr fontId="1"/>
  </si>
  <si>
    <t>1/troy ounce</t>
    <phoneticPr fontId="1"/>
  </si>
  <si>
    <t>$/toz</t>
    <phoneticPr fontId="1"/>
  </si>
  <si>
    <t>toz</t>
    <phoneticPr fontId="1"/>
  </si>
  <si>
    <t>1/toz</t>
    <phoneticPr fontId="1"/>
  </si>
  <si>
    <t>atomic</t>
    <phoneticPr fontId="1"/>
  </si>
  <si>
    <t>cosmic</t>
  </si>
  <si>
    <t>Prefix</t>
    <phoneticPr fontId="1"/>
  </si>
  <si>
    <t>Ω</t>
    <phoneticPr fontId="1"/>
  </si>
  <si>
    <t>g</t>
    <phoneticPr fontId="1"/>
  </si>
  <si>
    <t>P</t>
    <phoneticPr fontId="1"/>
  </si>
  <si>
    <t>AΩ</t>
    <phoneticPr fontId="1"/>
  </si>
  <si>
    <t>s/Ω</t>
    <phoneticPr fontId="1"/>
  </si>
  <si>
    <t>Magnetic flux</t>
    <phoneticPr fontId="1"/>
  </si>
  <si>
    <t>Wb</t>
    <phoneticPr fontId="1"/>
  </si>
  <si>
    <t>Magnetic flux density</t>
    <phoneticPr fontId="1"/>
  </si>
  <si>
    <t>T</t>
    <phoneticPr fontId="1"/>
  </si>
  <si>
    <t>Inductance</t>
    <phoneticPr fontId="1"/>
  </si>
  <si>
    <t>sΩ</t>
    <phoneticPr fontId="1"/>
  </si>
  <si>
    <t>H</t>
    <phoneticPr fontId="1"/>
  </si>
  <si>
    <t>mm</t>
    <phoneticPr fontId="1"/>
  </si>
  <si>
    <t>ms</t>
    <phoneticPr fontId="1"/>
  </si>
  <si>
    <t>mJ</t>
    <phoneticPr fontId="1"/>
  </si>
  <si>
    <t>mW</t>
    <phoneticPr fontId="1"/>
  </si>
  <si>
    <t>mN</t>
    <phoneticPr fontId="1"/>
  </si>
  <si>
    <t>mC</t>
    <phoneticPr fontId="1"/>
  </si>
  <si>
    <t>mA</t>
    <phoneticPr fontId="1"/>
  </si>
  <si>
    <t>mF</t>
    <phoneticPr fontId="1"/>
  </si>
  <si>
    <t>the Universal System of Units Standard</t>
    <phoneticPr fontId="1"/>
  </si>
  <si>
    <t>the Universal Unit System with the GCD Unit</t>
    <phoneticPr fontId="1"/>
  </si>
  <si>
    <t>u</t>
    <phoneticPr fontId="1"/>
  </si>
  <si>
    <t>e</t>
    <phoneticPr fontId="1"/>
  </si>
  <si>
    <t>system name</t>
    <phoneticPr fontId="1"/>
  </si>
  <si>
    <t>'universal'</t>
    <phoneticPr fontId="1"/>
  </si>
  <si>
    <t>length unit called</t>
    <phoneticPr fontId="1"/>
  </si>
  <si>
    <t>'universal meter'</t>
    <phoneticPr fontId="1"/>
  </si>
  <si>
    <t>'GCD meter'</t>
    <phoneticPr fontId="1"/>
  </si>
  <si>
    <t>1000000;/R_infinity</t>
    <phoneticPr fontId="1"/>
  </si>
  <si>
    <t>86400.s * c_0 / 128. / 12.^11.</t>
    <phoneticPr fontId="1"/>
  </si>
  <si>
    <t>1001700;/R_infinity</t>
    <phoneticPr fontId="1"/>
  </si>
  <si>
    <t>length unit definition</t>
    <phoneticPr fontId="1"/>
  </si>
  <si>
    <t>length unit quantity</t>
    <phoneticPr fontId="1"/>
  </si>
  <si>
    <t>mass unit quantity / kg</t>
    <phoneticPr fontId="1"/>
  </si>
  <si>
    <t>unit</t>
    <phoneticPr fontId="1"/>
  </si>
  <si>
    <t>time unit quantity</t>
    <phoneticPr fontId="1"/>
  </si>
  <si>
    <t>time unit called</t>
    <phoneticPr fontId="1"/>
  </si>
  <si>
    <t>'universal second'</t>
    <phoneticPr fontId="1"/>
  </si>
  <si>
    <t>'GCD second'</t>
    <phoneticPr fontId="1"/>
  </si>
  <si>
    <t>time unit * 128. * 12.^3</t>
    <phoneticPr fontId="1"/>
  </si>
  <si>
    <t>difference from 86400.s</t>
    <phoneticPr fontId="1"/>
  </si>
  <si>
    <t>the GCD of calendar time units of the 'earth'</t>
    <phoneticPr fontId="1"/>
  </si>
  <si>
    <t>the beginning of 20th century</t>
    <phoneticPr fontId="1"/>
  </si>
  <si>
    <t>(time unit * 128. * 12.^3) just becomes 1 day</t>
    <phoneticPr fontId="1"/>
  </si>
  <si>
    <t>about 4.7 million years ago</t>
    <phoneticPr fontId="1"/>
  </si>
  <si>
    <t>about 1400. years later</t>
    <phoneticPr fontId="1"/>
  </si>
  <si>
    <t>suffix h</t>
    <phoneticPr fontId="1"/>
  </si>
  <si>
    <t>Amount of substance</t>
  </si>
  <si>
    <r>
      <rPr>
        <sz val="9"/>
        <color theme="1"/>
        <rFont val="ＭＳ Ｐ明朝"/>
        <family val="1"/>
        <charset val="128"/>
      </rPr>
      <t>μ</t>
    </r>
    <r>
      <rPr>
        <sz val="9"/>
        <color theme="1"/>
        <rFont val="Times New Roman"/>
        <family val="1"/>
      </rPr>
      <t>K</t>
    </r>
    <phoneticPr fontId="1"/>
  </si>
  <si>
    <t>Rydberg constant for H</t>
    <phoneticPr fontId="1"/>
  </si>
  <si>
    <t>μ(Reduced mass)</t>
    <phoneticPr fontId="1"/>
  </si>
  <si>
    <t>'year'</t>
    <phoneticPr fontId="1"/>
  </si>
  <si>
    <t>365. 31./128. days</t>
  </si>
  <si>
    <t>units</t>
  </si>
  <si>
    <t>non-coherent Earth local calendar time</t>
    <phoneticPr fontId="1"/>
  </si>
  <si>
    <t>the gravitational acceleration of the Earth</t>
  </si>
  <si>
    <t>(at the beginning of year 1900.)</t>
    <phoneticPr fontId="1"/>
  </si>
  <si>
    <t>the rotation period of the Earth</t>
  </si>
  <si>
    <t>the meridian length of the Earth</t>
  </si>
  <si>
    <t>5</t>
    <phoneticPr fontId="1"/>
  </si>
  <si>
    <t>5th power</t>
  </si>
  <si>
    <t>4</t>
    <phoneticPr fontId="1"/>
  </si>
  <si>
    <t>4th power</t>
  </si>
  <si>
    <t>3</t>
    <phoneticPr fontId="1"/>
  </si>
  <si>
    <t>3rd power</t>
  </si>
  <si>
    <t>2nd power</t>
  </si>
  <si>
    <t>universal mol</t>
  </si>
  <si>
    <r>
      <rPr>
        <sz val="9"/>
        <color theme="1"/>
        <rFont val="ＭＳ Ｐゴシック"/>
        <family val="2"/>
        <charset val="128"/>
      </rPr>
      <t>○</t>
    </r>
    <phoneticPr fontId="1"/>
  </si>
  <si>
    <t>e</t>
  </si>
  <si>
    <t>'electron'</t>
    <phoneticPr fontId="1"/>
  </si>
  <si>
    <t>elementary electric charge</t>
    <phoneticPr fontId="1"/>
  </si>
  <si>
    <t>total solid angle of a hypersphere</t>
  </si>
  <si>
    <t>logarithm of an integer</t>
  </si>
  <si>
    <t>'quantum'</t>
    <phoneticPr fontId="1"/>
  </si>
  <si>
    <t>the quantum of action</t>
  </si>
  <si>
    <t>'light'</t>
    <phoneticPr fontId="1"/>
  </si>
  <si>
    <t>the speed of light in vacuum</t>
    <phoneticPr fontId="1"/>
  </si>
  <si>
    <r>
      <t>R</t>
    </r>
    <r>
      <rPr>
        <b/>
        <i/>
        <vertAlign val="subscript"/>
        <sz val="9"/>
        <color rgb="FF000000"/>
        <rFont val="Verdana"/>
        <family val="2"/>
      </rPr>
      <t>∞</t>
    </r>
  </si>
  <si>
    <t>'Rydberg'</t>
    <phoneticPr fontId="1"/>
  </si>
  <si>
    <t>the Rydberg constant</t>
    <phoneticPr fontId="1"/>
  </si>
  <si>
    <t>defining constants</t>
    <phoneticPr fontId="1"/>
  </si>
  <si>
    <t>'harmonic Ampere'</t>
    <phoneticPr fontId="1"/>
  </si>
  <si>
    <t>harmonic Ampere</t>
  </si>
  <si>
    <t>'universal Coulomb'</t>
    <phoneticPr fontId="1"/>
  </si>
  <si>
    <t>universal Coulomb</t>
    <phoneticPr fontId="1"/>
  </si>
  <si>
    <t>derived units of electro-magnetic quantities</t>
    <phoneticPr fontId="1"/>
  </si>
  <si>
    <t>'harmonic Pascal'</t>
    <phoneticPr fontId="1"/>
  </si>
  <si>
    <t>harmonic Pascal</t>
  </si>
  <si>
    <t>'harmonic Newton'</t>
    <phoneticPr fontId="1"/>
  </si>
  <si>
    <t>harmonic Newton</t>
  </si>
  <si>
    <t>'harmonic Watt'</t>
    <phoneticPr fontId="1"/>
  </si>
  <si>
    <t>harmonic Watt</t>
  </si>
  <si>
    <t>harmonic gram</t>
  </si>
  <si>
    <t>derived units of dynamical quantities</t>
    <phoneticPr fontId="1"/>
  </si>
  <si>
    <t>'harmonic Kelvin'</t>
    <phoneticPr fontId="1"/>
  </si>
  <si>
    <t>'harmonic Joule'</t>
    <phoneticPr fontId="1"/>
  </si>
  <si>
    <t>harmonic Joule</t>
  </si>
  <si>
    <t>harmonic second</t>
  </si>
  <si>
    <t>harmonic meter</t>
  </si>
  <si>
    <t>base units that are not natural units</t>
    <phoneticPr fontId="1"/>
  </si>
  <si>
    <t>or 'natural mole'</t>
    <phoneticPr fontId="1"/>
  </si>
  <si>
    <t>natural unit of impedance</t>
  </si>
  <si>
    <t>rad</t>
  </si>
  <si>
    <t>rad is called 'radian'</t>
    <phoneticPr fontId="1"/>
  </si>
  <si>
    <t>plane angle</t>
  </si>
  <si>
    <t>naper</t>
  </si>
  <si>
    <t>'naper'</t>
    <phoneticPr fontId="1"/>
  </si>
  <si>
    <t>logarithm of Napier's constant</t>
  </si>
  <si>
    <t>remarks</t>
    <phoneticPr fontId="1"/>
  </si>
  <si>
    <t>derived</t>
    <phoneticPr fontId="1"/>
  </si>
  <si>
    <t>base</t>
    <phoneticPr fontId="1"/>
  </si>
  <si>
    <t>coherent</t>
    <phoneticPr fontId="1"/>
  </si>
  <si>
    <t>natural</t>
    <phoneticPr fontId="1"/>
  </si>
  <si>
    <t>symbol</t>
    <phoneticPr fontId="1"/>
  </si>
  <si>
    <t>called</t>
    <phoneticPr fontId="1"/>
  </si>
  <si>
    <t>description</t>
  </si>
  <si>
    <t>category</t>
  </si>
  <si>
    <t>Field Strength</t>
    <phoneticPr fontId="1"/>
  </si>
  <si>
    <t>O</t>
    <phoneticPr fontId="1"/>
  </si>
  <si>
    <t>Flux density</t>
    <phoneticPr fontId="1"/>
  </si>
  <si>
    <t>G</t>
    <phoneticPr fontId="1"/>
  </si>
  <si>
    <t>mA/m</t>
    <phoneticPr fontId="1"/>
  </si>
  <si>
    <t>mC/m^2</t>
    <phoneticPr fontId="1"/>
  </si>
  <si>
    <t>non-coherent Earth local unit and supplementary constants</t>
    <phoneticPr fontId="1"/>
  </si>
  <si>
    <t>2^43</t>
    <phoneticPr fontId="1"/>
  </si>
  <si>
    <t>2^(-17) circle / rad</t>
    <phoneticPr fontId="1"/>
  </si>
  <si>
    <t>10;</t>
    <phoneticPr fontId="1"/>
  </si>
  <si>
    <t>100;</t>
    <phoneticPr fontId="1"/>
  </si>
  <si>
    <t>1000;</t>
    <phoneticPr fontId="1"/>
  </si>
  <si>
    <t>1,0000;</t>
    <phoneticPr fontId="1"/>
  </si>
  <si>
    <t>10,0000;</t>
    <phoneticPr fontId="1"/>
  </si>
  <si>
    <t>100,0000;</t>
    <phoneticPr fontId="1"/>
  </si>
  <si>
    <t>1000,0000;</t>
    <phoneticPr fontId="1"/>
  </si>
  <si>
    <t>1,0000,0000;</t>
    <phoneticPr fontId="1"/>
  </si>
  <si>
    <t>6000,0000;</t>
    <phoneticPr fontId="1"/>
  </si>
  <si>
    <t>octal centuries</t>
    <phoneticPr fontId="1"/>
  </si>
  <si>
    <t>years</t>
    <phoneticPr fontId="1"/>
  </si>
  <si>
    <t>2000,0000;</t>
    <phoneticPr fontId="1"/>
  </si>
  <si>
    <t>age of the solar system</t>
    <phoneticPr fontId="1"/>
  </si>
  <si>
    <t>age of the universe</t>
    <phoneticPr fontId="1"/>
  </si>
  <si>
    <t>Hadean</t>
  </si>
  <si>
    <t>Archean</t>
  </si>
  <si>
    <t>Eoarchean</t>
  </si>
  <si>
    <t>Paleoarchean</t>
  </si>
  <si>
    <t>Mesoarchean</t>
  </si>
  <si>
    <t>Neoarchean</t>
  </si>
  <si>
    <t>Proterozoic</t>
  </si>
  <si>
    <t>Paleoproterozoic</t>
  </si>
  <si>
    <t>Siderian</t>
  </si>
  <si>
    <t>Rhyacian</t>
  </si>
  <si>
    <t>Orosirian</t>
  </si>
  <si>
    <t>Statherian</t>
  </si>
  <si>
    <t>Mesoproterozoic</t>
  </si>
  <si>
    <t>Calymmian</t>
  </si>
  <si>
    <t>Ectasian</t>
  </si>
  <si>
    <t>Stenian</t>
  </si>
  <si>
    <t>Neoproterozoic</t>
  </si>
  <si>
    <t>Tonian</t>
  </si>
  <si>
    <t>Ediacaran</t>
  </si>
  <si>
    <t>Cryogenian</t>
  </si>
  <si>
    <t>Phanerozoic</t>
  </si>
  <si>
    <t>Paleozoic</t>
  </si>
  <si>
    <t>Cambrian</t>
  </si>
  <si>
    <t>Terreneuvian</t>
  </si>
  <si>
    <t>Fortunian</t>
  </si>
  <si>
    <t>Age_2</t>
  </si>
  <si>
    <t>Epoch_2</t>
  </si>
  <si>
    <t>Age_3</t>
  </si>
  <si>
    <t>Age_4</t>
  </si>
  <si>
    <t>Epoch_3</t>
  </si>
  <si>
    <t>Age_5</t>
  </si>
  <si>
    <t>Drumian</t>
  </si>
  <si>
    <t>Guzhangian</t>
  </si>
  <si>
    <t>Furongian</t>
  </si>
  <si>
    <t>Paibian</t>
  </si>
  <si>
    <t>Age_9</t>
  </si>
  <si>
    <t>Age_10</t>
  </si>
  <si>
    <t>Ordovician</t>
  </si>
  <si>
    <t>Early_Ordovician</t>
  </si>
  <si>
    <t>Tremadocian</t>
  </si>
  <si>
    <t>Floian</t>
  </si>
  <si>
    <t>Middle_Ordovician</t>
  </si>
  <si>
    <t>Dapingian</t>
  </si>
  <si>
    <t>Darriwilian</t>
  </si>
  <si>
    <t>Late_Ordovician</t>
  </si>
  <si>
    <t>Sandbian</t>
  </si>
  <si>
    <t>Katian</t>
  </si>
  <si>
    <t>Hirnantian</t>
  </si>
  <si>
    <t>Silurian</t>
  </si>
  <si>
    <t>Llandovery</t>
  </si>
  <si>
    <t>Rhuddanian</t>
  </si>
  <si>
    <t>Aeronian</t>
    <phoneticPr fontId="1"/>
  </si>
  <si>
    <t>Telychian</t>
  </si>
  <si>
    <t>Wenlock</t>
  </si>
  <si>
    <t>Sheinwoodian</t>
  </si>
  <si>
    <t>Homerian</t>
  </si>
  <si>
    <t>Ludlow</t>
  </si>
  <si>
    <t>Gorstian</t>
  </si>
  <si>
    <t>Ludfordian</t>
  </si>
  <si>
    <t>Pridoli</t>
  </si>
  <si>
    <t>Devonian</t>
  </si>
  <si>
    <t>Early_Devonian</t>
  </si>
  <si>
    <t>Lochkovian</t>
  </si>
  <si>
    <t>Pragian</t>
  </si>
  <si>
    <t>Emsian</t>
  </si>
  <si>
    <t>Middle_Devonian</t>
  </si>
  <si>
    <t>Eifelian</t>
  </si>
  <si>
    <t>Givetian</t>
  </si>
  <si>
    <t>Late_Devonian</t>
  </si>
  <si>
    <t>Frasnian</t>
  </si>
  <si>
    <t>Famennian</t>
  </si>
  <si>
    <t>Carboniferous</t>
  </si>
  <si>
    <t>Mississippian</t>
  </si>
  <si>
    <t>Tournaisian</t>
  </si>
  <si>
    <t>Visean</t>
  </si>
  <si>
    <t>Serpukhovian</t>
  </si>
  <si>
    <t>Pennsylvanian</t>
  </si>
  <si>
    <t>Bashkirian</t>
  </si>
  <si>
    <t>Moscovian</t>
  </si>
  <si>
    <t>Kasimovian</t>
  </si>
  <si>
    <t>Gzhelian</t>
  </si>
  <si>
    <t>Permian</t>
  </si>
  <si>
    <t>Cisuralian</t>
  </si>
  <si>
    <t>Asselian</t>
  </si>
  <si>
    <t>Sakmarian</t>
  </si>
  <si>
    <t>Artinskian</t>
  </si>
  <si>
    <t>Kungurian</t>
  </si>
  <si>
    <t>Guadalupian</t>
  </si>
  <si>
    <t>Roadian</t>
  </si>
  <si>
    <t>Wordian</t>
  </si>
  <si>
    <t>Capitanian</t>
  </si>
  <si>
    <t>Lopingian</t>
  </si>
  <si>
    <t>Wuchiapingian</t>
  </si>
  <si>
    <t>Changhsingian</t>
  </si>
  <si>
    <t>Mesozoic</t>
  </si>
  <si>
    <t>Triassic</t>
  </si>
  <si>
    <t>Early_Triassic</t>
  </si>
  <si>
    <t>Induan</t>
  </si>
  <si>
    <t>Olenekian</t>
  </si>
  <si>
    <t>Middle_Triassic</t>
  </si>
  <si>
    <t>Anisian</t>
  </si>
  <si>
    <t>Ladinian</t>
  </si>
  <si>
    <t>Late_Triassic</t>
  </si>
  <si>
    <t>Carnian</t>
  </si>
  <si>
    <t>Norian</t>
  </si>
  <si>
    <t>Rhaetian</t>
  </si>
  <si>
    <t>Jurassic</t>
  </si>
  <si>
    <t>Early_Jurassic</t>
  </si>
  <si>
    <t>Hettangian</t>
  </si>
  <si>
    <t>Sinemurian</t>
  </si>
  <si>
    <t>Pliensbachian</t>
  </si>
  <si>
    <t>Toarcian</t>
  </si>
  <si>
    <t>Middle_Jurassic</t>
  </si>
  <si>
    <t>Aalenian</t>
  </si>
  <si>
    <t>Bajocian</t>
  </si>
  <si>
    <t>Bathonian</t>
  </si>
  <si>
    <t>Callovian</t>
  </si>
  <si>
    <t>Late_Jurassic</t>
  </si>
  <si>
    <t>Oxfordian</t>
  </si>
  <si>
    <t>Kimmeridgian</t>
  </si>
  <si>
    <t>Tithonian</t>
  </si>
  <si>
    <t>Cretaceous</t>
  </si>
  <si>
    <t>Early_Cretaceous</t>
  </si>
  <si>
    <t>Berriasian</t>
  </si>
  <si>
    <t>Valanginian</t>
  </si>
  <si>
    <t>Hauterivian</t>
  </si>
  <si>
    <t>Barremian</t>
  </si>
  <si>
    <t>Aptian</t>
  </si>
  <si>
    <t>Albian</t>
  </si>
  <si>
    <t>Late_Cretaceous</t>
  </si>
  <si>
    <t>Cenomanian</t>
  </si>
  <si>
    <t>Turonian</t>
  </si>
  <si>
    <t>Coniacian</t>
  </si>
  <si>
    <t>Santonian</t>
  </si>
  <si>
    <t>Campanian</t>
  </si>
  <si>
    <t>Maastrichtian</t>
  </si>
  <si>
    <t>Cenozoic</t>
  </si>
  <si>
    <t>Paleogene</t>
  </si>
  <si>
    <t>Paleocene</t>
  </si>
  <si>
    <t>Danian</t>
  </si>
  <si>
    <t>Selandian</t>
  </si>
  <si>
    <t>Thanetian</t>
  </si>
  <si>
    <t>Eocene</t>
  </si>
  <si>
    <t>Ypresian</t>
  </si>
  <si>
    <t>Lutetian</t>
  </si>
  <si>
    <t>Bartonian</t>
  </si>
  <si>
    <t>Priabonian</t>
  </si>
  <si>
    <t>Oligocene</t>
  </si>
  <si>
    <t>Rupelian</t>
  </si>
  <si>
    <t>Chattian</t>
  </si>
  <si>
    <t>Neogene</t>
  </si>
  <si>
    <t>Miocene</t>
  </si>
  <si>
    <t>Aquitanian</t>
  </si>
  <si>
    <t>Burdigalian</t>
  </si>
  <si>
    <t>Langhian</t>
  </si>
  <si>
    <t>Serravallian</t>
  </si>
  <si>
    <t>Tortonian</t>
  </si>
  <si>
    <t>Messinian</t>
  </si>
  <si>
    <t>Pliocene</t>
  </si>
  <si>
    <t>Zanclean</t>
  </si>
  <si>
    <t>Piacenzian</t>
  </si>
  <si>
    <t>Quaternary</t>
  </si>
  <si>
    <t>Pleistocene</t>
  </si>
  <si>
    <t>Gelasian</t>
  </si>
  <si>
    <t>Calabrian</t>
  </si>
  <si>
    <t>Ionian</t>
  </si>
  <si>
    <t>Tarantian</t>
  </si>
  <si>
    <t>Holocene</t>
  </si>
  <si>
    <t>eon</t>
    <phoneticPr fontId="1"/>
  </si>
  <si>
    <t>era</t>
    <phoneticPr fontId="1"/>
  </si>
  <si>
    <t>period</t>
  </si>
  <si>
    <t>epoch</t>
  </si>
  <si>
    <t>age</t>
  </si>
  <si>
    <t>Prefix</t>
    <phoneticPr fontId="1"/>
  </si>
  <si>
    <t>universal</t>
    <phoneticPr fontId="1"/>
  </si>
  <si>
    <t>harmonic</t>
    <phoneticPr fontId="1"/>
  </si>
  <si>
    <t>year/century</t>
    <phoneticPr fontId="1"/>
  </si>
  <si>
    <t>century</t>
    <phoneticPr fontId="1"/>
  </si>
  <si>
    <t>year</t>
    <phoneticPr fontId="1"/>
  </si>
  <si>
    <t>m</t>
    <phoneticPr fontId="1"/>
  </si>
  <si>
    <t>km</t>
    <phoneticPr fontId="1"/>
  </si>
  <si>
    <t>nm</t>
    <phoneticPr fontId="1"/>
  </si>
  <si>
    <t>0;000001</t>
    <phoneticPr fontId="1"/>
  </si>
  <si>
    <t>0;00001</t>
    <phoneticPr fontId="1"/>
  </si>
  <si>
    <t>0;0001</t>
    <phoneticPr fontId="1"/>
  </si>
  <si>
    <t>0;001</t>
    <phoneticPr fontId="1"/>
  </si>
  <si>
    <t>0;01</t>
    <phoneticPr fontId="1"/>
  </si>
  <si>
    <t>0;1</t>
    <phoneticPr fontId="1"/>
  </si>
  <si>
    <t>s</t>
    <phoneticPr fontId="1"/>
  </si>
  <si>
    <t>ks</t>
    <phoneticPr fontId="1"/>
  </si>
  <si>
    <t>Ms</t>
    <phoneticPr fontId="1"/>
  </si>
  <si>
    <t>ns</t>
    <phoneticPr fontId="1"/>
  </si>
  <si>
    <t>μs</t>
    <phoneticPr fontId="1"/>
  </si>
  <si>
    <t>g</t>
    <phoneticPr fontId="1"/>
  </si>
  <si>
    <t>μg</t>
    <phoneticPr fontId="1"/>
  </si>
  <si>
    <t>mg</t>
    <phoneticPr fontId="1"/>
  </si>
  <si>
    <t>kg</t>
    <phoneticPr fontId="1"/>
  </si>
  <si>
    <t>Mg</t>
    <phoneticPr fontId="1"/>
  </si>
  <si>
    <t>Dozenal-&gt;Decimal</t>
    <phoneticPr fontId="1"/>
  </si>
  <si>
    <t>Decimal-&gt;Dozenal</t>
    <phoneticPr fontId="1"/>
  </si>
  <si>
    <t>Unit</t>
    <phoneticPr fontId="1"/>
  </si>
  <si>
    <t>K</t>
  </si>
  <si>
    <t>K</t>
    <phoneticPr fontId="1"/>
  </si>
  <si>
    <t>mK</t>
    <phoneticPr fontId="1"/>
  </si>
  <si>
    <t>kK</t>
    <phoneticPr fontId="1"/>
  </si>
  <si>
    <t>MK</t>
    <phoneticPr fontId="1"/>
  </si>
  <si>
    <t>μK</t>
    <phoneticPr fontId="1"/>
  </si>
  <si>
    <t>μm</t>
    <phoneticPr fontId="1"/>
  </si>
  <si>
    <t>nK</t>
    <phoneticPr fontId="1"/>
  </si>
  <si>
    <t>mile</t>
  </si>
  <si>
    <t>mile</t>
    <phoneticPr fontId="1"/>
  </si>
  <si>
    <t>m</t>
    <phoneticPr fontId="1"/>
  </si>
  <si>
    <t>mile</t>
    <phoneticPr fontId="1"/>
  </si>
  <si>
    <t>yard-pound units</t>
    <phoneticPr fontId="1"/>
  </si>
  <si>
    <t>meter</t>
    <phoneticPr fontId="1"/>
  </si>
  <si>
    <t>second</t>
    <phoneticPr fontId="1"/>
  </si>
  <si>
    <t>gram</t>
    <phoneticPr fontId="1"/>
  </si>
  <si>
    <t>Kelvin</t>
    <phoneticPr fontId="1"/>
  </si>
  <si>
    <t>Conversion</t>
    <phoneticPr fontId="1"/>
  </si>
  <si>
    <t>acre</t>
    <phoneticPr fontId="1"/>
  </si>
  <si>
    <t>g</t>
    <phoneticPr fontId="1"/>
  </si>
  <si>
    <t>gold price (sample)</t>
    <phoneticPr fontId="1"/>
  </si>
  <si>
    <t>$/g</t>
    <phoneticPr fontId="1"/>
  </si>
  <si>
    <t>3000;</t>
    <phoneticPr fontId="1"/>
  </si>
  <si>
    <t>0;1</t>
    <phoneticPr fontId="1"/>
  </si>
  <si>
    <t>g</t>
    <phoneticPr fontId="1"/>
  </si>
  <si>
    <t>the Harmonic Universal Unit System</t>
  </si>
  <si>
    <t>'human' or 'harmonic universal'</t>
  </si>
  <si>
    <t>1;</t>
    <phoneticPr fontId="1"/>
  </si>
  <si>
    <t>10;</t>
    <phoneticPr fontId="1"/>
  </si>
  <si>
    <t>100;</t>
    <phoneticPr fontId="1"/>
  </si>
  <si>
    <t>1000;</t>
    <phoneticPr fontId="1"/>
  </si>
  <si>
    <t>10;</t>
    <phoneticPr fontId="1"/>
  </si>
  <si>
    <t>10,0000,0000;</t>
    <phoneticPr fontId="1"/>
  </si>
  <si>
    <t>100,0000,0000;</t>
    <phoneticPr fontId="1"/>
  </si>
  <si>
    <t>1000;</t>
    <phoneticPr fontId="1"/>
  </si>
  <si>
    <t>1,0000;</t>
    <phoneticPr fontId="1"/>
  </si>
  <si>
    <t>m^2</t>
    <phoneticPr fontId="1"/>
  </si>
  <si>
    <t>m^3</t>
    <phoneticPr fontId="1"/>
  </si>
  <si>
    <t>hour</t>
    <phoneticPr fontId="1"/>
  </si>
  <si>
    <t>day</t>
    <phoneticPr fontId="1"/>
  </si>
  <si>
    <t>0K</t>
  </si>
  <si>
    <t>-78℃</t>
  </si>
  <si>
    <t>-55℃</t>
  </si>
  <si>
    <t>-32℃</t>
  </si>
  <si>
    <t>0℉</t>
  </si>
  <si>
    <t>-9℃</t>
  </si>
  <si>
    <t>0℃</t>
  </si>
  <si>
    <t>3.98℃</t>
  </si>
  <si>
    <t>14℃</t>
  </si>
  <si>
    <t>20℃</t>
  </si>
  <si>
    <t>37℃</t>
  </si>
  <si>
    <t>100℉</t>
  </si>
  <si>
    <t>58.8℃</t>
  </si>
  <si>
    <t>60℃</t>
  </si>
  <si>
    <t>83℃</t>
  </si>
  <si>
    <t>100℃</t>
  </si>
  <si>
    <r>
      <t>0.1</t>
    </r>
    <r>
      <rPr>
        <sz val="9"/>
        <color theme="1"/>
        <rFont val="ＭＳ Ｐ明朝"/>
        <family val="1"/>
        <charset val="128"/>
      </rPr>
      <t>℃</t>
    </r>
    <phoneticPr fontId="1"/>
  </si>
  <si>
    <r>
      <t>99.974</t>
    </r>
    <r>
      <rPr>
        <sz val="9"/>
        <color theme="1"/>
        <rFont val="ＭＳ Ｐ明朝"/>
        <family val="1"/>
        <charset val="128"/>
      </rPr>
      <t>℃</t>
    </r>
    <phoneticPr fontId="1"/>
  </si>
  <si>
    <t>coldest air recorded on the Earth</t>
    <phoneticPr fontId="1"/>
  </si>
  <si>
    <r>
      <t>-89.4</t>
    </r>
    <r>
      <rPr>
        <sz val="9"/>
        <color theme="1"/>
        <rFont val="ＭＳ Ｐ明朝"/>
        <family val="1"/>
        <charset val="128"/>
      </rPr>
      <t>℃</t>
    </r>
    <phoneticPr fontId="1"/>
  </si>
  <si>
    <t>absolute zero</t>
    <phoneticPr fontId="1"/>
  </si>
  <si>
    <t>melting point of ice</t>
    <phoneticPr fontId="1"/>
  </si>
  <si>
    <t>ttriple point of water</t>
    <phoneticPr fontId="1"/>
  </si>
  <si>
    <t>hottest air recorded on the Earth</t>
    <phoneticPr fontId="1"/>
  </si>
  <si>
    <t>maximum density point of water</t>
    <phoneticPr fontId="1"/>
  </si>
  <si>
    <r>
      <t>99.9839</t>
    </r>
    <r>
      <rPr>
        <sz val="9"/>
        <color theme="1"/>
        <rFont val="ＭＳ Ｐ明朝"/>
        <family val="1"/>
        <charset val="128"/>
      </rPr>
      <t>℃</t>
    </r>
    <phoneticPr fontId="1"/>
  </si>
  <si>
    <t>boiling point of water(ITS-90)</t>
    <phoneticPr fontId="1"/>
  </si>
  <si>
    <t>boiling point of water(VSMOW)</t>
    <phoneticPr fontId="1"/>
  </si>
  <si>
    <r>
      <t>15</t>
    </r>
    <r>
      <rPr>
        <sz val="9"/>
        <color theme="1"/>
        <rFont val="ＭＳ Ｐ明朝"/>
        <family val="1"/>
        <charset val="128"/>
      </rPr>
      <t>℃</t>
    </r>
    <phoneticPr fontId="1"/>
  </si>
  <si>
    <r>
      <t>25.5</t>
    </r>
    <r>
      <rPr>
        <sz val="9"/>
        <color theme="1"/>
        <rFont val="ＭＳ Ｐ明朝"/>
        <family val="1"/>
        <charset val="128"/>
      </rPr>
      <t>℃</t>
    </r>
    <phoneticPr fontId="1"/>
  </si>
  <si>
    <t>melting point of ice(VSMOW)</t>
    <phoneticPr fontId="1"/>
  </si>
  <si>
    <r>
      <t>0.000089</t>
    </r>
    <r>
      <rPr>
        <sz val="9"/>
        <color theme="1"/>
        <rFont val="ＭＳ Ｐ明朝"/>
        <family val="1"/>
        <charset val="128"/>
      </rPr>
      <t>℃</t>
    </r>
    <phoneticPr fontId="1"/>
  </si>
  <si>
    <r>
      <t>0</t>
    </r>
    <r>
      <rPr>
        <sz val="9"/>
        <color theme="1"/>
        <rFont val="ＭＳ Ｐ明朝"/>
        <family val="1"/>
        <charset val="128"/>
      </rPr>
      <t>°</t>
    </r>
    <r>
      <rPr>
        <sz val="9"/>
        <color theme="1"/>
        <rFont val="Times New Roman"/>
        <family val="1"/>
      </rPr>
      <t>S</t>
    </r>
    <phoneticPr fontId="1"/>
  </si>
  <si>
    <t>m</t>
    <phoneticPr fontId="1"/>
  </si>
  <si>
    <t>km/hour</t>
    <phoneticPr fontId="1"/>
  </si>
  <si>
    <t>base units that are natural units</t>
    <phoneticPr fontId="1"/>
  </si>
  <si>
    <t>non-coherent supplementary constants</t>
    <phoneticPr fontId="1"/>
  </si>
  <si>
    <t>Rydberg constant</t>
    <phoneticPr fontId="1"/>
  </si>
  <si>
    <t>1/ft</t>
    <phoneticPr fontId="1"/>
  </si>
  <si>
    <t>-</t>
    <phoneticPr fontId="1"/>
  </si>
  <si>
    <t>1 / (Rydberg * Bohr)</t>
    <phoneticPr fontId="1"/>
  </si>
  <si>
    <t>Bohr radius</t>
    <phoneticPr fontId="1"/>
  </si>
  <si>
    <t>ft</t>
    <phoneticPr fontId="1"/>
  </si>
  <si>
    <r>
      <t>61</t>
    </r>
    <r>
      <rPr>
        <sz val="9"/>
        <color theme="1"/>
        <rFont val="ＭＳ Ｐ明朝"/>
        <family val="1"/>
        <charset val="128"/>
      </rPr>
      <t>°</t>
    </r>
    <r>
      <rPr>
        <sz val="9"/>
        <color theme="1"/>
        <rFont val="Times New Roman"/>
        <family val="1"/>
      </rPr>
      <t>S</t>
    </r>
    <phoneticPr fontId="1"/>
  </si>
  <si>
    <r>
      <t>78</t>
    </r>
    <r>
      <rPr>
        <sz val="9"/>
        <color theme="1"/>
        <rFont val="ＭＳ Ｐ明朝"/>
        <family val="1"/>
        <charset val="128"/>
      </rPr>
      <t>°</t>
    </r>
    <r>
      <rPr>
        <sz val="9"/>
        <color theme="1"/>
        <rFont val="Times New Roman"/>
        <family val="1"/>
      </rPr>
      <t>S</t>
    </r>
    <phoneticPr fontId="1"/>
  </si>
  <si>
    <r>
      <t>100</t>
    </r>
    <r>
      <rPr>
        <sz val="9"/>
        <color theme="1"/>
        <rFont val="ＭＳ Ｐ明朝"/>
        <family val="1"/>
        <charset val="128"/>
      </rPr>
      <t>°</t>
    </r>
    <r>
      <rPr>
        <sz val="9"/>
        <color theme="1"/>
        <rFont val="Times New Roman"/>
        <family val="1"/>
      </rPr>
      <t>S</t>
    </r>
    <phoneticPr fontId="1"/>
  </si>
  <si>
    <t>CE</t>
    <phoneticPr fontId="1"/>
  </si>
  <si>
    <t>year before CE2000</t>
    <phoneticPr fontId="1"/>
  </si>
  <si>
    <t>Holocene</t>
    <phoneticPr fontId="1"/>
  </si>
  <si>
    <t>12^16 / 2^48</t>
    <phoneticPr fontId="1"/>
  </si>
  <si>
    <t>J</t>
    <phoneticPr fontId="1"/>
  </si>
  <si>
    <t>kmol</t>
    <phoneticPr fontId="1"/>
  </si>
  <si>
    <t>kg</t>
    <phoneticPr fontId="1"/>
  </si>
  <si>
    <t>W</t>
    <phoneticPr fontId="1"/>
  </si>
  <si>
    <t>N</t>
    <phoneticPr fontId="1"/>
  </si>
  <si>
    <t>kPa</t>
    <phoneticPr fontId="1"/>
  </si>
  <si>
    <t>A/m</t>
    <phoneticPr fontId="1"/>
  </si>
  <si>
    <t>kT</t>
    <phoneticPr fontId="1"/>
  </si>
  <si>
    <t>kΩ</t>
    <phoneticPr fontId="1"/>
  </si>
  <si>
    <t>photon energy at 540THz</t>
    <phoneticPr fontId="1"/>
  </si>
  <si>
    <t>J</t>
    <phoneticPr fontId="1"/>
  </si>
  <si>
    <t>(according to the definition of candela)</t>
    <phoneticPr fontId="1"/>
  </si>
  <si>
    <t>luminous flux</t>
    <phoneticPr fontId="1"/>
  </si>
  <si>
    <t>lm</t>
    <phoneticPr fontId="1"/>
  </si>
  <si>
    <t>luminous intensity</t>
    <phoneticPr fontId="1"/>
  </si>
  <si>
    <t>Ω_1/m</t>
    <phoneticPr fontId="1"/>
  </si>
  <si>
    <t>cd</t>
    <phoneticPr fontId="1"/>
  </si>
  <si>
    <t>klx</t>
    <phoneticPr fontId="1"/>
  </si>
  <si>
    <t>illuminance and luminous emittance</t>
    <phoneticPr fontId="1"/>
  </si>
  <si>
    <t>mol_n/s</t>
    <phoneticPr fontId="1"/>
  </si>
  <si>
    <t>kat</t>
    <phoneticPr fontId="1"/>
  </si>
  <si>
    <t>mol/s</t>
    <phoneticPr fontId="1"/>
  </si>
  <si>
    <t>Bq</t>
    <phoneticPr fontId="1"/>
  </si>
  <si>
    <t>J/g</t>
    <phoneticPr fontId="1"/>
  </si>
  <si>
    <t>Gy</t>
    <phoneticPr fontId="1"/>
  </si>
  <si>
    <t>Sv</t>
    <phoneticPr fontId="1"/>
  </si>
  <si>
    <t>frequency</t>
    <phoneticPr fontId="1"/>
  </si>
  <si>
    <t>Ω_1/s</t>
    <phoneticPr fontId="1"/>
  </si>
  <si>
    <t>Hz</t>
    <phoneticPr fontId="1"/>
  </si>
  <si>
    <t>lx</t>
    <phoneticPr fontId="1"/>
  </si>
  <si>
    <t>Gf</t>
    <phoneticPr fontId="1"/>
  </si>
  <si>
    <t>Tm</t>
    <phoneticPr fontId="1"/>
  </si>
  <si>
    <t>Mz</t>
    <phoneticPr fontId="1"/>
  </si>
  <si>
    <t>Mg</t>
    <phoneticPr fontId="1"/>
  </si>
  <si>
    <t>Pm</t>
    <phoneticPr fontId="1"/>
  </si>
  <si>
    <t>Kr</t>
    <phoneticPr fontId="1"/>
  </si>
  <si>
    <t>Electric current</t>
    <phoneticPr fontId="1"/>
  </si>
  <si>
    <t>Ql</t>
    <phoneticPr fontId="1"/>
  </si>
  <si>
    <t>Pv</t>
    <phoneticPr fontId="1"/>
  </si>
  <si>
    <t>Wg</t>
    <phoneticPr fontId="1"/>
  </si>
  <si>
    <t>Og</t>
    <phoneticPr fontId="1"/>
  </si>
  <si>
    <t>Electric potential difference</t>
    <phoneticPr fontId="1"/>
  </si>
  <si>
    <t>Electric capacitance</t>
    <phoneticPr fontId="1"/>
  </si>
  <si>
    <t>Kp</t>
    <phoneticPr fontId="1"/>
  </si>
  <si>
    <t>Fm</t>
    <phoneticPr fontId="1"/>
  </si>
  <si>
    <t>Fz</t>
    <phoneticPr fontId="1"/>
  </si>
  <si>
    <t>Gn</t>
    <phoneticPr fontId="1"/>
  </si>
  <si>
    <t>Pl</t>
    <phoneticPr fontId="1"/>
  </si>
  <si>
    <t>Mlz</t>
    <phoneticPr fontId="1"/>
  </si>
  <si>
    <t>Fq</t>
    <phoneticPr fontId="1"/>
  </si>
  <si>
    <t>Lp</t>
    <phoneticPr fontId="1"/>
  </si>
  <si>
    <t>Ld</t>
    <phoneticPr fontId="1"/>
  </si>
  <si>
    <t>QLd</t>
    <phoneticPr fontId="1"/>
  </si>
  <si>
    <t>Cg</t>
    <phoneticPr fontId="1"/>
  </si>
  <si>
    <t>Kr/Gf</t>
    <phoneticPr fontId="1"/>
  </si>
  <si>
    <t>Ql/Sf</t>
    <phoneticPr fontId="1"/>
  </si>
  <si>
    <t>1W/W_s</t>
    <phoneticPr fontId="1"/>
  </si>
  <si>
    <r>
      <t>2</t>
    </r>
    <r>
      <rPr>
        <sz val="9"/>
        <color theme="1"/>
        <rFont val="Verdana"/>
        <family val="2"/>
      </rPr>
      <t/>
    </r>
    <phoneticPr fontId="1"/>
  </si>
  <si>
    <t>meter^3</t>
    <phoneticPr fontId="1"/>
  </si>
  <si>
    <t>dam^3</t>
    <phoneticPr fontId="1"/>
  </si>
  <si>
    <t>dm^3</t>
    <phoneticPr fontId="1"/>
  </si>
  <si>
    <t>cm^3</t>
    <phoneticPr fontId="1"/>
  </si>
  <si>
    <t>mm^3</t>
    <phoneticPr fontId="1"/>
  </si>
  <si>
    <t>m</t>
    <phoneticPr fontId="1"/>
  </si>
  <si>
    <t>Sea depth at standard atmosphere</t>
    <phoneticPr fontId="1"/>
  </si>
  <si>
    <t>P/m</t>
    <phoneticPr fontId="1"/>
  </si>
  <si>
    <t>J</t>
    <phoneticPr fontId="1"/>
  </si>
  <si>
    <t>K</t>
    <phoneticPr fontId="1"/>
  </si>
  <si>
    <t>W</t>
    <phoneticPr fontId="1"/>
  </si>
  <si>
    <t>N</t>
    <phoneticPr fontId="1"/>
  </si>
  <si>
    <t>lm</t>
    <phoneticPr fontId="1"/>
  </si>
  <si>
    <t>cd</t>
    <phoneticPr fontId="1"/>
  </si>
  <si>
    <t>lx</t>
    <phoneticPr fontId="1"/>
  </si>
  <si>
    <t>s</t>
    <phoneticPr fontId="1"/>
  </si>
  <si>
    <t>C</t>
    <phoneticPr fontId="1"/>
  </si>
  <si>
    <t>A</t>
    <phoneticPr fontId="1"/>
  </si>
  <si>
    <t>C/m^2</t>
    <phoneticPr fontId="1"/>
  </si>
  <si>
    <t>log(10)</t>
    <phoneticPr fontId="1"/>
  </si>
  <si>
    <t>digit</t>
    <phoneticPr fontId="1"/>
  </si>
  <si>
    <t>540THz</t>
    <phoneticPr fontId="1"/>
  </si>
  <si>
    <t>Luminous flux</t>
    <phoneticPr fontId="1"/>
  </si>
  <si>
    <t>Luminous intensity</t>
    <phoneticPr fontId="1"/>
  </si>
  <si>
    <t>Illuminance and luminous emittance</t>
    <phoneticPr fontId="1"/>
  </si>
  <si>
    <t>Catalytic activity</t>
    <phoneticPr fontId="1"/>
  </si>
  <si>
    <t>Radio activity</t>
    <phoneticPr fontId="1"/>
  </si>
  <si>
    <t>Absorbed radiation dose</t>
    <phoneticPr fontId="1"/>
  </si>
  <si>
    <t>Equivalent dose</t>
    <phoneticPr fontId="1"/>
  </si>
  <si>
    <t>Frequency</t>
    <phoneticPr fontId="1"/>
  </si>
  <si>
    <t>Check</t>
    <phoneticPr fontId="1"/>
  </si>
  <si>
    <t>m (= fathom)</t>
    <phoneticPr fontId="1"/>
  </si>
  <si>
    <t>m (= 0.1 fathom)</t>
    <phoneticPr fontId="1"/>
  </si>
  <si>
    <t>mK</t>
    <phoneticPr fontId="1"/>
  </si>
  <si>
    <t>meter^2</t>
    <phoneticPr fontId="1"/>
  </si>
  <si>
    <t>mm^2</t>
    <phoneticPr fontId="1"/>
  </si>
  <si>
    <t>cm^2</t>
    <phoneticPr fontId="1"/>
  </si>
  <si>
    <t>dm^2</t>
    <phoneticPr fontId="1"/>
  </si>
  <si>
    <t>dam^2</t>
    <phoneticPr fontId="1"/>
  </si>
  <si>
    <t>hm^2</t>
    <phoneticPr fontId="1"/>
  </si>
  <si>
    <t>km^2</t>
    <phoneticPr fontId="1"/>
  </si>
  <si>
    <t>pm</t>
    <phoneticPr fontId="1"/>
  </si>
  <si>
    <t>as</t>
    <phoneticPr fontId="1"/>
  </si>
  <si>
    <t>pJ</t>
    <phoneticPr fontId="1"/>
  </si>
  <si>
    <t>MW</t>
    <phoneticPr fontId="1"/>
  </si>
  <si>
    <t>MA/m^2</t>
    <phoneticPr fontId="1"/>
  </si>
  <si>
    <t>aWb</t>
    <phoneticPr fontId="1"/>
  </si>
  <si>
    <t>aH</t>
    <phoneticPr fontId="1"/>
  </si>
  <si>
    <t>PHz</t>
    <phoneticPr fontId="1"/>
  </si>
  <si>
    <t>Elm</t>
    <phoneticPr fontId="1"/>
  </si>
  <si>
    <t>Ecd</t>
    <phoneticPr fontId="1"/>
  </si>
  <si>
    <t>μkat</t>
    <phoneticPr fontId="1"/>
  </si>
  <si>
    <t>PBq</t>
    <phoneticPr fontId="1"/>
  </si>
  <si>
    <t>PGy</t>
    <phoneticPr fontId="1"/>
  </si>
  <si>
    <t>PSv</t>
    <phoneticPr fontId="1"/>
  </si>
  <si>
    <t>TK</t>
    <phoneticPr fontId="1"/>
  </si>
  <si>
    <t>harmonic Ørsted</t>
    <phoneticPr fontId="1"/>
  </si>
  <si>
    <t>'harmonic Ørsted'</t>
    <phoneticPr fontId="1"/>
  </si>
  <si>
    <t>H</t>
  </si>
  <si>
    <t>hydrogen</t>
  </si>
  <si>
    <t>D</t>
  </si>
  <si>
    <t>deuterium</t>
  </si>
  <si>
    <t>He</t>
  </si>
  <si>
    <t>helium</t>
  </si>
  <si>
    <t>Li</t>
  </si>
  <si>
    <t>lithium</t>
  </si>
  <si>
    <t>Be</t>
  </si>
  <si>
    <t>beryllium</t>
  </si>
  <si>
    <t>B</t>
  </si>
  <si>
    <t>bron</t>
  </si>
  <si>
    <t>C</t>
  </si>
  <si>
    <t>carbon</t>
  </si>
  <si>
    <t>C-13</t>
  </si>
  <si>
    <t>carbon-13</t>
  </si>
  <si>
    <t>N</t>
  </si>
  <si>
    <t>nitrogen</t>
  </si>
  <si>
    <t>N-15</t>
  </si>
  <si>
    <t>nitrogen 15</t>
  </si>
  <si>
    <t>O</t>
  </si>
  <si>
    <t>oxygen</t>
  </si>
  <si>
    <t>F</t>
  </si>
  <si>
    <t>fluorine</t>
  </si>
  <si>
    <t>Ne</t>
  </si>
  <si>
    <t>neon</t>
  </si>
  <si>
    <t>Na</t>
  </si>
  <si>
    <t>sodium</t>
  </si>
  <si>
    <t>Mg</t>
  </si>
  <si>
    <t>magnesium</t>
  </si>
  <si>
    <t>Al</t>
  </si>
  <si>
    <t>aluminium (aluminum)</t>
  </si>
  <si>
    <t>Si</t>
  </si>
  <si>
    <t>silicon</t>
  </si>
  <si>
    <t>P</t>
  </si>
  <si>
    <t>phosphorus</t>
  </si>
  <si>
    <t>S</t>
  </si>
  <si>
    <t>sulfur (sulpfur)</t>
  </si>
  <si>
    <t>Cl</t>
  </si>
  <si>
    <t>chlorine</t>
  </si>
  <si>
    <t>Ar</t>
  </si>
  <si>
    <t>argon</t>
  </si>
  <si>
    <t>potassium</t>
  </si>
  <si>
    <t>Ca</t>
  </si>
  <si>
    <t>calcium</t>
  </si>
  <si>
    <t>Sc</t>
  </si>
  <si>
    <t>scandium</t>
  </si>
  <si>
    <t>Ti</t>
  </si>
  <si>
    <t>titanium</t>
  </si>
  <si>
    <t>V</t>
  </si>
  <si>
    <t>vanadium</t>
  </si>
  <si>
    <t>Cr</t>
  </si>
  <si>
    <t>chromium</t>
  </si>
  <si>
    <t>Mn</t>
  </si>
  <si>
    <t>manganese</t>
  </si>
  <si>
    <t>Fe</t>
  </si>
  <si>
    <t>iron</t>
  </si>
  <si>
    <t>Co</t>
  </si>
  <si>
    <t>cobalt</t>
  </si>
  <si>
    <t>Ni</t>
  </si>
  <si>
    <t>nickel</t>
  </si>
  <si>
    <t>Cu</t>
  </si>
  <si>
    <t>copper</t>
  </si>
  <si>
    <t>Zn</t>
  </si>
  <si>
    <t>zinc</t>
  </si>
  <si>
    <t>Ga</t>
  </si>
  <si>
    <t>gallium</t>
  </si>
  <si>
    <t>Ge</t>
  </si>
  <si>
    <t>germanium</t>
  </si>
  <si>
    <t>As</t>
  </si>
  <si>
    <t>arsenic</t>
  </si>
  <si>
    <t>Se</t>
  </si>
  <si>
    <t>selenium</t>
  </si>
  <si>
    <t>Br</t>
  </si>
  <si>
    <t>bromine</t>
  </si>
  <si>
    <t>Kr</t>
  </si>
  <si>
    <t>krypton</t>
  </si>
  <si>
    <t>Rb</t>
  </si>
  <si>
    <t>rubidium</t>
  </si>
  <si>
    <t>Sr</t>
  </si>
  <si>
    <t>strontium</t>
  </si>
  <si>
    <t>Y</t>
  </si>
  <si>
    <t>yttrium</t>
  </si>
  <si>
    <t>Zr</t>
  </si>
  <si>
    <t>zirconium</t>
  </si>
  <si>
    <t>Nb</t>
  </si>
  <si>
    <t>niobium</t>
  </si>
  <si>
    <t>Mo</t>
  </si>
  <si>
    <t>molybdenum</t>
  </si>
  <si>
    <t>Tc</t>
  </si>
  <si>
    <t>technetium</t>
  </si>
  <si>
    <t>Ru</t>
  </si>
  <si>
    <t>ruthenium</t>
  </si>
  <si>
    <t>Rh</t>
  </si>
  <si>
    <t>rhodium</t>
  </si>
  <si>
    <t>Pd</t>
  </si>
  <si>
    <t>palladium</t>
  </si>
  <si>
    <t>Ag</t>
  </si>
  <si>
    <t>silver</t>
  </si>
  <si>
    <t>Cd</t>
  </si>
  <si>
    <t>cadmium</t>
  </si>
  <si>
    <t>In</t>
  </si>
  <si>
    <t>indium</t>
  </si>
  <si>
    <t>Sn</t>
  </si>
  <si>
    <t>tin</t>
  </si>
  <si>
    <t>Sb</t>
  </si>
  <si>
    <t>antimony</t>
  </si>
  <si>
    <t>Te</t>
  </si>
  <si>
    <t>tellurium</t>
  </si>
  <si>
    <t>I</t>
  </si>
  <si>
    <t>iodine</t>
  </si>
  <si>
    <t>Xe</t>
  </si>
  <si>
    <t>xenon</t>
  </si>
  <si>
    <t>Cs</t>
  </si>
  <si>
    <t>caesium</t>
  </si>
  <si>
    <t>Ba</t>
  </si>
  <si>
    <t>barium</t>
  </si>
  <si>
    <t>La</t>
  </si>
  <si>
    <t>lanthanum</t>
  </si>
  <si>
    <t>Ce</t>
  </si>
  <si>
    <t>cerium</t>
  </si>
  <si>
    <t>Pr</t>
  </si>
  <si>
    <t>praseodymium</t>
  </si>
  <si>
    <t>Nd</t>
  </si>
  <si>
    <t>neodymium</t>
  </si>
  <si>
    <t>Pm</t>
  </si>
  <si>
    <t>promethium</t>
  </si>
  <si>
    <t>Sm</t>
  </si>
  <si>
    <t>samarium</t>
  </si>
  <si>
    <t>Eu</t>
  </si>
  <si>
    <t>europium</t>
  </si>
  <si>
    <t>Gd</t>
  </si>
  <si>
    <t>gadolinium</t>
  </si>
  <si>
    <t>Tb</t>
  </si>
  <si>
    <t>terbium</t>
  </si>
  <si>
    <t>Dy</t>
  </si>
  <si>
    <t>dysprosium</t>
  </si>
  <si>
    <t>Ho</t>
  </si>
  <si>
    <t>holmium</t>
  </si>
  <si>
    <t>Er</t>
  </si>
  <si>
    <t>erbium</t>
  </si>
  <si>
    <t>Tm</t>
  </si>
  <si>
    <t>thulium</t>
  </si>
  <si>
    <t>Yb</t>
  </si>
  <si>
    <t>ytterbium</t>
  </si>
  <si>
    <t>Lu</t>
  </si>
  <si>
    <t>lutetium</t>
  </si>
  <si>
    <t>Hf</t>
  </si>
  <si>
    <t>hafnium</t>
  </si>
  <si>
    <t>Ta</t>
  </si>
  <si>
    <t>tantalum</t>
  </si>
  <si>
    <t>W</t>
  </si>
  <si>
    <t>Re</t>
  </si>
  <si>
    <t>rhenium</t>
  </si>
  <si>
    <t>Os</t>
  </si>
  <si>
    <t>osmium</t>
  </si>
  <si>
    <t>Ir</t>
  </si>
  <si>
    <t>iridium</t>
  </si>
  <si>
    <t>Pt</t>
  </si>
  <si>
    <t>platinum</t>
  </si>
  <si>
    <t>Au</t>
  </si>
  <si>
    <t>gold</t>
  </si>
  <si>
    <t>Hg</t>
  </si>
  <si>
    <t>mercury</t>
  </si>
  <si>
    <t>Tl</t>
  </si>
  <si>
    <t>thallium</t>
  </si>
  <si>
    <t>Pb</t>
  </si>
  <si>
    <t>lead</t>
  </si>
  <si>
    <t>Bi</t>
  </si>
  <si>
    <t>bismuth</t>
  </si>
  <si>
    <t>Po</t>
  </si>
  <si>
    <t>polonium</t>
  </si>
  <si>
    <t>At</t>
  </si>
  <si>
    <t>astatine</t>
  </si>
  <si>
    <t>Rn</t>
  </si>
  <si>
    <t>radon</t>
  </si>
  <si>
    <t>Fr</t>
  </si>
  <si>
    <t>francium</t>
  </si>
  <si>
    <t>Ra</t>
  </si>
  <si>
    <t>radium</t>
  </si>
  <si>
    <t>Ac</t>
  </si>
  <si>
    <t>actinium</t>
  </si>
  <si>
    <t>Th</t>
  </si>
  <si>
    <t>thorium</t>
  </si>
  <si>
    <t>Pa</t>
  </si>
  <si>
    <t>protactinium</t>
  </si>
  <si>
    <t>U</t>
  </si>
  <si>
    <t>uranium</t>
  </si>
  <si>
    <t>Np</t>
  </si>
  <si>
    <t>neptunium</t>
  </si>
  <si>
    <t>Pu</t>
  </si>
  <si>
    <t>plutonium</t>
  </si>
  <si>
    <t>Am</t>
  </si>
  <si>
    <t>americium</t>
  </si>
  <si>
    <t>Cm</t>
  </si>
  <si>
    <t>curium</t>
  </si>
  <si>
    <t>Bk</t>
  </si>
  <si>
    <t>berkelium</t>
  </si>
  <si>
    <t>Cf</t>
  </si>
  <si>
    <t>californium</t>
  </si>
  <si>
    <t>Es</t>
  </si>
  <si>
    <t>einsteinium</t>
  </si>
  <si>
    <t>Fm</t>
  </si>
  <si>
    <t>fermium</t>
  </si>
  <si>
    <t>Md</t>
  </si>
  <si>
    <t>mendelevium</t>
  </si>
  <si>
    <t>No</t>
  </si>
  <si>
    <t>nobelium</t>
  </si>
  <si>
    <t>Lr</t>
  </si>
  <si>
    <t>lawrencium</t>
  </si>
  <si>
    <t>Rf</t>
  </si>
  <si>
    <t>rutherfordium</t>
  </si>
  <si>
    <t>Db</t>
  </si>
  <si>
    <t>dubnium</t>
  </si>
  <si>
    <t>Sg</t>
  </si>
  <si>
    <t>seaborgium</t>
  </si>
  <si>
    <t>Bh</t>
  </si>
  <si>
    <t>bohrium</t>
  </si>
  <si>
    <t>Hs</t>
  </si>
  <si>
    <t>hassium</t>
  </si>
  <si>
    <t>Mt</t>
  </si>
  <si>
    <t>meitnerium</t>
  </si>
  <si>
    <t>Ds</t>
  </si>
  <si>
    <t>darmstadtium</t>
  </si>
  <si>
    <t>Rg</t>
  </si>
  <si>
    <t>Cn</t>
  </si>
  <si>
    <t>roentgenium</t>
  </si>
  <si>
    <t>Uut</t>
  </si>
  <si>
    <t>copernicium</t>
  </si>
  <si>
    <t>Unq</t>
  </si>
  <si>
    <t>ununtrium</t>
  </si>
  <si>
    <t>Uup</t>
  </si>
  <si>
    <t>ununquadium</t>
  </si>
  <si>
    <t>Uuh</t>
  </si>
  <si>
    <t>ununpentium</t>
  </si>
  <si>
    <t>Uuo</t>
  </si>
  <si>
    <t>ununhexium</t>
  </si>
  <si>
    <t>ununoctium</t>
  </si>
  <si>
    <t>unified atomic mass unit</t>
    <phoneticPr fontId="1"/>
  </si>
  <si>
    <t>suffix u</t>
    <phoneticPr fontId="1"/>
  </si>
  <si>
    <t>suffix e</t>
    <phoneticPr fontId="1"/>
  </si>
  <si>
    <t>Atomic weight</t>
    <phoneticPr fontId="1"/>
  </si>
  <si>
    <t>mass / unit</t>
    <phoneticPr fontId="1"/>
  </si>
  <si>
    <t>Mean</t>
    <phoneticPr fontId="1"/>
  </si>
  <si>
    <t>Typical</t>
    <phoneticPr fontId="1"/>
  </si>
  <si>
    <t>Name</t>
    <phoneticPr fontId="1"/>
  </si>
  <si>
    <t>tungsten</t>
    <phoneticPr fontId="1"/>
  </si>
  <si>
    <t>suffix Bohr</t>
    <phoneticPr fontId="1"/>
  </si>
  <si>
    <t xml:space="preserve">Atomic number </t>
    <phoneticPr fontId="1"/>
  </si>
  <si>
    <t>Chemical symbol</t>
    <phoneticPr fontId="1"/>
  </si>
  <si>
    <t>tri-atomic harmonic gram</t>
    <phoneticPr fontId="1"/>
  </si>
  <si>
    <t>tri-atomic universal gram</t>
    <phoneticPr fontId="1"/>
  </si>
  <si>
    <t>tri-atomic GCD gram</t>
    <phoneticPr fontId="1"/>
  </si>
  <si>
    <t>DATA from</t>
    <phoneticPr fontId="1"/>
  </si>
  <si>
    <t>http://ours.be/sci/aw.php</t>
    <phoneticPr fontId="1"/>
  </si>
  <si>
    <t>/</t>
    <phoneticPr fontId="1"/>
  </si>
  <si>
    <t>do</t>
    <phoneticPr fontId="1"/>
  </si>
  <si>
    <t>re</t>
    <phoneticPr fontId="1"/>
  </si>
  <si>
    <t>mi</t>
    <phoneticPr fontId="1"/>
  </si>
  <si>
    <t>fa</t>
    <phoneticPr fontId="1"/>
  </si>
  <si>
    <t>so</t>
    <phoneticPr fontId="1"/>
  </si>
  <si>
    <t>ti</t>
    <phoneticPr fontId="1"/>
  </si>
  <si>
    <t>ut</t>
    <phoneticPr fontId="1"/>
  </si>
  <si>
    <t>atomic la</t>
    <phoneticPr fontId="1"/>
  </si>
  <si>
    <t>atomic ti</t>
    <phoneticPr fontId="1"/>
  </si>
  <si>
    <t>atomic ut</t>
    <phoneticPr fontId="1"/>
  </si>
  <si>
    <t>atomic do</t>
    <phoneticPr fontId="1"/>
  </si>
  <si>
    <t>atomic re</t>
    <phoneticPr fontId="1"/>
  </si>
  <si>
    <t>atomic mi</t>
    <phoneticPr fontId="1"/>
  </si>
  <si>
    <t>atomic fa</t>
    <phoneticPr fontId="1"/>
  </si>
  <si>
    <t>cosmic mi</t>
    <phoneticPr fontId="1"/>
  </si>
  <si>
    <t>cosmic re</t>
    <phoneticPr fontId="1"/>
  </si>
  <si>
    <t>cosmic do</t>
    <phoneticPr fontId="1"/>
  </si>
  <si>
    <t>cosmic ut</t>
    <phoneticPr fontId="1"/>
  </si>
  <si>
    <t>cosmic ti</t>
    <phoneticPr fontId="1"/>
  </si>
  <si>
    <t>cosmic la</t>
    <phoneticPr fontId="1"/>
  </si>
  <si>
    <t>cosmic so</t>
    <phoneticPr fontId="1"/>
  </si>
  <si>
    <t>cosmic</t>
    <phoneticPr fontId="1"/>
  </si>
  <si>
    <t>(Dominus)</t>
    <phoneticPr fontId="1"/>
  </si>
  <si>
    <t/>
  </si>
  <si>
    <r>
      <rPr>
        <sz val="9"/>
        <color theme="1"/>
        <rFont val="ＭＳ Ｐゴシック"/>
        <family val="2"/>
        <charset val="128"/>
      </rPr>
      <t>○</t>
    </r>
    <phoneticPr fontId="1"/>
  </si>
  <si>
    <r>
      <rPr>
        <b/>
        <i/>
        <sz val="9"/>
        <color rgb="FF000000"/>
        <rFont val="Verdana"/>
        <family val="2"/>
      </rPr>
      <t>ħ</t>
    </r>
  </si>
  <si>
    <r>
      <rPr>
        <sz val="9"/>
        <color theme="1"/>
        <rFont val="ＭＳ Ｐゴシック"/>
        <family val="2"/>
        <charset val="128"/>
      </rPr>
      <t>○</t>
    </r>
    <phoneticPr fontId="1"/>
  </si>
  <si>
    <r>
      <rPr>
        <sz val="9"/>
        <color theme="1"/>
        <rFont val="ＭＳ Ｐゴシック"/>
        <family val="2"/>
        <charset val="128"/>
      </rPr>
      <t>○</t>
    </r>
    <phoneticPr fontId="1"/>
  </si>
  <si>
    <r>
      <t>rad</t>
    </r>
    <r>
      <rPr>
        <vertAlign val="superscript"/>
        <sz val="9"/>
        <color rgb="FF000000"/>
        <rFont val="Times New Roman"/>
        <family val="1"/>
      </rPr>
      <t>2</t>
    </r>
    <r>
      <rPr>
        <sz val="9"/>
        <color rgb="FF000000"/>
        <rFont val="Times New Roman"/>
        <family val="1"/>
      </rPr>
      <t xml:space="preserve"> is called 'steradian'</t>
    </r>
    <phoneticPr fontId="1"/>
  </si>
  <si>
    <r>
      <rPr>
        <i/>
        <sz val="9"/>
        <color theme="1"/>
        <rFont val="Times New Roman"/>
        <family val="1"/>
      </rPr>
      <t>substance name</t>
    </r>
    <r>
      <rPr>
        <sz val="9"/>
        <color theme="1"/>
        <rFont val="Times New Roman"/>
        <family val="1"/>
      </rPr>
      <t xml:space="preserve">
(ex.Carbon dioxide)</t>
    </r>
    <phoneticPr fontId="1"/>
  </si>
  <si>
    <r>
      <t xml:space="preserve">substance symbol
</t>
    </r>
    <r>
      <rPr>
        <sz val="9"/>
        <color rgb="FF000000"/>
        <rFont val="Times New Roman"/>
        <family val="1"/>
      </rPr>
      <t xml:space="preserve"> (ex. CO</t>
    </r>
    <r>
      <rPr>
        <vertAlign val="subscript"/>
        <sz val="9"/>
        <color rgb="FF000000"/>
        <rFont val="Times New Roman"/>
        <family val="1"/>
      </rPr>
      <t>2</t>
    </r>
    <r>
      <rPr>
        <sz val="9"/>
        <color rgb="FF000000"/>
        <rFont val="Times New Roman"/>
        <family val="1"/>
      </rPr>
      <t>)</t>
    </r>
    <phoneticPr fontId="1"/>
  </si>
  <si>
    <r>
      <t>k</t>
    </r>
    <r>
      <rPr>
        <b/>
        <vertAlign val="subscript"/>
        <sz val="9"/>
        <color rgb="FF000000"/>
        <rFont val="Times New Roman"/>
        <family val="1"/>
      </rPr>
      <t>B</t>
    </r>
    <phoneticPr fontId="1"/>
  </si>
  <si>
    <r>
      <t xml:space="preserve">'universal mole' with </t>
    </r>
    <r>
      <rPr>
        <i/>
        <sz val="9"/>
        <color rgb="FF000000"/>
        <rFont val="Times New Roman"/>
        <family val="1"/>
      </rPr>
      <t>substance name</t>
    </r>
    <r>
      <rPr>
        <sz val="9"/>
        <color rgb="FF000000"/>
        <rFont val="Times New Roman"/>
        <family val="1"/>
      </rPr>
      <t xml:space="preserve">
(ex. universal mole Carbon dioxide)</t>
    </r>
    <phoneticPr fontId="1"/>
  </si>
  <si>
    <r>
      <t>10;</t>
    </r>
    <r>
      <rPr>
        <vertAlign val="superscript"/>
        <sz val="9"/>
        <color rgb="FF000000"/>
        <rFont val="Times New Roman"/>
        <family val="1"/>
      </rPr>
      <t>-8</t>
    </r>
  </si>
  <si>
    <r>
      <t>10;</t>
    </r>
    <r>
      <rPr>
        <vertAlign val="superscript"/>
        <sz val="9"/>
        <color rgb="FF000000"/>
        <rFont val="Times New Roman"/>
        <family val="1"/>
      </rPr>
      <t>8</t>
    </r>
  </si>
  <si>
    <r>
      <rPr>
        <b/>
        <i/>
        <sz val="9"/>
        <color rgb="FF000000"/>
        <rFont val="Times New Roman"/>
        <family val="1"/>
      </rPr>
      <t>m</t>
    </r>
    <r>
      <rPr>
        <b/>
        <vertAlign val="subscript"/>
        <sz val="9"/>
        <color rgb="FF000000"/>
        <rFont val="Times New Roman"/>
        <family val="1"/>
      </rPr>
      <t>E</t>
    </r>
    <phoneticPr fontId="1"/>
  </si>
  <si>
    <r>
      <rPr>
        <b/>
        <i/>
        <sz val="9"/>
        <color rgb="FF000000"/>
        <rFont val="Times New Roman"/>
        <family val="1"/>
      </rPr>
      <t>s</t>
    </r>
    <r>
      <rPr>
        <b/>
        <vertAlign val="subscript"/>
        <sz val="9"/>
        <color rgb="FF000000"/>
        <rFont val="Times New Roman"/>
        <family val="1"/>
      </rPr>
      <t>E</t>
    </r>
    <phoneticPr fontId="1"/>
  </si>
  <si>
    <r>
      <rPr>
        <b/>
        <i/>
        <sz val="9"/>
        <color rgb="FF000000"/>
        <rFont val="Times New Roman"/>
        <family val="1"/>
      </rPr>
      <t>g</t>
    </r>
    <r>
      <rPr>
        <b/>
        <vertAlign val="subscript"/>
        <sz val="9"/>
        <color rgb="FF000000"/>
        <rFont val="Times New Roman"/>
        <family val="1"/>
      </rPr>
      <t>E</t>
    </r>
    <phoneticPr fontId="1"/>
  </si>
  <si>
    <t>fal</t>
    <phoneticPr fontId="1"/>
  </si>
  <si>
    <t>mil</t>
    <phoneticPr fontId="1"/>
  </si>
  <si>
    <t>rel</t>
    <phoneticPr fontId="1"/>
  </si>
  <si>
    <t>dol</t>
    <phoneticPr fontId="1"/>
  </si>
  <si>
    <t>utl</t>
    <phoneticPr fontId="1"/>
  </si>
  <si>
    <t>til</t>
    <phoneticPr fontId="1"/>
  </si>
  <si>
    <t>sol</t>
    <phoneticPr fontId="1"/>
  </si>
  <si>
    <t>adjectives</t>
    <phoneticPr fontId="1"/>
  </si>
  <si>
    <t>noun</t>
    <phoneticPr fontId="1"/>
  </si>
  <si>
    <t>nautical mile</t>
    <phoneticPr fontId="1"/>
  </si>
  <si>
    <r>
      <t>10000;m</t>
    </r>
    <r>
      <rPr>
        <vertAlign val="subscript"/>
        <sz val="9"/>
        <color theme="1"/>
        <rFont val="Times New Roman"/>
        <family val="1"/>
      </rPr>
      <t>h</t>
    </r>
    <r>
      <rPr>
        <sz val="9"/>
        <color theme="1"/>
        <rFont val="Times New Roman"/>
        <family val="1"/>
      </rPr>
      <t>/0;1day</t>
    </r>
    <phoneticPr fontId="1"/>
  </si>
  <si>
    <r>
      <t>m</t>
    </r>
    <r>
      <rPr>
        <vertAlign val="subscript"/>
        <sz val="9"/>
        <color theme="1"/>
        <rFont val="Times New Roman"/>
        <family val="1"/>
      </rPr>
      <t>h</t>
    </r>
    <r>
      <rPr>
        <sz val="9"/>
        <color theme="1"/>
        <rFont val="Times New Roman"/>
        <family val="1"/>
      </rPr>
      <t>/s</t>
    </r>
    <r>
      <rPr>
        <vertAlign val="subscript"/>
        <sz val="9"/>
        <color theme="1"/>
        <rFont val="Times New Roman"/>
        <family val="1"/>
      </rPr>
      <t>h</t>
    </r>
    <phoneticPr fontId="1"/>
  </si>
  <si>
    <t>100000;</t>
    <phoneticPr fontId="1"/>
  </si>
  <si>
    <t>m/day</t>
    <phoneticPr fontId="1"/>
  </si>
  <si>
    <t>Power</t>
    <phoneticPr fontId="1"/>
  </si>
  <si>
    <t>mK</t>
    <phoneticPr fontId="1"/>
  </si>
  <si>
    <t>Acceleration</t>
    <phoneticPr fontId="1"/>
  </si>
  <si>
    <t>G</t>
    <phoneticPr fontId="1"/>
  </si>
  <si>
    <t>light Julian year</t>
    <phoneticPr fontId="1"/>
  </si>
  <si>
    <t>10 persec</t>
    <phoneticPr fontId="1"/>
  </si>
  <si>
    <t>Solar luminosity</t>
    <phoneticPr fontId="1"/>
  </si>
  <si>
    <t>Temperature</t>
    <phoneticPr fontId="1"/>
  </si>
  <si>
    <t>Earth rotation</t>
    <phoneticPr fontId="1"/>
  </si>
  <si>
    <t>L0/L1</t>
    <phoneticPr fontId="1"/>
  </si>
  <si>
    <t>distance/m</t>
    <phoneticPr fontId="1"/>
  </si>
  <si>
    <t>astronomical unit</t>
    <phoneticPr fontId="1"/>
  </si>
  <si>
    <t xml:space="preserve">Solar constant </t>
    <phoneticPr fontId="1"/>
  </si>
  <si>
    <t>W/m^2</t>
    <phoneticPr fontId="1"/>
  </si>
  <si>
    <t>W/sr</t>
    <phoneticPr fontId="1"/>
  </si>
  <si>
    <t xml:space="preserve">illuminance/lx </t>
    <phoneticPr fontId="1"/>
  </si>
  <si>
    <t>Solar luminous intencity</t>
    <phoneticPr fontId="1"/>
  </si>
  <si>
    <t>cd</t>
    <phoneticPr fontId="1"/>
  </si>
  <si>
    <t xml:space="preserve">Solar luminous efficacy </t>
    <phoneticPr fontId="1"/>
  </si>
  <si>
    <t>lm/W</t>
    <phoneticPr fontId="1"/>
  </si>
  <si>
    <t>apparent mag.</t>
    <phoneticPr fontId="1"/>
  </si>
  <si>
    <t>10;bi-cosmic meter</t>
    <phoneticPr fontId="1"/>
  </si>
  <si>
    <t>photon scale</t>
    <phoneticPr fontId="1"/>
  </si>
  <si>
    <t>W_h/m_h^2</t>
    <phoneticPr fontId="1"/>
  </si>
  <si>
    <t>W_h/sr</t>
    <phoneticPr fontId="1"/>
  </si>
  <si>
    <t>W_s/sr</t>
    <phoneticPr fontId="1"/>
  </si>
  <si>
    <t>W_s/W_h</t>
    <phoneticPr fontId="1"/>
  </si>
  <si>
    <t>Solar radiation intencity</t>
    <phoneticPr fontId="1"/>
  </si>
  <si>
    <t>Penz</t>
    <phoneticPr fontId="1"/>
  </si>
  <si>
    <t>QuaraPenz</t>
    <phoneticPr fontId="1"/>
  </si>
  <si>
    <t>QuaraLyde</t>
    <phoneticPr fontId="1"/>
  </si>
  <si>
    <t>Lytef</t>
    <phoneticPr fontId="1"/>
  </si>
  <si>
    <t>=Bril</t>
    <phoneticPr fontId="1"/>
  </si>
  <si>
    <t>illuminance
/W_2-s/m_h^2</t>
    <phoneticPr fontId="1"/>
  </si>
  <si>
    <t>Brite scale</t>
    <phoneticPr fontId="1"/>
  </si>
  <si>
    <t>apparent magnitude 0.0</t>
    <phoneticPr fontId="1"/>
  </si>
  <si>
    <t>Brite scale 0.0</t>
    <phoneticPr fontId="1"/>
  </si>
  <si>
    <t>apparent magnitude 6.0</t>
    <phoneticPr fontId="1"/>
  </si>
  <si>
    <t>apparent magnitude 5.0</t>
    <phoneticPr fontId="1"/>
  </si>
  <si>
    <t>L0</t>
    <phoneticPr fontId="1"/>
  </si>
  <si>
    <t>L1</t>
    <phoneticPr fontId="1"/>
  </si>
  <si>
    <t>remark</t>
    <phoneticPr fontId="1"/>
  </si>
  <si>
    <t>distance</t>
    <phoneticPr fontId="1"/>
  </si>
  <si>
    <t>=Brite</t>
    <phoneticPr fontId="1"/>
  </si>
  <si>
    <t>m/s^2</t>
    <phoneticPr fontId="1"/>
  </si>
  <si>
    <t>atomic sub</t>
    <phoneticPr fontId="1"/>
  </si>
  <si>
    <t>sub</t>
    <phoneticPr fontId="1"/>
  </si>
  <si>
    <t>exponential notation</t>
    <phoneticPr fontId="1"/>
  </si>
  <si>
    <t>DoReMi system</t>
    <phoneticPr fontId="1"/>
  </si>
  <si>
    <t>power</t>
    <phoneticPr fontId="1"/>
  </si>
  <si>
    <t>I</t>
    <phoneticPr fontId="1"/>
  </si>
  <si>
    <r>
      <t>10;</t>
    </r>
    <r>
      <rPr>
        <vertAlign val="superscript"/>
        <sz val="9"/>
        <color rgb="FF000000"/>
        <rFont val="Times New Roman"/>
        <family val="1"/>
      </rPr>
      <t>-4</t>
    </r>
    <phoneticPr fontId="1"/>
  </si>
  <si>
    <t>'sub'</t>
    <phoneticPr fontId="1"/>
  </si>
  <si>
    <r>
      <t>10;</t>
    </r>
    <r>
      <rPr>
        <vertAlign val="superscript"/>
        <sz val="9"/>
        <color rgb="FF000000"/>
        <rFont val="Times New Roman"/>
        <family val="1"/>
      </rPr>
      <t>4</t>
    </r>
    <phoneticPr fontId="1"/>
  </si>
  <si>
    <t>_4-</t>
    <phoneticPr fontId="30"/>
  </si>
  <si>
    <t>_3-s</t>
  </si>
  <si>
    <t>_3-</t>
    <phoneticPr fontId="30"/>
  </si>
  <si>
    <t>_2-s</t>
  </si>
  <si>
    <t>_2-</t>
    <phoneticPr fontId="30"/>
  </si>
  <si>
    <t>_-s</t>
  </si>
  <si>
    <t>_-</t>
    <phoneticPr fontId="30"/>
  </si>
  <si>
    <t>_s</t>
  </si>
  <si>
    <t>_S</t>
  </si>
  <si>
    <t>_+</t>
    <phoneticPr fontId="30"/>
  </si>
  <si>
    <t>_+S</t>
  </si>
  <si>
    <t>_2+</t>
    <phoneticPr fontId="30"/>
  </si>
  <si>
    <t>_2+S</t>
  </si>
  <si>
    <t>_3+</t>
    <phoneticPr fontId="30"/>
  </si>
  <si>
    <t>_3+S</t>
  </si>
  <si>
    <t>_4+</t>
    <phoneticPr fontId="30"/>
  </si>
  <si>
    <t>_4+S</t>
  </si>
  <si>
    <t>_5+</t>
    <phoneticPr fontId="30"/>
  </si>
  <si>
    <t>_5+D</t>
  </si>
  <si>
    <t>value</t>
    <phoneticPr fontId="30"/>
  </si>
  <si>
    <t>notation</t>
    <phoneticPr fontId="30"/>
  </si>
  <si>
    <t>called</t>
    <phoneticPr fontId="30"/>
  </si>
  <si>
    <t>12^0</t>
    <phoneticPr fontId="30"/>
  </si>
  <si>
    <t>atomic milly</t>
  </si>
  <si>
    <t>milly</t>
  </si>
  <si>
    <t>cosmic milly</t>
  </si>
  <si>
    <t>atomic centy</t>
  </si>
  <si>
    <t>centy</t>
  </si>
  <si>
    <t>cosmic centy</t>
  </si>
  <si>
    <t>2;bi-cosmic milly cycle / s</t>
    <phoneticPr fontId="1"/>
  </si>
  <si>
    <t>origin of prefix part</t>
  </si>
  <si>
    <t>Old Norse</t>
  </si>
  <si>
    <t>Old French</t>
  </si>
  <si>
    <t>Latin</t>
  </si>
  <si>
    <t>Germanic</t>
  </si>
  <si>
    <t>Gravitic meter</t>
    <phoneticPr fontId="1"/>
  </si>
  <si>
    <t>Stefan-Boltzmann constant</t>
    <phoneticPr fontId="1"/>
  </si>
  <si>
    <t>one</t>
  </si>
  <si>
    <t>dozen</t>
  </si>
  <si>
    <t>gross</t>
  </si>
  <si>
    <t>MJ</t>
    <phoneticPr fontId="1"/>
  </si>
  <si>
    <t>aC</t>
    <phoneticPr fontId="1"/>
  </si>
  <si>
    <t>YA</t>
    <phoneticPr fontId="1"/>
  </si>
  <si>
    <t>YV</t>
    <phoneticPr fontId="1"/>
  </si>
  <si>
    <t>Ekat</t>
    <phoneticPr fontId="1"/>
  </si>
  <si>
    <r>
      <t xml:space="preserve">suffix </t>
    </r>
    <r>
      <rPr>
        <i/>
        <sz val="9"/>
        <color theme="1"/>
        <rFont val="Times New Roman"/>
        <family val="1"/>
      </rPr>
      <t>G</t>
    </r>
    <phoneticPr fontId="1"/>
  </si>
  <si>
    <t>°C</t>
    <phoneticPr fontId="1"/>
  </si>
  <si>
    <t>1;_/3.3M</t>
    <phoneticPr fontId="1"/>
  </si>
  <si>
    <t>2;_/3.3M</t>
    <phoneticPr fontId="1"/>
  </si>
  <si>
    <t>1;_/3.2M</t>
    <phoneticPr fontId="1"/>
  </si>
  <si>
    <t>3;_/3.2M</t>
    <phoneticPr fontId="1"/>
  </si>
  <si>
    <r>
      <t>3000; SK</t>
    </r>
    <r>
      <rPr>
        <vertAlign val="subscript"/>
        <sz val="9"/>
        <color theme="1"/>
        <rFont val="Times New Roman"/>
        <family val="1"/>
      </rPr>
      <t>h</t>
    </r>
    <phoneticPr fontId="1"/>
  </si>
  <si>
    <r>
      <t>°</t>
    </r>
    <r>
      <rPr>
        <sz val="9"/>
        <color theme="1"/>
        <rFont val="ＭＳ Ｐ明朝"/>
        <family val="1"/>
        <charset val="128"/>
      </rPr>
      <t>Ｃ</t>
    </r>
    <phoneticPr fontId="1"/>
  </si>
  <si>
    <t>10;</t>
  </si>
  <si>
    <t>100;</t>
  </si>
  <si>
    <t>1000;</t>
  </si>
  <si>
    <t>1,0000;</t>
  </si>
  <si>
    <t>@</t>
    <phoneticPr fontId="1"/>
  </si>
  <si>
    <t>octal radix point</t>
    <phoneticPr fontId="1"/>
  </si>
  <si>
    <t>.</t>
    <phoneticPr fontId="1"/>
  </si>
  <si>
    <t>decimal radix point</t>
    <phoneticPr fontId="1"/>
  </si>
  <si>
    <t>;</t>
    <phoneticPr fontId="1"/>
  </si>
  <si>
    <t>duodecimal radix point</t>
    <phoneticPr fontId="1"/>
  </si>
  <si>
    <t>digit group separator</t>
    <phoneticPr fontId="1"/>
  </si>
  <si>
    <r>
      <t>HH</t>
    </r>
    <r>
      <rPr>
        <b/>
        <sz val="9"/>
        <color theme="1"/>
        <rFont val="Times New Roman"/>
        <family val="1"/>
      </rPr>
      <t xml:space="preserve"> : </t>
    </r>
    <r>
      <rPr>
        <sz val="9"/>
        <color theme="1"/>
        <rFont val="Times New Roman"/>
        <family val="1"/>
      </rPr>
      <t>MM</t>
    </r>
    <phoneticPr fontId="1"/>
  </si>
  <si>
    <r>
      <t>CC</t>
    </r>
    <r>
      <rPr>
        <b/>
        <sz val="9"/>
        <color theme="1"/>
        <rFont val="Times New Roman"/>
        <family val="1"/>
      </rPr>
      <t xml:space="preserve"> `</t>
    </r>
    <r>
      <rPr>
        <sz val="9"/>
        <color theme="1"/>
        <rFont val="Times New Roman"/>
        <family val="1"/>
      </rPr>
      <t xml:space="preserve"> YY</t>
    </r>
    <phoneticPr fontId="1"/>
  </si>
  <si>
    <r>
      <t>MM</t>
    </r>
    <r>
      <rPr>
        <b/>
        <sz val="9"/>
        <color theme="1"/>
        <rFont val="Times New Roman"/>
        <family val="1"/>
      </rPr>
      <t xml:space="preserve"> ' </t>
    </r>
    <r>
      <rPr>
        <sz val="9"/>
        <color theme="1"/>
        <rFont val="Times New Roman"/>
        <family val="1"/>
      </rPr>
      <t>SS</t>
    </r>
    <phoneticPr fontId="1"/>
  </si>
  <si>
    <t>,</t>
    <phoneticPr fontId="1"/>
  </si>
  <si>
    <r>
      <t>The CC part unit is 2</t>
    </r>
    <r>
      <rPr>
        <vertAlign val="superscript"/>
        <sz val="9"/>
        <color theme="1"/>
        <rFont val="Times New Roman"/>
        <family val="1"/>
      </rPr>
      <t>6</t>
    </r>
    <r>
      <rPr>
        <sz val="9"/>
        <color theme="1"/>
        <rFont val="Times New Roman"/>
        <family val="1"/>
      </rPr>
      <t xml:space="preserve"> times of the YY part unit</t>
    </r>
    <phoneticPr fontId="1"/>
  </si>
  <si>
    <r>
      <t>The SS part unit is 2</t>
    </r>
    <r>
      <rPr>
        <vertAlign val="superscript"/>
        <sz val="9"/>
        <color theme="1"/>
        <rFont val="Times New Roman"/>
        <family val="1"/>
      </rPr>
      <t>-7</t>
    </r>
    <r>
      <rPr>
        <sz val="9"/>
        <color theme="1"/>
        <rFont val="Times New Roman"/>
        <family val="1"/>
      </rPr>
      <t xml:space="preserve"> times least significant digit of the MM part unit</t>
    </r>
    <phoneticPr fontId="1"/>
  </si>
  <si>
    <t>These are all pronounced 'point'</t>
    <phoneticPr fontId="1"/>
  </si>
  <si>
    <t>Constant</t>
    <phoneticPr fontId="1"/>
  </si>
  <si>
    <t>Value</t>
    <phoneticPr fontId="1"/>
  </si>
  <si>
    <t>Expression</t>
    <phoneticPr fontId="1"/>
  </si>
  <si>
    <t>Octal</t>
    <phoneticPr fontId="1"/>
  </si>
  <si>
    <t>http://dozenal.com</t>
    <phoneticPr fontId="1"/>
  </si>
  <si>
    <t>GCD of year and day (11minutes15seconds)</t>
    <phoneticPr fontId="1"/>
  </si>
  <si>
    <t>Please visit</t>
    <phoneticPr fontId="1"/>
  </si>
  <si>
    <t>Gravitic</t>
    <phoneticPr fontId="1"/>
  </si>
  <si>
    <t>Gravitic (0 sigma)</t>
    <phoneticPr fontId="1"/>
  </si>
  <si>
    <t>Gravitic (-1 sigma)</t>
    <phoneticPr fontId="1"/>
  </si>
  <si>
    <t>Gravitic (+1 sigma)</t>
    <phoneticPr fontId="1"/>
  </si>
  <si>
    <t>seconds</t>
    <phoneticPr fontId="1"/>
  </si>
  <si>
    <t>minutes</t>
    <phoneticPr fontId="1"/>
  </si>
  <si>
    <t>error/year</t>
    <phoneticPr fontId="1"/>
  </si>
  <si>
    <t>Typical photon energy (at 540THz)</t>
    <phoneticPr fontId="1"/>
  </si>
  <si>
    <t>minutes</t>
  </si>
  <si>
    <t>Gravitic (-1 sigma)</t>
    <phoneticPr fontId="1"/>
  </si>
  <si>
    <t>Gravitic (-1 sigma)</t>
    <phoneticPr fontId="1"/>
  </si>
  <si>
    <t>Gravitic (-1 sigma)</t>
    <phoneticPr fontId="1"/>
  </si>
  <si>
    <t>sigma</t>
    <phoneticPr fontId="1"/>
  </si>
  <si>
    <t>The age of the solar system (4.6 billion years)</t>
    <phoneticPr fontId="1"/>
  </si>
  <si>
    <t>two over dozen (sixth)</t>
    <phoneticPr fontId="1"/>
  </si>
  <si>
    <t>Proton mass</t>
    <phoneticPr fontId="1"/>
  </si>
  <si>
    <t>Mikhail Vlasov</t>
    <phoneticPr fontId="1"/>
  </si>
  <si>
    <t>Planck force</t>
    <phoneticPr fontId="1"/>
  </si>
  <si>
    <t>μ</t>
    <phoneticPr fontId="1"/>
  </si>
  <si>
    <t>μ^9×α^(-11)</t>
    <phoneticPr fontId="1"/>
  </si>
  <si>
    <t>(5*radix) separator</t>
    <phoneticPr fontId="1"/>
  </si>
  <si>
    <t>The MM part unit is 1/(5*radix) times of the HH part unit</t>
    <phoneticPr fontId="1"/>
  </si>
  <si>
    <t>*</t>
    <phoneticPr fontId="1"/>
  </si>
  <si>
    <t>/</t>
    <phoneticPr fontId="1"/>
  </si>
  <si>
    <t>_</t>
    <phoneticPr fontId="1"/>
  </si>
  <si>
    <t>^</t>
    <phoneticPr fontId="1"/>
  </si>
  <si>
    <t>+</t>
    <phoneticPr fontId="1"/>
  </si>
  <si>
    <t>-</t>
    <phoneticPr fontId="1"/>
  </si>
  <si>
    <t>upper right suffix symbol</t>
    <phoneticPr fontId="1"/>
  </si>
  <si>
    <t>multiplication symbol</t>
    <phoneticPr fontId="1"/>
  </si>
  <si>
    <t>division symbol</t>
    <phoneticPr fontId="1"/>
  </si>
  <si>
    <t>cosmic symbol</t>
    <phoneticPr fontId="1"/>
  </si>
  <si>
    <t>atomic symbol</t>
    <phoneticPr fontId="1"/>
  </si>
  <si>
    <r>
      <t>2</t>
    </r>
    <r>
      <rPr>
        <vertAlign val="superscript"/>
        <sz val="9"/>
        <color theme="1"/>
        <rFont val="Times New Roman"/>
        <family val="1"/>
      </rPr>
      <t>6</t>
    </r>
    <r>
      <rPr>
        <sz val="9"/>
        <color theme="1"/>
        <rFont val="Times New Roman"/>
        <family val="1"/>
      </rPr>
      <t xml:space="preserve"> separator</t>
    </r>
    <phoneticPr fontId="1"/>
  </si>
  <si>
    <r>
      <t>2</t>
    </r>
    <r>
      <rPr>
        <vertAlign val="superscript"/>
        <sz val="9"/>
        <color theme="1"/>
        <rFont val="Times New Roman"/>
        <family val="1"/>
      </rPr>
      <t>7</t>
    </r>
    <r>
      <rPr>
        <sz val="9"/>
        <color theme="1"/>
        <rFont val="Times New Roman"/>
        <family val="1"/>
      </rPr>
      <t xml:space="preserve"> separator</t>
    </r>
    <phoneticPr fontId="1"/>
  </si>
  <si>
    <t>8 feet</t>
    <phoneticPr fontId="1"/>
  </si>
  <si>
    <t>≒</t>
    <phoneticPr fontId="1"/>
  </si>
  <si>
    <t>9 harmons</t>
    <phoneticPr fontId="1"/>
  </si>
  <si>
    <t>9 double hours</t>
    <phoneticPr fontId="1"/>
  </si>
  <si>
    <t>14 ounces</t>
    <phoneticPr fontId="1"/>
  </si>
  <si>
    <t>3 loolohs</t>
    <phoneticPr fontId="1"/>
  </si>
  <si>
    <t>(1/2)harmon*(1/2)harmon*(3/4)harmon</t>
    <phoneticPr fontId="1"/>
  </si>
  <si>
    <t>1 gallon(US liquid)</t>
    <phoneticPr fontId="1"/>
  </si>
  <si>
    <t>40 NTSC frames</t>
    <phoneticPr fontId="1"/>
  </si>
  <si>
    <t>3;5 harmonic seconds</t>
    <phoneticPr fontId="1"/>
  </si>
  <si>
    <t>the Harmonic System</t>
    <phoneticPr fontId="1"/>
  </si>
  <si>
    <t>error</t>
    <phoneticPr fontId="1"/>
  </si>
  <si>
    <t>3 acres</t>
    <phoneticPr fontId="1"/>
  </si>
  <si>
    <t>3 cubes</t>
    <phoneticPr fontId="1"/>
  </si>
  <si>
    <t>16 gallons(US liquid)</t>
    <phoneticPr fontId="1"/>
  </si>
  <si>
    <t>1 cubic centi meter</t>
    <phoneticPr fontId="1"/>
  </si>
  <si>
    <t>1 sub cube</t>
    <phoneticPr fontId="1"/>
  </si>
  <si>
    <t>3;6 cubes</t>
    <phoneticPr fontId="1"/>
  </si>
  <si>
    <t>16 gallon(US dry)</t>
    <phoneticPr fontId="1"/>
  </si>
  <si>
    <t>regacy units</t>
    <phoneticPr fontId="1"/>
  </si>
  <si>
    <t>40 imperial gallon</t>
    <phoneticPr fontId="1"/>
  </si>
  <si>
    <t>9 cubes</t>
    <phoneticPr fontId="1"/>
  </si>
  <si>
    <r>
      <t>Ω</t>
    </r>
    <r>
      <rPr>
        <b/>
        <i/>
        <vertAlign val="subscript"/>
        <sz val="9"/>
        <color rgb="FF000000"/>
        <rFont val="Times New Roman"/>
        <family val="1"/>
      </rPr>
      <t>2</t>
    </r>
    <phoneticPr fontId="1"/>
  </si>
  <si>
    <t>The Gravitic Universal Unit System</t>
    <phoneticPr fontId="1"/>
  </si>
  <si>
    <t>atomic dour</t>
  </si>
  <si>
    <t>dour</t>
  </si>
  <si>
    <t>cosmic dour</t>
  </si>
  <si>
    <t>major prefixes</t>
    <phoneticPr fontId="1"/>
  </si>
  <si>
    <t>power prefixes</t>
    <phoneticPr fontId="1"/>
  </si>
  <si>
    <t>atomic hecty</t>
  </si>
  <si>
    <t>hecty</t>
  </si>
  <si>
    <t>cosmic hecty</t>
  </si>
  <si>
    <t>atomic kily</t>
  </si>
  <si>
    <t>cosmic kily</t>
  </si>
  <si>
    <t>Labii reatum</t>
  </si>
  <si>
    <t>la</t>
    <phoneticPr fontId="1"/>
  </si>
  <si>
    <t>lal</t>
    <phoneticPr fontId="1"/>
  </si>
  <si>
    <t>kily</t>
    <phoneticPr fontId="1"/>
  </si>
  <si>
    <t>la</t>
    <phoneticPr fontId="1"/>
  </si>
  <si>
    <t>Gravitational radius of the Earth</t>
    <phoneticPr fontId="1"/>
  </si>
  <si>
    <t>Equatorial radius of the Earth</t>
    <phoneticPr fontId="1"/>
  </si>
  <si>
    <t>Meridian length of the Earth / 4</t>
    <phoneticPr fontId="1"/>
  </si>
  <si>
    <t>Gravitational radius of the Sun</t>
    <phoneticPr fontId="1"/>
  </si>
  <si>
    <t>Earth gravity</t>
    <phoneticPr fontId="1"/>
  </si>
  <si>
    <t>g_E</t>
    <phoneticPr fontId="1"/>
  </si>
  <si>
    <r>
      <t>rad</t>
    </r>
    <r>
      <rPr>
        <b/>
        <vertAlign val="superscript"/>
        <sz val="9"/>
        <color rgb="FF000000"/>
        <rFont val="Times New Roman"/>
        <family val="1"/>
      </rPr>
      <t>2</t>
    </r>
    <phoneticPr fontId="1"/>
  </si>
  <si>
    <r>
      <t>reciprocal Avogadro constant (</t>
    </r>
    <r>
      <rPr>
        <b/>
        <i/>
        <sz val="9"/>
        <color rgb="FF000000"/>
        <rFont val="Times New Roman"/>
        <family val="1"/>
      </rPr>
      <t>N</t>
    </r>
    <r>
      <rPr>
        <b/>
        <vertAlign val="subscript"/>
        <sz val="8"/>
        <color rgb="FF000000"/>
        <rFont val="Times New Roman"/>
        <family val="1"/>
      </rPr>
      <t>A</t>
    </r>
    <r>
      <rPr>
        <b/>
        <vertAlign val="superscript"/>
        <sz val="9"/>
        <color rgb="FF000000"/>
        <rFont val="Times New Roman"/>
        <family val="1"/>
      </rPr>
      <t>-1</t>
    </r>
    <r>
      <rPr>
        <sz val="9"/>
        <color rgb="FF000000"/>
        <rFont val="Times New Roman"/>
        <family val="1"/>
      </rPr>
      <t>)</t>
    </r>
    <phoneticPr fontId="1"/>
  </si>
  <si>
    <t>the Boltzmann constant</t>
    <phoneticPr fontId="1"/>
  </si>
  <si>
    <t>'Boltzmann'</t>
    <phoneticPr fontId="1"/>
  </si>
  <si>
    <r>
      <t>12</t>
    </r>
    <r>
      <rPr>
        <b/>
        <vertAlign val="superscript"/>
        <sz val="16"/>
        <rFont val="ＭＳ Ｐゴシック"/>
        <family val="3"/>
        <charset val="128"/>
      </rPr>
      <t>1</t>
    </r>
    <phoneticPr fontId="30"/>
  </si>
  <si>
    <t>One gravitic second</t>
    <phoneticPr fontId="30"/>
  </si>
  <si>
    <r>
      <t>12</t>
    </r>
    <r>
      <rPr>
        <b/>
        <vertAlign val="superscript"/>
        <sz val="16"/>
        <rFont val="ＭＳ Ｐゴシック"/>
        <family val="3"/>
        <charset val="128"/>
      </rPr>
      <t>22</t>
    </r>
    <phoneticPr fontId="30"/>
  </si>
  <si>
    <r>
      <t>12</t>
    </r>
    <r>
      <rPr>
        <b/>
        <vertAlign val="superscript"/>
        <sz val="16"/>
        <rFont val="ＭＳ Ｐゴシック"/>
        <family val="3"/>
        <charset val="128"/>
      </rPr>
      <t>20</t>
    </r>
    <phoneticPr fontId="30"/>
  </si>
  <si>
    <t>The greatest common divisor 
of a tropical year and a day</t>
    <phoneticPr fontId="30"/>
  </si>
  <si>
    <r>
      <t>2</t>
    </r>
    <r>
      <rPr>
        <b/>
        <vertAlign val="superscript"/>
        <sz val="16"/>
        <rFont val="ＭＳ Ｐゴシック"/>
        <family val="3"/>
        <charset val="128"/>
      </rPr>
      <t>6</t>
    </r>
    <phoneticPr fontId="30"/>
  </si>
  <si>
    <t>One day</t>
    <phoneticPr fontId="30"/>
  </si>
  <si>
    <r>
      <t>12</t>
    </r>
    <r>
      <rPr>
        <b/>
        <vertAlign val="superscript"/>
        <sz val="16"/>
        <rFont val="ＭＳ Ｐゴシック"/>
        <family val="3"/>
        <charset val="128"/>
      </rPr>
      <t>6</t>
    </r>
    <phoneticPr fontId="30"/>
  </si>
  <si>
    <t>One tropical year</t>
    <phoneticPr fontId="30"/>
  </si>
  <si>
    <t>One octal century</t>
    <phoneticPr fontId="30"/>
  </si>
  <si>
    <r>
      <t>12</t>
    </r>
    <r>
      <rPr>
        <b/>
        <vertAlign val="superscript"/>
        <sz val="16"/>
        <rFont val="ＭＳ Ｐゴシック"/>
        <family val="3"/>
        <charset val="128"/>
      </rPr>
      <t>7</t>
    </r>
    <phoneticPr fontId="30"/>
  </si>
  <si>
    <t>The age of the solar system</t>
    <phoneticPr fontId="30"/>
  </si>
  <si>
    <t>The age of the universe</t>
    <phoneticPr fontId="30"/>
  </si>
  <si>
    <t>One cycle time corresponding to
the Rydberg constant</t>
    <phoneticPr fontId="1"/>
  </si>
  <si>
    <t>4π</t>
    <phoneticPr fontId="1"/>
  </si>
  <si>
    <t>α</t>
    <phoneticPr fontId="1"/>
  </si>
  <si>
    <r>
      <t>12</t>
    </r>
    <r>
      <rPr>
        <b/>
        <vertAlign val="superscript"/>
        <sz val="16"/>
        <rFont val="ＭＳ Ｐゴシック"/>
        <family val="3"/>
        <charset val="128"/>
      </rPr>
      <t>57</t>
    </r>
    <phoneticPr fontId="30"/>
  </si>
  <si>
    <t>One half-day</t>
    <phoneticPr fontId="1"/>
  </si>
  <si>
    <r>
      <t>3</t>
    </r>
    <r>
      <rPr>
        <b/>
        <vertAlign val="superscript"/>
        <sz val="16"/>
        <rFont val="ＭＳ Ｐゴシック"/>
        <family val="3"/>
        <charset val="128"/>
      </rPr>
      <t>+6</t>
    </r>
    <r>
      <rPr>
        <b/>
        <sz val="16"/>
        <color theme="0" tint="-0.499984740745262"/>
        <rFont val="ＭＳ Ｐゴシック"/>
        <family val="3"/>
        <charset val="128"/>
      </rPr>
      <t>+3</t>
    </r>
    <r>
      <rPr>
        <b/>
        <vertAlign val="superscript"/>
        <sz val="16"/>
        <color theme="0" tint="-0.499984740745262"/>
        <rFont val="ＭＳ Ｐゴシック"/>
        <family val="3"/>
        <charset val="128"/>
      </rPr>
      <t>+1</t>
    </r>
    <r>
      <rPr>
        <b/>
        <sz val="16"/>
        <color theme="0" tint="-0.499984740745262"/>
        <rFont val="ＭＳ Ｐゴシック"/>
        <family val="3"/>
        <charset val="128"/>
      </rPr>
      <t>×2</t>
    </r>
    <r>
      <rPr>
        <b/>
        <vertAlign val="superscript"/>
        <sz val="16"/>
        <color theme="0" tint="-0.499984740745262"/>
        <rFont val="ＭＳ Ｐゴシック"/>
        <family val="3"/>
        <charset val="128"/>
      </rPr>
      <t>-1</t>
    </r>
    <r>
      <rPr>
        <b/>
        <sz val="16"/>
        <color theme="0" tint="-0.499984740745262"/>
        <rFont val="ＭＳ Ｐゴシック"/>
        <family val="3"/>
        <charset val="128"/>
      </rPr>
      <t>-2</t>
    </r>
    <r>
      <rPr>
        <b/>
        <vertAlign val="superscript"/>
        <sz val="16"/>
        <color theme="0" tint="-0.499984740745262"/>
        <rFont val="ＭＳ Ｐゴシック"/>
        <family val="3"/>
        <charset val="128"/>
      </rPr>
      <t>-6</t>
    </r>
    <phoneticPr fontId="30"/>
  </si>
  <si>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</si>
  <si>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</si>
  <si>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</si>
  <si>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</si>
  <si>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</si>
  <si>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</si>
  <si>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</si>
  <si>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</si>
  <si>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</si>
  <si>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</si>
  <si>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</si>
  <si>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</si>
  <si>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m</t>
    <phoneticPr fontId="1"/>
  </si>
  <si>
    <t>n</t>
    <phoneticPr fontId="1"/>
  </si>
  <si>
    <t>o</t>
    <phoneticPr fontId="1"/>
  </si>
  <si>
    <t>p</t>
    <phoneticPr fontId="1"/>
  </si>
  <si>
    <t>r</t>
    <phoneticPr fontId="1"/>
  </si>
  <si>
    <t>s</t>
    <phoneticPr fontId="1"/>
  </si>
  <si>
    <t>t</t>
    <phoneticPr fontId="1"/>
  </si>
  <si>
    <t>v</t>
    <phoneticPr fontId="1"/>
  </si>
  <si>
    <t>w</t>
    <phoneticPr fontId="1"/>
  </si>
  <si>
    <t>x</t>
    <phoneticPr fontId="1"/>
  </si>
  <si>
    <t>y</t>
    <phoneticPr fontId="1"/>
  </si>
  <si>
    <t>z</t>
    <phoneticPr fontId="1"/>
  </si>
  <si>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</si>
  <si>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</si>
  <si>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</si>
  <si>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</si>
  <si>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</si>
  <si>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</si>
  <si>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</si>
  <si>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</si>
  <si>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</si>
  <si>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</si>
  <si>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</si>
  <si>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</si>
  <si>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M</t>
    <phoneticPr fontId="1"/>
  </si>
  <si>
    <t>N</t>
    <phoneticPr fontId="1"/>
  </si>
  <si>
    <t>O</t>
    <phoneticPr fontId="1"/>
  </si>
  <si>
    <t>P</t>
    <phoneticPr fontId="1"/>
  </si>
  <si>
    <t>R</t>
    <phoneticPr fontId="1"/>
  </si>
  <si>
    <t>The Planck time</t>
    <phoneticPr fontId="30"/>
  </si>
  <si>
    <t>'*' is pronounced 'times'</t>
    <phoneticPr fontId="1"/>
  </si>
  <si>
    <t>'/' is pronounced 'over'</t>
    <phoneticPr fontId="1"/>
  </si>
  <si>
    <r>
      <t>12</t>
    </r>
    <r>
      <rPr>
        <b/>
        <vertAlign val="superscript"/>
        <sz val="16"/>
        <rFont val="ＭＳ Ｐゴシック"/>
        <family val="3"/>
        <charset val="128"/>
      </rPr>
      <t>17</t>
    </r>
    <phoneticPr fontId="30"/>
  </si>
  <si>
    <t>core</t>
    <phoneticPr fontId="1"/>
  </si>
  <si>
    <t>geometrical</t>
    <phoneticPr fontId="1"/>
  </si>
  <si>
    <t>hours</t>
    <phoneticPr fontId="1"/>
  </si>
  <si>
    <t>hours</t>
    <phoneticPr fontId="1"/>
  </si>
  <si>
    <t>hour</t>
    <phoneticPr fontId="1"/>
  </si>
  <si>
    <t>1 year</t>
    <phoneticPr fontId="1"/>
  </si>
  <si>
    <t xml:space="preserve">If the age of the solar system is 24 hours </t>
    <phoneticPr fontId="1"/>
  </si>
  <si>
    <t>The age of the universe(13.80 billion years)</t>
    <phoneticPr fontId="1"/>
  </si>
  <si>
    <t>The time interval needed to light 
traveling across the Bohr radius distance</t>
    <phoneticPr fontId="30"/>
  </si>
  <si>
    <r>
      <t>f</t>
    </r>
    <r>
      <rPr>
        <b/>
        <i/>
        <vertAlign val="subscript"/>
        <sz val="9"/>
        <color rgb="FF000000"/>
        <rFont val="Times New Roman"/>
        <family val="1"/>
      </rPr>
      <t>k</t>
    </r>
    <r>
      <rPr>
        <sz val="9"/>
        <color rgb="FF000000"/>
        <rFont val="Times New Roman"/>
        <family val="1"/>
      </rPr>
      <t xml:space="preserve"> (</t>
    </r>
    <r>
      <rPr>
        <i/>
        <sz val="9"/>
        <color rgb="FF000000"/>
        <rFont val="Times New Roman"/>
        <family val="1"/>
      </rPr>
      <t>k</t>
    </r>
    <r>
      <rPr>
        <sz val="9"/>
        <color rgb="FF000000"/>
        <rFont val="Times New Roman"/>
        <family val="1"/>
      </rPr>
      <t>=1,d,4,8,..)</t>
    </r>
    <phoneticPr fontId="1"/>
  </si>
  <si>
    <r>
      <t>f</t>
    </r>
    <r>
      <rPr>
        <vertAlign val="subscript"/>
        <sz val="9"/>
        <color rgb="FF000000"/>
        <rFont val="Times New Roman"/>
        <family val="1"/>
      </rPr>
      <t>1</t>
    </r>
    <r>
      <rPr>
        <sz val="9"/>
        <color rgb="FF000000"/>
        <rFont val="Times New Roman"/>
        <family val="1"/>
      </rPr>
      <t xml:space="preserve"> is called 'bit'</t>
    </r>
    <phoneticPr fontId="1"/>
  </si>
  <si>
    <r>
      <t>f</t>
    </r>
    <r>
      <rPr>
        <vertAlign val="subscript"/>
        <sz val="9"/>
        <color rgb="FF000000"/>
        <rFont val="Times New Roman"/>
        <family val="1"/>
      </rPr>
      <t>d</t>
    </r>
    <r>
      <rPr>
        <sz val="9"/>
        <color rgb="FF000000"/>
        <rFont val="Times New Roman"/>
        <family val="1"/>
      </rPr>
      <t xml:space="preserve"> is called 'figure' (d = log12./log2)</t>
    </r>
    <phoneticPr fontId="1"/>
  </si>
  <si>
    <r>
      <t>f</t>
    </r>
    <r>
      <rPr>
        <vertAlign val="subscript"/>
        <sz val="9"/>
        <color rgb="FF000000"/>
        <rFont val="Times New Roman"/>
        <family val="1"/>
      </rPr>
      <t>4</t>
    </r>
    <r>
      <rPr>
        <sz val="9"/>
        <color rgb="FF000000"/>
        <rFont val="Times New Roman"/>
        <family val="1"/>
      </rPr>
      <t xml:space="preserve"> is called 'nibble'</t>
    </r>
    <phoneticPr fontId="1"/>
  </si>
  <si>
    <r>
      <t>f</t>
    </r>
    <r>
      <rPr>
        <vertAlign val="subscript"/>
        <sz val="9"/>
        <color rgb="FF000000"/>
        <rFont val="Times New Roman"/>
        <family val="1"/>
      </rPr>
      <t>8</t>
    </r>
    <r>
      <rPr>
        <sz val="9"/>
        <color rgb="FF000000"/>
        <rFont val="Times New Roman"/>
        <family val="1"/>
      </rPr>
      <t xml:space="preserve"> is called 'byte'</t>
    </r>
    <phoneticPr fontId="1"/>
  </si>
  <si>
    <r>
      <t xml:space="preserve">'mon' with </t>
    </r>
    <r>
      <rPr>
        <i/>
        <sz val="9"/>
        <color theme="1"/>
        <rFont val="Times New Roman"/>
        <family val="1"/>
      </rPr>
      <t>country name</t>
    </r>
    <phoneticPr fontId="1"/>
  </si>
  <si>
    <r>
      <t>10;</t>
    </r>
    <r>
      <rPr>
        <vertAlign val="superscript"/>
        <sz val="9"/>
        <color theme="1"/>
        <rFont val="Times New Roman"/>
        <family val="1"/>
      </rPr>
      <t>-1</t>
    </r>
    <r>
      <rPr>
        <sz val="9"/>
        <color theme="1"/>
        <rFont val="Times New Roman"/>
        <family val="1"/>
      </rPr>
      <t xml:space="preserve"> harmon</t>
    </r>
    <phoneticPr fontId="1"/>
  </si>
  <si>
    <t>'league'</t>
    <phoneticPr fontId="1"/>
  </si>
  <si>
    <t>100; times least valued currency unit</t>
    <phoneticPr fontId="1"/>
  </si>
  <si>
    <r>
      <rPr>
        <b/>
        <sz val="9"/>
        <color theme="1"/>
        <rFont val="Times New Roman"/>
        <family val="1"/>
      </rPr>
      <t>mon</t>
    </r>
    <r>
      <rPr>
        <vertAlign val="subscript"/>
        <sz val="9"/>
        <color theme="1"/>
        <rFont val="Times New Roman"/>
        <family val="1"/>
      </rPr>
      <t xml:space="preserve"> </t>
    </r>
    <r>
      <rPr>
        <i/>
        <vertAlign val="subscript"/>
        <sz val="9"/>
        <color theme="1"/>
        <rFont val="Times New Roman"/>
        <family val="1"/>
      </rPr>
      <t>country name</t>
    </r>
    <phoneticPr fontId="1"/>
  </si>
  <si>
    <r>
      <t>10;</t>
    </r>
    <r>
      <rPr>
        <vertAlign val="superscript"/>
        <sz val="9"/>
        <color rgb="FF000000"/>
        <rFont val="Times New Roman"/>
        <family val="1"/>
      </rPr>
      <t>1</t>
    </r>
    <phoneticPr fontId="1"/>
  </si>
  <si>
    <t>'dirac'</t>
    <phoneticPr fontId="1"/>
  </si>
  <si>
    <r>
      <t>Ω</t>
    </r>
    <r>
      <rPr>
        <b/>
        <vertAlign val="subscript"/>
        <sz val="9"/>
        <color rgb="FF000000"/>
        <rFont val="Times New Roman"/>
        <family val="1"/>
      </rPr>
      <t>1</t>
    </r>
    <phoneticPr fontId="1"/>
  </si>
  <si>
    <r>
      <t>1 Ω</t>
    </r>
    <r>
      <rPr>
        <vertAlign val="subscript"/>
        <sz val="9"/>
        <color rgb="FF000000"/>
        <rFont val="Times New Roman"/>
        <family val="1"/>
      </rPr>
      <t>1</t>
    </r>
    <phoneticPr fontId="1"/>
  </si>
  <si>
    <t>'day'</t>
    <phoneticPr fontId="1"/>
  </si>
  <si>
    <t>○</t>
    <phoneticPr fontId="1"/>
  </si>
  <si>
    <r>
      <t>10</t>
    </r>
    <r>
      <rPr>
        <vertAlign val="superscript"/>
        <sz val="9"/>
        <color theme="1"/>
        <rFont val="Times New Roman"/>
        <family val="1"/>
      </rPr>
      <t>7</t>
    </r>
    <r>
      <rPr>
        <sz val="9"/>
        <color theme="1"/>
        <rFont val="Times New Roman"/>
        <family val="1"/>
      </rPr>
      <t xml:space="preserve"> km / factor</t>
    </r>
    <phoneticPr fontId="1"/>
  </si>
  <si>
    <t>factor</t>
    <phoneticPr fontId="1"/>
  </si>
  <si>
    <r>
      <t>10</t>
    </r>
    <r>
      <rPr>
        <vertAlign val="superscript"/>
        <sz val="9"/>
        <color theme="1"/>
        <rFont val="Times New Roman"/>
        <family val="1"/>
      </rPr>
      <t>5</t>
    </r>
    <r>
      <rPr>
        <sz val="9"/>
        <color theme="1"/>
        <rFont val="Times New Roman"/>
        <family val="1"/>
      </rPr>
      <t xml:space="preserve"> s / factor</t>
    </r>
    <phoneticPr fontId="1"/>
  </si>
  <si>
    <t>electron / factor</t>
    <phoneticPr fontId="1"/>
  </si>
  <si>
    <t>Density of ice at the ice point * factor</t>
    <phoneticPr fontId="1"/>
  </si>
  <si>
    <t>○</t>
    <phoneticPr fontId="1"/>
  </si>
  <si>
    <t>T.Quinn et al.</t>
    <phoneticPr fontId="1"/>
  </si>
  <si>
    <t>atomic dirac</t>
  </si>
  <si>
    <t>dirac</t>
  </si>
  <si>
    <t>cosmic dirac</t>
  </si>
  <si>
    <t>sexty-cosmic dirac</t>
    <phoneticPr fontId="1"/>
  </si>
  <si>
    <t>eΩA</t>
    <phoneticPr fontId="1"/>
  </si>
  <si>
    <t>ΩA</t>
    <phoneticPr fontId="1"/>
  </si>
  <si>
    <t>ΩC</t>
    <phoneticPr fontId="1"/>
  </si>
  <si>
    <t>ΩG</t>
    <phoneticPr fontId="1"/>
  </si>
  <si>
    <t>difference</t>
    <phoneticPr fontId="1"/>
  </si>
  <si>
    <t>Tk</t>
    <phoneticPr fontId="1"/>
  </si>
  <si>
    <t>Gk</t>
    <phoneticPr fontId="1"/>
  </si>
  <si>
    <t>K</t>
    <phoneticPr fontId="1"/>
  </si>
  <si>
    <t>Md</t>
    <phoneticPr fontId="1"/>
  </si>
  <si>
    <t>Ad</t>
    <phoneticPr fontId="1"/>
  </si>
  <si>
    <t>Bz</t>
    <phoneticPr fontId="1"/>
  </si>
  <si>
    <t>Yu</t>
    <phoneticPr fontId="1"/>
  </si>
  <si>
    <t>Hy</t>
    <phoneticPr fontId="1"/>
  </si>
  <si>
    <t>Bo</t>
    <phoneticPr fontId="1"/>
  </si>
  <si>
    <t>Zp</t>
    <phoneticPr fontId="1"/>
  </si>
  <si>
    <t>Sa</t>
    <phoneticPr fontId="1"/>
  </si>
  <si>
    <t>Dv/Gk</t>
    <phoneticPr fontId="1"/>
  </si>
  <si>
    <t>Sa/Gk^2</t>
    <phoneticPr fontId="1"/>
  </si>
  <si>
    <t>Hs</t>
    <phoneticPr fontId="1"/>
  </si>
  <si>
    <t>Dv</t>
    <phoneticPr fontId="1"/>
  </si>
  <si>
    <t>Nx</t>
    <phoneticPr fontId="1"/>
  </si>
  <si>
    <t>Ed</t>
    <phoneticPr fontId="1"/>
  </si>
  <si>
    <t>Sn</t>
    <phoneticPr fontId="1"/>
  </si>
  <si>
    <t>Nx Gk^2</t>
    <phoneticPr fontId="1"/>
  </si>
  <si>
    <t>Radioactivity</t>
    <phoneticPr fontId="1"/>
  </si>
  <si>
    <t>Vi</t>
    <phoneticPr fontId="1"/>
  </si>
  <si>
    <t>Absorbed Dose</t>
    <phoneticPr fontId="1"/>
  </si>
  <si>
    <t>Sb</t>
    <phoneticPr fontId="1"/>
  </si>
  <si>
    <t>Equivalent Dose</t>
    <phoneticPr fontId="1"/>
  </si>
  <si>
    <t>Eg</t>
    <phoneticPr fontId="1"/>
  </si>
  <si>
    <t>Pa</t>
    <phoneticPr fontId="1"/>
  </si>
  <si>
    <t>C/m^2</t>
    <phoneticPr fontId="1"/>
  </si>
  <si>
    <t>Ω</t>
    <phoneticPr fontId="1"/>
  </si>
  <si>
    <t>12^5</t>
    <phoneticPr fontId="1"/>
  </si>
  <si>
    <t>12^6</t>
    <phoneticPr fontId="1"/>
  </si>
  <si>
    <t>12^7</t>
    <phoneticPr fontId="1"/>
  </si>
  <si>
    <t>10,0000;</t>
    <phoneticPr fontId="1"/>
  </si>
  <si>
    <t>100,0000;</t>
    <phoneticPr fontId="1"/>
  </si>
  <si>
    <t>1000,0000;</t>
    <phoneticPr fontId="1"/>
  </si>
  <si>
    <t>12^24</t>
    <phoneticPr fontId="1"/>
  </si>
  <si>
    <t>12^40</t>
    <phoneticPr fontId="1"/>
  </si>
  <si>
    <t>12^48</t>
    <phoneticPr fontId="1"/>
  </si>
  <si>
    <t>12^56</t>
    <phoneticPr fontId="1"/>
  </si>
  <si>
    <t>12^-1</t>
    <phoneticPr fontId="1"/>
  </si>
  <si>
    <t>12^-2</t>
    <phoneticPr fontId="1"/>
  </si>
  <si>
    <t>12^-3</t>
    <phoneticPr fontId="1"/>
  </si>
  <si>
    <t>12^-4</t>
    <phoneticPr fontId="1"/>
  </si>
  <si>
    <t>12^-5</t>
    <phoneticPr fontId="1"/>
  </si>
  <si>
    <t>12^-6</t>
    <phoneticPr fontId="1"/>
  </si>
  <si>
    <t>12^-7</t>
    <phoneticPr fontId="1"/>
  </si>
  <si>
    <t>12^-8</t>
    <phoneticPr fontId="1"/>
  </si>
  <si>
    <t>12^-56</t>
    <phoneticPr fontId="1"/>
  </si>
  <si>
    <t>12^-48</t>
    <phoneticPr fontId="1"/>
  </si>
  <si>
    <t>12^-40</t>
    <phoneticPr fontId="1"/>
  </si>
  <si>
    <t>12^-32</t>
    <phoneticPr fontId="1"/>
  </si>
  <si>
    <t>12^-24</t>
    <phoneticPr fontId="1"/>
  </si>
  <si>
    <t>12^-16</t>
    <phoneticPr fontId="1"/>
  </si>
  <si>
    <t>12^-128</t>
    <phoneticPr fontId="1"/>
  </si>
  <si>
    <t>12^-64</t>
    <phoneticPr fontId="1"/>
  </si>
  <si>
    <t>1 myriad years</t>
  </si>
  <si>
    <t>duodecimal myriad system for pure numbers</t>
  </si>
  <si>
    <t>myriad</t>
  </si>
  <si>
    <t>dozen myriad</t>
  </si>
  <si>
    <t>gross myriad</t>
  </si>
  <si>
    <t>Greek</t>
    <phoneticPr fontId="1"/>
  </si>
  <si>
    <t>6th power</t>
    <phoneticPr fontId="1"/>
  </si>
  <si>
    <t>7th power</t>
    <phoneticPr fontId="1"/>
  </si>
  <si>
    <t>6</t>
    <phoneticPr fontId="1"/>
  </si>
  <si>
    <t>7</t>
    <phoneticPr fontId="1"/>
  </si>
  <si>
    <t>revised from http://en.wikipedia.org/wiki/-yllion</t>
    <phoneticPr fontId="1"/>
  </si>
  <si>
    <r>
      <rPr>
        <sz val="9"/>
        <color theme="1"/>
        <rFont val="ＭＳ Ｐ明朝"/>
        <family val="1"/>
        <charset val="128"/>
      </rPr>
      <t>μ</t>
    </r>
    <r>
      <rPr>
        <sz val="9"/>
        <color theme="1"/>
        <rFont val="Times New Roman"/>
        <family val="1"/>
      </rPr>
      <t>F</t>
    </r>
    <phoneticPr fontId="1"/>
  </si>
  <si>
    <t>The diameter of the solar mass black hole</t>
    <phoneticPr fontId="1"/>
  </si>
  <si>
    <t>'di-'</t>
    <phoneticPr fontId="1"/>
  </si>
  <si>
    <t>'tetra-'</t>
    <phoneticPr fontId="1"/>
  </si>
  <si>
    <t>'penta-'</t>
    <phoneticPr fontId="1"/>
  </si>
  <si>
    <t>'hexa-'</t>
    <phoneticPr fontId="1"/>
  </si>
  <si>
    <t>'hepta-'</t>
    <phoneticPr fontId="1"/>
  </si>
  <si>
    <t>di-atomic sub</t>
  </si>
  <si>
    <t>di-atomic fa</t>
  </si>
  <si>
    <t>di-atomic milly</t>
  </si>
  <si>
    <t>di-atomic mi</t>
  </si>
  <si>
    <t>di-atomic centy</t>
  </si>
  <si>
    <t>di-atomic re</t>
  </si>
  <si>
    <t>di-atomic dour</t>
  </si>
  <si>
    <t>di-atomic do</t>
  </si>
  <si>
    <t>di-atomic</t>
  </si>
  <si>
    <t>di-atomic dirac</t>
  </si>
  <si>
    <t>di-atomic ut</t>
  </si>
  <si>
    <t>di-atomic hecty</t>
  </si>
  <si>
    <t>di-atomic ti</t>
  </si>
  <si>
    <t>di-atomic kily</t>
  </si>
  <si>
    <t>di-atomic la</t>
  </si>
  <si>
    <t>tetra-atomic</t>
  </si>
  <si>
    <t>tetra-atomic dirac</t>
  </si>
  <si>
    <t>tetra-atomic ut</t>
  </si>
  <si>
    <t>tetra-atomic hecty</t>
  </si>
  <si>
    <t>tetra-atomic ti</t>
  </si>
  <si>
    <t>tetra-atomic kily</t>
  </si>
  <si>
    <t>tetra-atomic la</t>
  </si>
  <si>
    <t>penta-cosmic milly</t>
  </si>
  <si>
    <t>penta-cosmic mi</t>
  </si>
  <si>
    <t>penta-cosmic centy</t>
  </si>
  <si>
    <t>penta-cosmic re</t>
  </si>
  <si>
    <t>penta-cosmic dour</t>
  </si>
  <si>
    <t>penta-cosmic do</t>
  </si>
  <si>
    <t>penta-cosmic</t>
  </si>
  <si>
    <t>penta-cosmic dirac</t>
  </si>
  <si>
    <t>penta-cosmic ut</t>
  </si>
  <si>
    <t>tetra-cosmic milly</t>
  </si>
  <si>
    <t>tetra-cosmic mi</t>
  </si>
  <si>
    <t>tetra-cosmic centy</t>
  </si>
  <si>
    <t>tetra-cosmic re</t>
  </si>
  <si>
    <t>tetra-cosmic dour</t>
  </si>
  <si>
    <t>tetra-cosmic do</t>
  </si>
  <si>
    <t>tetra-cosmic</t>
  </si>
  <si>
    <t>tetra-cosmic dirac</t>
  </si>
  <si>
    <t>tetra-cosmic ut</t>
  </si>
  <si>
    <t>tetra-cosmic hecty</t>
  </si>
  <si>
    <t>tetra-cosmic ti</t>
  </si>
  <si>
    <t>tetra-cosmic kily</t>
  </si>
  <si>
    <t>tetra-cosmic la</t>
  </si>
  <si>
    <t>tetra-cosmic so</t>
  </si>
  <si>
    <t>2;di-cosmic milly cycle / s</t>
  </si>
  <si>
    <t>di-cosmic milly</t>
  </si>
  <si>
    <t>di-cosmic mi</t>
  </si>
  <si>
    <t>di-cosmic centy</t>
  </si>
  <si>
    <t>di-cosmic re</t>
  </si>
  <si>
    <t>di-cosmic dour</t>
  </si>
  <si>
    <t>di-cosmic do</t>
  </si>
  <si>
    <t>di-cosmic</t>
  </si>
  <si>
    <t>di-cosmic dirac</t>
  </si>
  <si>
    <t>di-cosmic ut</t>
  </si>
  <si>
    <t>di-cosmic hecty</t>
  </si>
  <si>
    <t>di-cosmic ti</t>
  </si>
  <si>
    <t>di-cosmic kily</t>
  </si>
  <si>
    <t>di-cosmic la</t>
  </si>
  <si>
    <t>di-cosmic so</t>
  </si>
  <si>
    <r>
      <t>corresponding to</t>
    </r>
    <r>
      <rPr>
        <sz val="18"/>
        <color theme="1"/>
        <rFont val="ＭＳ Ｐゴシック"/>
        <family val="3"/>
        <charset val="128"/>
        <scheme val="minor"/>
      </rPr>
      <t xml:space="preserve"> 35</t>
    </r>
    <r>
      <rPr>
        <i/>
        <sz val="18"/>
        <color theme="1"/>
        <rFont val="ＭＳ Ｐゴシック"/>
        <family val="3"/>
        <charset val="128"/>
        <scheme val="minor"/>
      </rPr>
      <t>G</t>
    </r>
    <r>
      <rPr>
        <sz val="18"/>
        <color theme="1"/>
        <rFont val="ＭＳ Ｐゴシック"/>
        <family val="3"/>
        <charset val="128"/>
        <scheme val="minor"/>
      </rPr>
      <t>=</t>
    </r>
    <r>
      <rPr>
        <i/>
        <sz val="18"/>
        <color theme="1"/>
        <rFont val="ＭＳ Ｐゴシック"/>
        <family val="3"/>
        <charset val="128"/>
        <scheme val="minor"/>
      </rPr>
      <t>c</t>
    </r>
    <r>
      <rPr>
        <vertAlign val="subscript"/>
        <sz val="18"/>
        <color theme="1"/>
        <rFont val="ＭＳ Ｐゴシック"/>
        <family val="3"/>
        <charset val="128"/>
        <scheme val="minor"/>
      </rPr>
      <t>0</t>
    </r>
    <r>
      <rPr>
        <sz val="18"/>
        <color theme="1"/>
        <rFont val="ＭＳ Ｐゴシック"/>
        <family val="3"/>
        <charset val="128"/>
        <scheme val="minor"/>
      </rPr>
      <t>=</t>
    </r>
    <r>
      <rPr>
        <i/>
        <sz val="18"/>
        <color theme="1"/>
        <rFont val="ＭＳ Ｐゴシック"/>
        <family val="3"/>
        <charset val="128"/>
        <scheme val="minor"/>
      </rPr>
      <t>ħ</t>
    </r>
    <r>
      <rPr>
        <sz val="18"/>
        <color theme="1"/>
        <rFont val="ＭＳ Ｐゴシック"/>
        <family val="3"/>
        <charset val="128"/>
        <scheme val="minor"/>
      </rPr>
      <t>=</t>
    </r>
    <r>
      <rPr>
        <i/>
        <sz val="18"/>
        <color theme="1"/>
        <rFont val="ＭＳ Ｐゴシック"/>
        <family val="3"/>
        <charset val="128"/>
        <scheme val="minor"/>
      </rPr>
      <t>k</t>
    </r>
    <r>
      <rPr>
        <vertAlign val="subscript"/>
        <sz val="18"/>
        <color theme="1"/>
        <rFont val="ＭＳ Ｐゴシック"/>
        <family val="3"/>
        <charset val="128"/>
        <scheme val="minor"/>
      </rPr>
      <t>B</t>
    </r>
    <r>
      <rPr>
        <sz val="18"/>
        <color theme="1"/>
        <rFont val="ＭＳ Ｐゴシック"/>
        <family val="3"/>
        <charset val="128"/>
        <scheme val="minor"/>
      </rPr>
      <t>=</t>
    </r>
    <r>
      <rPr>
        <i/>
        <sz val="18"/>
        <color theme="1"/>
        <rFont val="ＭＳ Ｐゴシック"/>
        <family val="3"/>
        <charset val="128"/>
        <scheme val="minor"/>
      </rPr>
      <t>Z</t>
    </r>
    <r>
      <rPr>
        <vertAlign val="subscript"/>
        <sz val="18"/>
        <color theme="1"/>
        <rFont val="ＭＳ Ｐゴシック"/>
        <family val="3"/>
        <charset val="128"/>
        <scheme val="minor"/>
      </rPr>
      <t>P</t>
    </r>
    <r>
      <rPr>
        <sz val="18"/>
        <color theme="1"/>
        <rFont val="ＭＳ Ｐゴシック"/>
        <family val="3"/>
        <charset val="128"/>
        <scheme val="minor"/>
      </rPr>
      <t xml:space="preserve">=1 </t>
    </r>
    <phoneticPr fontId="1"/>
  </si>
  <si>
    <t>W_e</t>
    <phoneticPr fontId="1"/>
  </si>
  <si>
    <t>W_e/sr</t>
    <phoneticPr fontId="1"/>
  </si>
  <si>
    <t>W_e/Ω_2</t>
    <phoneticPr fontId="1"/>
  </si>
  <si>
    <t>W_e/m^2</t>
    <phoneticPr fontId="1"/>
  </si>
  <si>
    <t>J_e/g</t>
    <phoneticPr fontId="1"/>
  </si>
  <si>
    <t>1W/W_e</t>
    <phoneticPr fontId="1"/>
  </si>
  <si>
    <r>
      <t>1;bi-atomic effective Watt(W</t>
    </r>
    <r>
      <rPr>
        <vertAlign val="subscript"/>
        <sz val="9"/>
        <color theme="1"/>
        <rFont val="Times New Roman"/>
        <family val="1"/>
      </rPr>
      <t>2-e</t>
    </r>
    <r>
      <rPr>
        <sz val="9"/>
        <color theme="1"/>
        <rFont val="Times New Roman"/>
        <family val="1"/>
      </rPr>
      <t>) is defined as luminous flux generated by one photon of frequency 540THz per one harmonic second.</t>
    </r>
    <phoneticPr fontId="1"/>
  </si>
  <si>
    <r>
      <t>1;di-atomic effective Watt(W</t>
    </r>
    <r>
      <rPr>
        <vertAlign val="subscript"/>
        <sz val="9"/>
        <color theme="1"/>
        <rFont val="Times New Roman"/>
        <family val="1"/>
      </rPr>
      <t>2-e</t>
    </r>
    <r>
      <rPr>
        <sz val="9"/>
        <color theme="1"/>
        <rFont val="Times New Roman"/>
        <family val="1"/>
      </rPr>
      <t>) is defined as luminous flux generated by one photon of frequency 540THz per one harmonic second.</t>
    </r>
    <phoneticPr fontId="1"/>
  </si>
  <si>
    <t>minor prefixes</t>
    <phoneticPr fontId="1"/>
  </si>
  <si>
    <t xml:space="preserve">'atomic' </t>
    <phoneticPr fontId="1"/>
  </si>
  <si>
    <t xml:space="preserve">'cosmic' </t>
    <phoneticPr fontId="1"/>
  </si>
  <si>
    <t>'ter-'</t>
    <phoneticPr fontId="1"/>
  </si>
  <si>
    <t>‘dirac’ is used only when expressing the unit of the Gravitic System with the Harmonic System.</t>
    <phoneticPr fontId="1"/>
  </si>
  <si>
    <t>dillillino</t>
    <phoneticPr fontId="1"/>
  </si>
  <si>
    <t>unillillino</t>
    <phoneticPr fontId="1"/>
  </si>
  <si>
    <t>hexallino</t>
    <phoneticPr fontId="1"/>
  </si>
  <si>
    <t>pentallino</t>
    <phoneticPr fontId="1"/>
  </si>
  <si>
    <t>tetrallino</t>
    <phoneticPr fontId="1"/>
  </si>
  <si>
    <t>terllino</t>
    <phoneticPr fontId="1"/>
  </si>
  <si>
    <t>dillino</t>
    <phoneticPr fontId="1"/>
  </si>
  <si>
    <t>unillino</t>
    <phoneticPr fontId="1"/>
  </si>
  <si>
    <t>hexano</t>
    <phoneticPr fontId="1"/>
  </si>
  <si>
    <t>pentano</t>
    <phoneticPr fontId="1"/>
  </si>
  <si>
    <t>tetrano</t>
    <phoneticPr fontId="1"/>
  </si>
  <si>
    <t>terno</t>
    <phoneticPr fontId="1"/>
  </si>
  <si>
    <t>dino</t>
    <phoneticPr fontId="1"/>
  </si>
  <si>
    <t>unino</t>
    <phoneticPr fontId="1"/>
  </si>
  <si>
    <t>doz gross</t>
    <phoneticPr fontId="1"/>
  </si>
  <si>
    <t>doz gross myriad</t>
    <phoneticPr fontId="1"/>
  </si>
  <si>
    <t>unillion</t>
    <phoneticPr fontId="1"/>
  </si>
  <si>
    <t>dillion</t>
    <phoneticPr fontId="1"/>
  </si>
  <si>
    <t>terllion</t>
    <phoneticPr fontId="1"/>
  </si>
  <si>
    <t>tetrallion</t>
    <phoneticPr fontId="1"/>
  </si>
  <si>
    <t>pentallion</t>
    <phoneticPr fontId="1"/>
  </si>
  <si>
    <t>hexallion</t>
    <phoneticPr fontId="1"/>
  </si>
  <si>
    <t>heptallion</t>
    <phoneticPr fontId="1"/>
  </si>
  <si>
    <t>unillillion</t>
    <phoneticPr fontId="1"/>
  </si>
  <si>
    <t>dillillion</t>
    <phoneticPr fontId="1"/>
  </si>
  <si>
    <t>heptano</t>
    <phoneticPr fontId="1"/>
  </si>
  <si>
    <t>heptallino</t>
    <phoneticPr fontId="1"/>
  </si>
  <si>
    <t>Greek</t>
    <phoneticPr fontId="1"/>
  </si>
  <si>
    <t>ter-atomic sub</t>
  </si>
  <si>
    <t>ter-atomic fa</t>
  </si>
  <si>
    <t>ter-atomic milly</t>
  </si>
  <si>
    <t>ter-atomic mi</t>
  </si>
  <si>
    <t>ter-atomic centy</t>
  </si>
  <si>
    <t>ter-atomic re</t>
  </si>
  <si>
    <t>ter-atomic dour</t>
  </si>
  <si>
    <t>ter-atomic do</t>
  </si>
  <si>
    <t>ter-atomic</t>
  </si>
  <si>
    <t>ter-atomic dirac</t>
  </si>
  <si>
    <t>ter-atomic ut</t>
  </si>
  <si>
    <t>ter-atomic hecty</t>
  </si>
  <si>
    <t>ter-atomic ti</t>
  </si>
  <si>
    <t>ter-atomic kily</t>
  </si>
  <si>
    <t>ter-atomic la</t>
  </si>
  <si>
    <t>'.' and ',' exchange their roles each other in some counteres.</t>
  </si>
  <si>
    <t>ter-cosmic milly</t>
  </si>
  <si>
    <t>ter-cosmic mi</t>
  </si>
  <si>
    <t>ter-cosmic centy</t>
  </si>
  <si>
    <t>ter-cosmic re</t>
  </si>
  <si>
    <t>ter-cosmic dour</t>
  </si>
  <si>
    <t>ter-cosmic do</t>
  </si>
  <si>
    <t>ter-cosmic</t>
  </si>
  <si>
    <t>ter-cosmic dirac</t>
  </si>
  <si>
    <t>ter-cosmic ut</t>
  </si>
  <si>
    <t>ter-cosmic hecty</t>
  </si>
  <si>
    <t>ter-cosmic ti</t>
  </si>
  <si>
    <t>ter-cosmic kily</t>
  </si>
  <si>
    <t>ter-cosmic la</t>
  </si>
  <si>
    <t>ter-cosmic so</t>
  </si>
  <si>
    <t>dozen tetra-atomic</t>
    <phoneticPr fontId="1"/>
  </si>
  <si>
    <t>gross tetra-atomic</t>
    <phoneticPr fontId="1"/>
  </si>
  <si>
    <t>doz gross tetra-atomic</t>
    <phoneticPr fontId="1"/>
  </si>
  <si>
    <t>terno ter-atomic</t>
    <phoneticPr fontId="1"/>
  </si>
  <si>
    <t>dino ter-atomic</t>
    <phoneticPr fontId="1"/>
  </si>
  <si>
    <t>unino ter-atomic</t>
    <phoneticPr fontId="1"/>
  </si>
  <si>
    <t>dozen ter-atomic</t>
    <phoneticPr fontId="1"/>
  </si>
  <si>
    <t>gross ter-atomic</t>
    <phoneticPr fontId="1"/>
  </si>
  <si>
    <t>doz gross ter-atomic</t>
    <phoneticPr fontId="1"/>
  </si>
  <si>
    <t>terno di-atomic</t>
    <phoneticPr fontId="1"/>
  </si>
  <si>
    <t>dino di-atomic</t>
    <phoneticPr fontId="1"/>
  </si>
  <si>
    <t>unino di-atomic</t>
    <phoneticPr fontId="1"/>
  </si>
  <si>
    <t>dozen di-atomic</t>
    <phoneticPr fontId="1"/>
  </si>
  <si>
    <t>gross di-atomic</t>
    <phoneticPr fontId="1"/>
  </si>
  <si>
    <t>doz gross di-atomic</t>
    <phoneticPr fontId="1"/>
  </si>
  <si>
    <t>terno atomic</t>
    <phoneticPr fontId="1"/>
  </si>
  <si>
    <t>dino atomic</t>
    <phoneticPr fontId="1"/>
  </si>
  <si>
    <t>unino atomic</t>
    <phoneticPr fontId="1"/>
  </si>
  <si>
    <t>dozen atomic</t>
    <phoneticPr fontId="1"/>
  </si>
  <si>
    <t>gross atomic</t>
    <phoneticPr fontId="1"/>
  </si>
  <si>
    <t>doz gross atomic</t>
    <phoneticPr fontId="1"/>
  </si>
  <si>
    <t>terno</t>
    <phoneticPr fontId="1"/>
  </si>
  <si>
    <t>dino</t>
    <phoneticPr fontId="1"/>
  </si>
  <si>
    <t>unino</t>
    <phoneticPr fontId="1"/>
  </si>
  <si>
    <t>dozen</t>
    <phoneticPr fontId="1"/>
  </si>
  <si>
    <t>gross</t>
    <phoneticPr fontId="1"/>
  </si>
  <si>
    <t>terno cosmic</t>
    <phoneticPr fontId="1"/>
  </si>
  <si>
    <t>dino cosmic</t>
    <phoneticPr fontId="1"/>
  </si>
  <si>
    <t>unino cosmic</t>
    <phoneticPr fontId="1"/>
  </si>
  <si>
    <t>dozen cosmic</t>
    <phoneticPr fontId="1"/>
  </si>
  <si>
    <t>gross cosmic</t>
    <phoneticPr fontId="1"/>
  </si>
  <si>
    <t>doz gross cosmic</t>
    <phoneticPr fontId="1"/>
  </si>
  <si>
    <t>terno di-cosmic</t>
    <phoneticPr fontId="1"/>
  </si>
  <si>
    <t>dino di-cosmic</t>
    <phoneticPr fontId="1"/>
  </si>
  <si>
    <t>unino di-cosmic</t>
    <phoneticPr fontId="1"/>
  </si>
  <si>
    <t>dozen di-cosmic</t>
    <phoneticPr fontId="1"/>
  </si>
  <si>
    <t>gross di-cosmic</t>
    <phoneticPr fontId="1"/>
  </si>
  <si>
    <t>doz gross di-cosmic</t>
    <phoneticPr fontId="1"/>
  </si>
  <si>
    <t>terno ter-cosmic</t>
    <phoneticPr fontId="1"/>
  </si>
  <si>
    <t>dino ter-cosmic</t>
    <phoneticPr fontId="1"/>
  </si>
  <si>
    <t>unino ter-cosmic</t>
    <phoneticPr fontId="1"/>
  </si>
  <si>
    <t>dozen ter-cosmic</t>
    <phoneticPr fontId="1"/>
  </si>
  <si>
    <t>gross ter-cosmic</t>
    <phoneticPr fontId="1"/>
  </si>
  <si>
    <t>doz gross ter-cosmic</t>
    <phoneticPr fontId="1"/>
  </si>
  <si>
    <t>terno tetra-cosmic</t>
    <phoneticPr fontId="1"/>
  </si>
  <si>
    <t>dino tetra-cosmic</t>
    <phoneticPr fontId="1"/>
  </si>
  <si>
    <t>unino tetra-cosmic</t>
    <phoneticPr fontId="1"/>
  </si>
  <si>
    <t>dozen tetra-cosmic</t>
    <phoneticPr fontId="1"/>
  </si>
  <si>
    <t>gross tetra-cosmic</t>
    <phoneticPr fontId="1"/>
  </si>
  <si>
    <t>doz gross tetra-cosmic</t>
    <phoneticPr fontId="1"/>
  </si>
  <si>
    <t>terno penta-cosmic</t>
    <phoneticPr fontId="1"/>
  </si>
  <si>
    <t>dino penta-cosmic</t>
    <phoneticPr fontId="1"/>
  </si>
  <si>
    <t>unino penta-cosmic</t>
    <phoneticPr fontId="1"/>
  </si>
  <si>
    <t>/U^4</t>
  </si>
  <si>
    <t>/U^3@7</t>
  </si>
  <si>
    <t>/U^3@6</t>
  </si>
  <si>
    <t>/U^3@5</t>
  </si>
  <si>
    <t>/U^3@4</t>
  </si>
  <si>
    <t>/U^3@3</t>
  </si>
  <si>
    <t>/U^3@2</t>
  </si>
  <si>
    <t>/U^3@1</t>
  </si>
  <si>
    <t>/U^3</t>
  </si>
  <si>
    <t>/U^2@7</t>
  </si>
  <si>
    <t>/U^2@6</t>
  </si>
  <si>
    <t>/U^2@5</t>
  </si>
  <si>
    <t>/U^2@4</t>
  </si>
  <si>
    <t>/U^2@3</t>
  </si>
  <si>
    <t>/U^2@2</t>
  </si>
  <si>
    <t>/U^2@1</t>
  </si>
  <si>
    <t>/U^2</t>
  </si>
  <si>
    <t>/U^1@7</t>
  </si>
  <si>
    <t>/U^1@6</t>
  </si>
  <si>
    <t>/U^1@5</t>
  </si>
  <si>
    <t>/U^1@4</t>
  </si>
  <si>
    <t>/U^1@3</t>
  </si>
  <si>
    <t>/U^1@2</t>
  </si>
  <si>
    <t>/U^1@1</t>
  </si>
  <si>
    <t>/U</t>
  </si>
  <si>
    <t>/U^@7</t>
  </si>
  <si>
    <t>/U^@6</t>
  </si>
  <si>
    <t>/U^@5</t>
  </si>
  <si>
    <t>/U^@4</t>
  </si>
  <si>
    <t>/U^@3</t>
  </si>
  <si>
    <t>/U^@2</t>
  </si>
  <si>
    <t>/U^@1</t>
  </si>
  <si>
    <t>*U^@1</t>
  </si>
  <si>
    <t>*U^@2</t>
  </si>
  <si>
    <t>*U^@3</t>
  </si>
  <si>
    <t>*U^@4</t>
  </si>
  <si>
    <t>*U^@5</t>
  </si>
  <si>
    <t>*U^@6</t>
  </si>
  <si>
    <t>*U^@7</t>
  </si>
  <si>
    <t>*U</t>
  </si>
  <si>
    <t>*U^1@1</t>
  </si>
  <si>
    <t>*U^1@2</t>
  </si>
  <si>
    <t>*U^1@3</t>
  </si>
  <si>
    <t>*U^1@4</t>
  </si>
  <si>
    <t>*U^1@5</t>
  </si>
  <si>
    <t>*U^1@6</t>
  </si>
  <si>
    <t>*U^1@7</t>
  </si>
  <si>
    <t>*U^2</t>
  </si>
  <si>
    <t>*U^2@1</t>
  </si>
  <si>
    <t>*U^2@2</t>
  </si>
  <si>
    <t>*U^2@3</t>
  </si>
  <si>
    <t>*U^2@4</t>
  </si>
  <si>
    <t>*U^2@5</t>
  </si>
  <si>
    <t>*U^2@6</t>
  </si>
  <si>
    <t>*U^2@7</t>
  </si>
  <si>
    <t>*U^3</t>
  </si>
  <si>
    <t>*U^3@1</t>
  </si>
  <si>
    <t>*U^3@2</t>
  </si>
  <si>
    <t>*U^3@3</t>
  </si>
  <si>
    <t>*U^3@4</t>
  </si>
  <si>
    <t>*U^3@5</t>
  </si>
  <si>
    <t>*U^3@6</t>
  </si>
  <si>
    <t>*U^3@7</t>
  </si>
  <si>
    <t>*U^4</t>
  </si>
  <si>
    <t>*U^4@1</t>
  </si>
  <si>
    <t>*U^4@2</t>
  </si>
  <si>
    <t>*U^4@3</t>
  </si>
  <si>
    <t>*U^4@4</t>
  </si>
  <si>
    <t>*U^4@5</t>
  </si>
  <si>
    <t>*U^4@6</t>
  </si>
  <si>
    <t>*U^4@7</t>
  </si>
  <si>
    <t>*U^5</t>
  </si>
  <si>
    <t>*U^5@1</t>
  </si>
  <si>
    <t>When '+' is in the lower left suffix part</t>
    <phoneticPr fontId="1"/>
  </si>
  <si>
    <t>When '-' is in the lower left suffix part</t>
    <phoneticPr fontId="1"/>
  </si>
  <si>
    <t>1/U^20@</t>
  </si>
  <si>
    <t>1/U^10@</t>
  </si>
  <si>
    <t>1/U^7</t>
  </si>
  <si>
    <t>1/U^6</t>
  </si>
  <si>
    <t>1/U^5</t>
  </si>
  <si>
    <t>1/U^4</t>
  </si>
  <si>
    <t>1/U^3</t>
  </si>
  <si>
    <t>1/U^2</t>
  </si>
  <si>
    <t>1/U^1</t>
  </si>
  <si>
    <t>1/U^@7</t>
  </si>
  <si>
    <t>1/U^@6</t>
  </si>
  <si>
    <t>1/U^@5</t>
  </si>
  <si>
    <t>1/U^@4</t>
  </si>
  <si>
    <t>1/U^@3</t>
  </si>
  <si>
    <t>1/U^@2</t>
  </si>
  <si>
    <t>1/U^@1</t>
  </si>
  <si>
    <t>1*U^1</t>
  </si>
  <si>
    <t>1*U^2</t>
  </si>
  <si>
    <t>1*U^3</t>
  </si>
  <si>
    <t>1*U^4</t>
  </si>
  <si>
    <t>1*U^5</t>
  </si>
  <si>
    <t>1*U^6</t>
  </si>
  <si>
    <t>1*U^7</t>
  </si>
  <si>
    <t>1*U^10@</t>
  </si>
  <si>
    <t>1*U^20@</t>
  </si>
  <si>
    <t>lower left suffix symbol</t>
    <phoneticPr fontId="1"/>
  </si>
  <si>
    <t>penta-cosmic</t>
    <phoneticPr fontId="1"/>
  </si>
  <si>
    <t>dozen penta-cosmic</t>
    <phoneticPr fontId="1"/>
  </si>
  <si>
    <t>terno day</t>
    <phoneticPr fontId="1"/>
  </si>
  <si>
    <t>terno clock</t>
  </si>
  <si>
    <r>
      <t>2</t>
    </r>
    <r>
      <rPr>
        <vertAlign val="superscript"/>
        <sz val="9"/>
        <color rgb="FF000000"/>
        <rFont val="Times New Roman"/>
        <family val="1"/>
      </rPr>
      <t>-7</t>
    </r>
    <r>
      <rPr>
        <sz val="9"/>
        <color rgb="FF000000"/>
        <rFont val="Times New Roman"/>
        <family val="1"/>
      </rPr>
      <t>(1/128.) day</t>
    </r>
    <phoneticPr fontId="1"/>
  </si>
  <si>
    <t>'hyper'</t>
    <phoneticPr fontId="1"/>
  </si>
  <si>
    <t>hyper</t>
  </si>
  <si>
    <t>cosmic hyper</t>
  </si>
  <si>
    <t>di-cosmic hyper</t>
  </si>
  <si>
    <t>ter-cosmic hyper</t>
  </si>
  <si>
    <t>tetra-cosmic hyper</t>
  </si>
  <si>
    <t>8 hyper seconds</t>
    <phoneticPr fontId="1"/>
  </si>
  <si>
    <t>8 hyper squares</t>
    <phoneticPr fontId="1"/>
  </si>
  <si>
    <t>'degree H'</t>
    <phoneticPr fontId="1"/>
  </si>
  <si>
    <t>°H</t>
    <phoneticPr fontId="1"/>
  </si>
  <si>
    <r>
      <t>0</t>
    </r>
    <r>
      <rPr>
        <sz val="9"/>
        <color theme="1"/>
        <rFont val="ＭＳ Ｐ明朝"/>
        <family val="1"/>
        <charset val="128"/>
      </rPr>
      <t>°</t>
    </r>
    <r>
      <rPr>
        <sz val="9"/>
        <color theme="1"/>
        <rFont val="Times New Roman"/>
        <family val="1"/>
      </rPr>
      <t>H</t>
    </r>
    <phoneticPr fontId="1"/>
  </si>
  <si>
    <r>
      <t>61</t>
    </r>
    <r>
      <rPr>
        <sz val="9"/>
        <color theme="1"/>
        <rFont val="ＭＳ Ｐ明朝"/>
        <family val="1"/>
        <charset val="128"/>
      </rPr>
      <t>°</t>
    </r>
    <r>
      <rPr>
        <sz val="9"/>
        <color theme="1"/>
        <rFont val="Times New Roman"/>
        <family val="1"/>
      </rPr>
      <t>H</t>
    </r>
    <phoneticPr fontId="1"/>
  </si>
  <si>
    <r>
      <t>78</t>
    </r>
    <r>
      <rPr>
        <sz val="9"/>
        <color theme="1"/>
        <rFont val="ＭＳ Ｐ明朝"/>
        <family val="1"/>
        <charset val="128"/>
      </rPr>
      <t>°</t>
    </r>
    <r>
      <rPr>
        <sz val="9"/>
        <color theme="1"/>
        <rFont val="Times New Roman"/>
        <family val="1"/>
      </rPr>
      <t>H</t>
    </r>
    <phoneticPr fontId="1"/>
  </si>
  <si>
    <r>
      <t>100</t>
    </r>
    <r>
      <rPr>
        <sz val="9"/>
        <color theme="1"/>
        <rFont val="ＭＳ Ｐ明朝"/>
        <family val="1"/>
        <charset val="128"/>
      </rPr>
      <t>°</t>
    </r>
    <r>
      <rPr>
        <sz val="9"/>
        <color theme="1"/>
        <rFont val="Times New Roman"/>
        <family val="1"/>
      </rPr>
      <t>H</t>
    </r>
    <phoneticPr fontId="1"/>
  </si>
  <si>
    <r>
      <t>3000; HK</t>
    </r>
    <r>
      <rPr>
        <vertAlign val="subscript"/>
        <sz val="9"/>
        <color theme="1"/>
        <rFont val="Times New Roman"/>
        <family val="1"/>
      </rPr>
      <t>h</t>
    </r>
    <phoneticPr fontId="1"/>
  </si>
  <si>
    <r>
      <t>Ω</t>
    </r>
    <r>
      <rPr>
        <vertAlign val="subscript"/>
        <sz val="9"/>
        <color rgb="FF000000"/>
        <rFont val="Times New Roman"/>
        <family val="1"/>
      </rPr>
      <t>1</t>
    </r>
    <r>
      <rPr>
        <sz val="9"/>
        <color rgb="FF000000"/>
        <rFont val="Times New Roman"/>
        <family val="1"/>
      </rPr>
      <t xml:space="preserve"> is called 'cycle'</t>
    </r>
    <phoneticPr fontId="1"/>
  </si>
  <si>
    <r>
      <t>Ω</t>
    </r>
    <r>
      <rPr>
        <vertAlign val="subscript"/>
        <sz val="9"/>
        <color rgb="FF000000"/>
        <rFont val="Times New Roman"/>
        <family val="1"/>
      </rPr>
      <t>2</t>
    </r>
    <r>
      <rPr>
        <sz val="9"/>
        <color rgb="FF000000"/>
        <rFont val="Times New Roman"/>
        <family val="1"/>
      </rPr>
      <t xml:space="preserve"> is called 'turn'</t>
    </r>
    <phoneticPr fontId="1"/>
  </si>
  <si>
    <t>Gravitic (0 sigma)</t>
  </si>
  <si>
    <t>Gravitic (-1 sigma)</t>
  </si>
  <si>
    <t>Gravitic (+1 sigma)</t>
  </si>
  <si>
    <t>CODATA(2018)</t>
    <phoneticPr fontId="1"/>
  </si>
  <si>
    <t>one over myriad dillion unillillion</t>
    <phoneticPr fontId="1"/>
  </si>
  <si>
    <t>three over gross terllion</t>
    <phoneticPr fontId="1"/>
  </si>
  <si>
    <t>one over dozen terllion</t>
    <phoneticPr fontId="1"/>
  </si>
  <si>
    <t>one over myriad dillion</t>
    <phoneticPr fontId="1"/>
  </si>
  <si>
    <t>one over gross (dino)</t>
    <phoneticPr fontId="1"/>
  </si>
  <si>
    <t>one over dozen (unino)</t>
    <phoneticPr fontId="1"/>
  </si>
  <si>
    <t>one times gross myriad dillion</t>
    <phoneticPr fontId="1"/>
  </si>
  <si>
    <t>one times gross pentallion</t>
    <phoneticPr fontId="1"/>
  </si>
  <si>
    <t>sixth times heptallion</t>
    <phoneticPr fontId="1"/>
  </si>
  <si>
    <t>half times heptallion</t>
    <phoneticPr fontId="1"/>
  </si>
  <si>
    <t>one over dozen dillion</t>
    <phoneticPr fontId="1"/>
  </si>
  <si>
    <t xml:space="preserve">'nodus' </t>
    <phoneticPr fontId="1"/>
  </si>
  <si>
    <t>°̃</t>
    <phoneticPr fontId="1"/>
  </si>
  <si>
    <r>
      <rPr>
        <b/>
        <sz val="9"/>
        <color theme="1"/>
        <rFont val="Segoe UI Symbol"/>
        <family val="1"/>
      </rPr>
      <t>☆</t>
    </r>
    <r>
      <rPr>
        <b/>
        <sz val="9"/>
        <color theme="1"/>
        <rFont val="Segoe UI"/>
        <family val="1"/>
      </rPr>
      <t>̃</t>
    </r>
    <phoneticPr fontId="1"/>
  </si>
  <si>
    <t>sub ternon</t>
    <phoneticPr fontId="1"/>
  </si>
  <si>
    <r>
      <rPr>
        <b/>
        <sz val="9"/>
        <color rgb="FF000000"/>
        <rFont val="Segoe UI Symbol"/>
        <family val="1"/>
      </rPr>
      <t>☼</t>
    </r>
    <r>
      <rPr>
        <b/>
        <sz val="9"/>
        <color rgb="FF000000"/>
        <rFont val="Segoe UI"/>
        <family val="1"/>
      </rPr>
      <t>̃</t>
    </r>
    <phoneticPr fontId="1"/>
  </si>
  <si>
    <t>⌬̃</t>
    <phoneticPr fontId="1"/>
  </si>
  <si>
    <t>2 myriad hexons</t>
    <phoneticPr fontId="1"/>
  </si>
  <si>
    <t>1 gross myriad hexons</t>
    <phoneticPr fontId="1"/>
  </si>
  <si>
    <t>1 doz gross myriad hexons</t>
    <phoneticPr fontId="1"/>
  </si>
  <si>
    <t>2 doz gross myriad hexons</t>
    <phoneticPr fontId="1"/>
  </si>
  <si>
    <t>harmonic Tesla</t>
    <phoneticPr fontId="1"/>
  </si>
  <si>
    <t>'harmonic Tesla'</t>
    <phoneticPr fontId="1"/>
  </si>
  <si>
    <r>
      <rPr>
        <b/>
        <vertAlign val="subscript"/>
        <sz val="9"/>
        <color rgb="FF000000"/>
        <rFont val="Segoe UI Symbol"/>
        <family val="1"/>
      </rPr>
      <t>♮</t>
    </r>
    <r>
      <rPr>
        <b/>
        <sz val="9"/>
        <color rgb="FF000000"/>
        <rFont val="Times New Roman"/>
        <family val="1"/>
      </rPr>
      <t>mol</t>
    </r>
    <phoneticPr fontId="1"/>
  </si>
  <si>
    <r>
      <rPr>
        <b/>
        <vertAlign val="subscript"/>
        <sz val="9"/>
        <color rgb="FF000000"/>
        <rFont val="Segoe UI Symbol"/>
        <family val="1"/>
      </rPr>
      <t>♮</t>
    </r>
    <r>
      <rPr>
        <b/>
        <sz val="9"/>
        <color rgb="FF000000"/>
        <rFont val="Times New Roman"/>
        <family val="1"/>
      </rPr>
      <t xml:space="preserve">Ω  or  </t>
    </r>
    <r>
      <rPr>
        <b/>
        <i/>
        <sz val="9"/>
        <color rgb="FF000000"/>
        <rFont val="Times New Roman"/>
        <family val="1"/>
      </rPr>
      <t>Z</t>
    </r>
    <r>
      <rPr>
        <b/>
        <vertAlign val="subscript"/>
        <sz val="9"/>
        <color rgb="FF000000"/>
        <rFont val="Times New Roman"/>
        <family val="1"/>
      </rPr>
      <t>P</t>
    </r>
    <phoneticPr fontId="1"/>
  </si>
  <si>
    <r>
      <rPr>
        <b/>
        <vertAlign val="subscript"/>
        <sz val="9"/>
        <color rgb="FF000000"/>
        <rFont val="Times New Roman"/>
        <family val="1"/>
      </rPr>
      <t>±</t>
    </r>
    <r>
      <rPr>
        <b/>
        <sz val="9"/>
        <color rgb="FF000000"/>
        <rFont val="Times New Roman"/>
        <family val="1"/>
      </rPr>
      <t>h</t>
    </r>
    <phoneticPr fontId="1"/>
  </si>
  <si>
    <r>
      <rPr>
        <b/>
        <vertAlign val="subscript"/>
        <sz val="9"/>
        <color rgb="FF000000"/>
        <rFont val="Times New Roman"/>
        <family val="1"/>
      </rPr>
      <t>±</t>
    </r>
    <r>
      <rPr>
        <b/>
        <sz val="9"/>
        <color rgb="FF000000"/>
        <rFont val="Times New Roman"/>
        <family val="1"/>
      </rPr>
      <t>n</t>
    </r>
    <phoneticPr fontId="1"/>
  </si>
  <si>
    <r>
      <rPr>
        <b/>
        <vertAlign val="subscript"/>
        <sz val="9"/>
        <color rgb="FF000000"/>
        <rFont val="Times New Roman"/>
        <family val="1"/>
      </rPr>
      <t>±</t>
    </r>
    <r>
      <rPr>
        <b/>
        <sz val="9"/>
        <color rgb="FF000000"/>
        <rFont val="Times New Roman"/>
        <family val="1"/>
      </rPr>
      <t>J</t>
    </r>
    <phoneticPr fontId="1"/>
  </si>
  <si>
    <r>
      <rPr>
        <b/>
        <vertAlign val="subscript"/>
        <sz val="9"/>
        <color rgb="FF000000"/>
        <rFont val="Times New Roman"/>
        <family val="1"/>
      </rPr>
      <t>±</t>
    </r>
    <r>
      <rPr>
        <b/>
        <sz val="9"/>
        <color rgb="FF000000"/>
        <rFont val="Times New Roman"/>
        <family val="1"/>
      </rPr>
      <t>K</t>
    </r>
    <phoneticPr fontId="1"/>
  </si>
  <si>
    <t>±</t>
    <phoneticPr fontId="1"/>
  </si>
  <si>
    <r>
      <rPr>
        <b/>
        <vertAlign val="subscript"/>
        <sz val="9"/>
        <color rgb="FF000000"/>
        <rFont val="Times New Roman"/>
        <family val="1"/>
      </rPr>
      <t>±</t>
    </r>
    <r>
      <rPr>
        <b/>
        <sz val="9"/>
        <color rgb="FF000000"/>
        <rFont val="Times New Roman"/>
        <family val="1"/>
      </rPr>
      <t>W</t>
    </r>
    <phoneticPr fontId="1"/>
  </si>
  <si>
    <r>
      <rPr>
        <b/>
        <vertAlign val="subscript"/>
        <sz val="9"/>
        <color rgb="FF000000"/>
        <rFont val="Times New Roman"/>
        <family val="1"/>
      </rPr>
      <t>±</t>
    </r>
    <r>
      <rPr>
        <b/>
        <sz val="9"/>
        <color rgb="FF000000"/>
        <rFont val="Times New Roman"/>
        <family val="1"/>
      </rPr>
      <t>N</t>
    </r>
    <phoneticPr fontId="1"/>
  </si>
  <si>
    <r>
      <rPr>
        <b/>
        <vertAlign val="subscript"/>
        <sz val="9"/>
        <color rgb="FF000000"/>
        <rFont val="Times New Roman"/>
        <family val="1"/>
      </rPr>
      <t>±</t>
    </r>
    <r>
      <rPr>
        <b/>
        <sz val="9"/>
        <color rgb="FF000000"/>
        <rFont val="Times New Roman"/>
        <family val="1"/>
      </rPr>
      <t>P</t>
    </r>
    <phoneticPr fontId="1"/>
  </si>
  <si>
    <r>
      <rPr>
        <b/>
        <vertAlign val="subscript"/>
        <sz val="9"/>
        <color rgb="FF000000"/>
        <rFont val="Times New Roman"/>
        <family val="1"/>
      </rPr>
      <t>±</t>
    </r>
    <r>
      <rPr>
        <b/>
        <sz val="9"/>
        <color rgb="FF000000"/>
        <rFont val="Times New Roman"/>
        <family val="1"/>
      </rPr>
      <t>C</t>
    </r>
    <phoneticPr fontId="1"/>
  </si>
  <si>
    <r>
      <rPr>
        <b/>
        <vertAlign val="subscript"/>
        <sz val="9"/>
        <color rgb="FF000000"/>
        <rFont val="Times New Roman"/>
        <family val="1"/>
      </rPr>
      <t>±</t>
    </r>
    <r>
      <rPr>
        <b/>
        <sz val="9"/>
        <color rgb="FF000000"/>
        <rFont val="Times New Roman"/>
        <family val="1"/>
      </rPr>
      <t>A</t>
    </r>
    <phoneticPr fontId="1"/>
  </si>
  <si>
    <r>
      <rPr>
        <b/>
        <vertAlign val="subscript"/>
        <sz val="9"/>
        <color rgb="FF000000"/>
        <rFont val="Times New Roman"/>
        <family val="1"/>
      </rPr>
      <t>±</t>
    </r>
    <r>
      <rPr>
        <b/>
        <sz val="9"/>
        <color rgb="FF000000"/>
        <rFont val="Times New Roman"/>
        <family val="1"/>
      </rPr>
      <t>E</t>
    </r>
    <phoneticPr fontId="1"/>
  </si>
  <si>
    <r>
      <rPr>
        <b/>
        <vertAlign val="subscript"/>
        <sz val="9"/>
        <color rgb="FF000000"/>
        <rFont val="Times New Roman"/>
        <family val="1"/>
      </rPr>
      <t>±</t>
    </r>
    <r>
      <rPr>
        <b/>
        <sz val="9"/>
        <color rgb="FF000000"/>
        <rFont val="Times New Roman"/>
        <family val="1"/>
      </rPr>
      <t>T</t>
    </r>
    <phoneticPr fontId="1"/>
  </si>
  <si>
    <r>
      <rPr>
        <b/>
        <i/>
        <vertAlign val="subscript"/>
        <sz val="9"/>
        <color rgb="FF000000"/>
        <rFont val="Segoe UI Symbol"/>
        <family val="1"/>
      </rPr>
      <t>♮</t>
    </r>
    <r>
      <rPr>
        <b/>
        <sz val="9"/>
        <color rgb="FF000000"/>
        <rFont val="Calibri"/>
        <family val="1"/>
        <charset val="161"/>
      </rPr>
      <t>γ</t>
    </r>
    <r>
      <rPr>
        <b/>
        <sz val="9"/>
        <color rgb="FF000000"/>
        <rFont val="游ゴシック"/>
        <family val="1"/>
        <charset val="128"/>
      </rPr>
      <t xml:space="preserve"> </t>
    </r>
    <r>
      <rPr>
        <b/>
        <sz val="9"/>
        <color rgb="FF000000"/>
        <rFont val="Times New Roman"/>
        <family val="1"/>
      </rPr>
      <t>or</t>
    </r>
    <r>
      <rPr>
        <b/>
        <i/>
        <sz val="9"/>
        <color rgb="FF000000"/>
        <rFont val="游ゴシック"/>
        <family val="1"/>
        <charset val="128"/>
      </rPr>
      <t xml:space="preserve"> </t>
    </r>
    <r>
      <rPr>
        <b/>
        <i/>
        <sz val="9"/>
        <color rgb="FF000000"/>
        <rFont val="Times New Roman"/>
        <family val="1"/>
      </rPr>
      <t>c</t>
    </r>
    <r>
      <rPr>
        <b/>
        <vertAlign val="subscript"/>
        <sz val="9"/>
        <color rgb="FF000000"/>
        <rFont val="Times New Roman"/>
        <family val="1"/>
      </rPr>
      <t>0</t>
    </r>
    <phoneticPr fontId="1"/>
  </si>
  <si>
    <r>
      <rPr>
        <b/>
        <vertAlign val="subscript"/>
        <sz val="9"/>
        <color rgb="FF000000"/>
        <rFont val="Times New Roman"/>
        <family val="1"/>
      </rPr>
      <t>±</t>
    </r>
    <r>
      <rPr>
        <b/>
        <sz val="9"/>
        <color rgb="FF000000"/>
        <rFont val="Times New Roman"/>
        <family val="1"/>
      </rPr>
      <t>mol</t>
    </r>
    <r>
      <rPr>
        <b/>
        <i/>
        <vertAlign val="subscript"/>
        <sz val="9"/>
        <color rgb="FF000000"/>
        <rFont val="Times New Roman"/>
        <family val="1"/>
      </rPr>
      <t xml:space="preserve"> </t>
    </r>
    <r>
      <rPr>
        <i/>
        <sz val="9"/>
        <color rgb="FF000000"/>
        <rFont val="Times New Roman"/>
        <family val="1"/>
      </rPr>
      <t xml:space="preserve">substance symbol
</t>
    </r>
    <r>
      <rPr>
        <sz val="9"/>
        <color rgb="FF000000"/>
        <rFont val="Times New Roman"/>
        <family val="1"/>
      </rPr>
      <t>(ex.</t>
    </r>
    <r>
      <rPr>
        <i/>
        <sz val="9"/>
        <color rgb="FF000000"/>
        <rFont val="Times New Roman"/>
        <family val="1"/>
      </rPr>
      <t xml:space="preserve"> </t>
    </r>
    <r>
      <rPr>
        <i/>
        <vertAlign val="subscript"/>
        <sz val="9"/>
        <color rgb="FF000000"/>
        <rFont val="Times New Roman"/>
        <family val="1"/>
      </rPr>
      <t>±</t>
    </r>
    <r>
      <rPr>
        <sz val="9"/>
        <color rgb="FF000000"/>
        <rFont val="Times New Roman"/>
        <family val="1"/>
      </rPr>
      <t>molCO</t>
    </r>
    <r>
      <rPr>
        <vertAlign val="subscript"/>
        <sz val="9"/>
        <color rgb="FF000000"/>
        <rFont val="Times New Roman"/>
        <family val="1"/>
      </rPr>
      <t>2</t>
    </r>
    <r>
      <rPr>
        <i/>
        <sz val="9"/>
        <color rgb="FF000000"/>
        <rFont val="Times New Roman"/>
        <family val="1"/>
      </rPr>
      <t>)</t>
    </r>
    <phoneticPr fontId="1"/>
  </si>
  <si>
    <t>♭</t>
    <phoneticPr fontId="1"/>
  </si>
  <si>
    <t>♯</t>
    <phoneticPr fontId="1"/>
  </si>
  <si>
    <r>
      <t>-</t>
    </r>
    <r>
      <rPr>
        <vertAlign val="subscript"/>
        <sz val="9"/>
        <color theme="1"/>
        <rFont val="Times New Roman"/>
        <family val="1"/>
      </rPr>
      <t xml:space="preserve"> </t>
    </r>
    <phoneticPr fontId="1"/>
  </si>
  <si>
    <t xml:space="preserve"> 'nic'</t>
    <phoneticPr fontId="1"/>
  </si>
  <si>
    <t>'harmon'</t>
    <phoneticPr fontId="1"/>
  </si>
  <si>
    <t>'looloh'</t>
    <phoneticPr fontId="1"/>
  </si>
  <si>
    <t>'nohm'</t>
    <phoneticPr fontId="1"/>
  </si>
  <si>
    <t xml:space="preserve">'ternon' </t>
    <phoneticPr fontId="1"/>
  </si>
  <si>
    <t>'tertia'</t>
    <phoneticPr fontId="1"/>
  </si>
  <si>
    <t>'unitia'</t>
    <phoneticPr fontId="1"/>
  </si>
  <si>
    <t>'ditia'</t>
    <phoneticPr fontId="1"/>
  </si>
  <si>
    <r>
      <rPr>
        <b/>
        <sz val="9"/>
        <color rgb="FF000000"/>
        <rFont val="Segoe UI Symbol"/>
        <family val="1"/>
      </rPr>
      <t>☽</t>
    </r>
    <r>
      <rPr>
        <b/>
        <sz val="9"/>
        <color rgb="FF000000"/>
        <rFont val="Segoe UI"/>
        <family val="1"/>
      </rPr>
      <t>̃</t>
    </r>
    <phoneticPr fontId="1"/>
  </si>
  <si>
    <t>'hexon'</t>
    <phoneticPr fontId="1"/>
  </si>
  <si>
    <r>
      <t>10;</t>
    </r>
    <r>
      <rPr>
        <vertAlign val="superscript"/>
        <sz val="9"/>
        <color rgb="FF000000"/>
        <rFont val="Times New Roman"/>
        <family val="1"/>
      </rPr>
      <t>-1</t>
    </r>
    <r>
      <rPr>
        <sz val="9"/>
        <color rgb="FF000000"/>
        <rFont val="Times New Roman"/>
        <family val="1"/>
      </rPr>
      <t xml:space="preserve"> year</t>
    </r>
    <phoneticPr fontId="1"/>
  </si>
  <si>
    <t>'month</t>
    <phoneticPr fontId="1"/>
  </si>
  <si>
    <t>′̃</t>
    <phoneticPr fontId="1"/>
  </si>
  <si>
    <t>″̃</t>
    <phoneticPr fontId="1"/>
  </si>
  <si>
    <t>‴̃</t>
    <phoneticPr fontId="1"/>
  </si>
  <si>
    <r>
      <rPr>
        <b/>
        <sz val="9"/>
        <color theme="1"/>
        <rFont val="Segoe UI Symbol"/>
        <family val="1"/>
      </rPr>
      <t>▽</t>
    </r>
    <r>
      <rPr>
        <b/>
        <sz val="9"/>
        <color theme="1"/>
        <rFont val="Segoe UI"/>
        <family val="1"/>
      </rPr>
      <t>̃</t>
    </r>
    <phoneticPr fontId="1"/>
  </si>
  <si>
    <r>
      <rPr>
        <b/>
        <vertAlign val="subscript"/>
        <sz val="9"/>
        <color theme="1"/>
        <rFont val="Segoe UI Symbol"/>
        <family val="1"/>
      </rPr>
      <t>♯</t>
    </r>
    <r>
      <rPr>
        <b/>
        <sz val="9"/>
        <color theme="1"/>
        <rFont val="Times New Roman"/>
        <family val="1"/>
      </rPr>
      <t>h</t>
    </r>
    <phoneticPr fontId="1"/>
  </si>
  <si>
    <t>prefix</t>
    <phoneticPr fontId="1"/>
  </si>
  <si>
    <t>prefix meaning</t>
    <phoneticPr fontId="1"/>
  </si>
  <si>
    <t>'harmonic universal second' or simply 'nic'</t>
    <phoneticPr fontId="1"/>
  </si>
  <si>
    <t>'harmonic universal meter' or simply 'harmon'</t>
    <phoneticPr fontId="1"/>
  </si>
  <si>
    <r>
      <t>The overline is added when the unit is used for phone pressure.
 (ex. effective Pascal[</t>
    </r>
    <r>
      <rPr>
        <vertAlign val="subscript"/>
        <sz val="9"/>
        <color theme="1"/>
        <rFont val="Times New Roman"/>
        <family val="1"/>
      </rPr>
      <t>±</t>
    </r>
    <r>
      <rPr>
        <sz val="9"/>
        <color theme="1"/>
        <rFont val="Times New Roman"/>
        <family val="1"/>
      </rPr>
      <t>P̅])</t>
    </r>
    <phoneticPr fontId="1"/>
  </si>
  <si>
    <r>
      <rPr>
        <b/>
        <vertAlign val="subscript"/>
        <sz val="9"/>
        <color rgb="FF000000"/>
        <rFont val="Times New Roman"/>
        <family val="1"/>
      </rPr>
      <t>±</t>
    </r>
    <r>
      <rPr>
        <b/>
        <sz val="9"/>
        <color rgb="FF000000"/>
        <rFont val="Times New Roman"/>
        <family val="1"/>
      </rPr>
      <t>l</t>
    </r>
    <phoneticPr fontId="1"/>
  </si>
  <si>
    <r>
      <t>10;</t>
    </r>
    <r>
      <rPr>
        <vertAlign val="superscript"/>
        <sz val="9"/>
        <color theme="1"/>
        <rFont val="Times New Roman"/>
        <family val="1"/>
      </rPr>
      <t>-2</t>
    </r>
    <r>
      <rPr>
        <sz val="9"/>
        <color theme="1"/>
        <rFont val="Times New Roman"/>
        <family val="1"/>
      </rPr>
      <t xml:space="preserve"> harmon</t>
    </r>
    <phoneticPr fontId="1"/>
  </si>
  <si>
    <r>
      <t>10;</t>
    </r>
    <r>
      <rPr>
        <vertAlign val="superscript"/>
        <sz val="9"/>
        <color theme="1"/>
        <rFont val="Times New Roman"/>
        <family val="1"/>
      </rPr>
      <t>-2</t>
    </r>
    <r>
      <rPr>
        <sz val="9"/>
        <color theme="1"/>
        <rFont val="Times New Roman"/>
        <family val="1"/>
      </rPr>
      <t xml:space="preserve"> looloh</t>
    </r>
    <phoneticPr fontId="1"/>
  </si>
  <si>
    <t>1 league = 5.6475 kilo meter =3.5092 mile</t>
    <phoneticPr fontId="1"/>
  </si>
  <si>
    <t>'unínoh'</t>
    <phoneticPr fontId="1"/>
  </si>
  <si>
    <t>'dínoh'</t>
    <phoneticPr fontId="1"/>
  </si>
  <si>
    <t>'dinól'</t>
    <phoneticPr fontId="1"/>
  </si>
  <si>
    <t>1 dinól = 0.91548 gram = 0.03229 ounce</t>
    <phoneticPr fontId="1"/>
  </si>
  <si>
    <t>1 dínoh = 1.8913 milli meter = 6.2052 mil</t>
    <phoneticPr fontId="1"/>
  </si>
  <si>
    <t>1 unínoh = 2.2696 centi meter = 0.89354 inch</t>
    <phoneticPr fontId="1"/>
  </si>
  <si>
    <r>
      <t>;′</t>
    </r>
    <r>
      <rPr>
        <b/>
        <vertAlign val="subscript"/>
        <sz val="9"/>
        <color theme="1"/>
        <rFont val="Times New Roman"/>
        <family val="1"/>
      </rPr>
      <t>±</t>
    </r>
    <r>
      <rPr>
        <b/>
        <sz val="9"/>
        <color theme="1"/>
        <rFont val="Times New Roman"/>
        <family val="1"/>
      </rPr>
      <t>h</t>
    </r>
    <phoneticPr fontId="1"/>
  </si>
  <si>
    <r>
      <t>;″</t>
    </r>
    <r>
      <rPr>
        <b/>
        <vertAlign val="subscript"/>
        <sz val="9"/>
        <color theme="1"/>
        <rFont val="Times New Roman"/>
        <family val="1"/>
      </rPr>
      <t>±</t>
    </r>
    <r>
      <rPr>
        <b/>
        <sz val="9"/>
        <color theme="1"/>
        <rFont val="Times New Roman"/>
        <family val="1"/>
      </rPr>
      <t>h</t>
    </r>
    <phoneticPr fontId="1"/>
  </si>
  <si>
    <r>
      <t>;″</t>
    </r>
    <r>
      <rPr>
        <b/>
        <vertAlign val="subscript"/>
        <sz val="9"/>
        <color theme="1"/>
        <rFont val="Times New Roman"/>
        <family val="1"/>
      </rPr>
      <t>±</t>
    </r>
    <r>
      <rPr>
        <b/>
        <sz val="9"/>
        <color theme="1"/>
        <rFont val="Times New Roman"/>
        <family val="1"/>
      </rPr>
      <t>l</t>
    </r>
    <phoneticPr fontId="1"/>
  </si>
  <si>
    <r>
      <t>10;</t>
    </r>
    <r>
      <rPr>
        <vertAlign val="superscript"/>
        <sz val="9"/>
        <color theme="1"/>
        <rFont val="Times New Roman"/>
        <family val="1"/>
      </rPr>
      <t>+4</t>
    </r>
    <r>
      <rPr>
        <sz val="9"/>
        <color theme="1"/>
        <rFont val="Times New Roman"/>
        <family val="1"/>
      </rPr>
      <t xml:space="preserve"> harmon</t>
    </r>
    <phoneticPr fontId="1"/>
  </si>
  <si>
    <r>
      <t>10;</t>
    </r>
    <r>
      <rPr>
        <vertAlign val="superscript"/>
        <sz val="9"/>
        <color rgb="FF000000"/>
        <rFont val="Times New Roman"/>
        <family val="1"/>
      </rPr>
      <t>-3</t>
    </r>
    <r>
      <rPr>
        <sz val="9"/>
        <color rgb="FF000000"/>
        <rFont val="Times New Roman"/>
        <family val="1"/>
      </rPr>
      <t xml:space="preserve"> nodus</t>
    </r>
    <phoneticPr fontId="1"/>
  </si>
  <si>
    <r>
      <t>10;</t>
    </r>
    <r>
      <rPr>
        <vertAlign val="superscript"/>
        <sz val="9"/>
        <color rgb="FF000000"/>
        <rFont val="Times New Roman"/>
        <family val="1"/>
      </rPr>
      <t>-3</t>
    </r>
    <r>
      <rPr>
        <sz val="9"/>
        <color rgb="FF000000"/>
        <rFont val="Times New Roman"/>
        <family val="1"/>
      </rPr>
      <t xml:space="preserve"> day</t>
    </r>
    <phoneticPr fontId="1"/>
  </si>
  <si>
    <r>
      <t>10;</t>
    </r>
    <r>
      <rPr>
        <vertAlign val="superscript"/>
        <sz val="9"/>
        <color rgb="FF000000"/>
        <rFont val="Times New Roman"/>
        <family val="1"/>
      </rPr>
      <t>-2</t>
    </r>
    <r>
      <rPr>
        <sz val="9"/>
        <color rgb="FF000000"/>
        <rFont val="Times New Roman"/>
        <family val="1"/>
      </rPr>
      <t xml:space="preserve"> day</t>
    </r>
    <phoneticPr fontId="1"/>
  </si>
  <si>
    <r>
      <t>10;</t>
    </r>
    <r>
      <rPr>
        <vertAlign val="superscript"/>
        <sz val="9"/>
        <color rgb="FF000000"/>
        <rFont val="Times New Roman"/>
        <family val="1"/>
      </rPr>
      <t>-1</t>
    </r>
    <r>
      <rPr>
        <sz val="9"/>
        <color rgb="FF000000"/>
        <rFont val="Times New Roman"/>
        <family val="1"/>
      </rPr>
      <t xml:space="preserve"> day</t>
    </r>
    <phoneticPr fontId="1"/>
  </si>
  <si>
    <r>
      <t>difference of thermodynamic temperature and the base point
(0;°H is correspondent to 118,2354;</t>
    </r>
    <r>
      <rPr>
        <vertAlign val="subscript"/>
        <sz val="9"/>
        <color rgb="FF000000"/>
        <rFont val="Times New Roman"/>
        <family val="1"/>
      </rPr>
      <t>±</t>
    </r>
    <r>
      <rPr>
        <sz val="9"/>
        <color rgb="FF000000"/>
        <rFont val="Times New Roman"/>
        <family val="1"/>
      </rPr>
      <t>K)</t>
    </r>
    <phoneticPr fontId="1"/>
  </si>
  <si>
    <r>
      <t>harmonic Kelvin (=10;</t>
    </r>
    <r>
      <rPr>
        <vertAlign val="superscript"/>
        <sz val="9"/>
        <color rgb="FF000000"/>
        <rFont val="Times New Roman"/>
        <family val="1"/>
      </rPr>
      <t>-4</t>
    </r>
    <r>
      <rPr>
        <sz val="9"/>
        <color rgb="FF000000"/>
        <rFont val="Times New Roman"/>
        <family val="1"/>
      </rPr>
      <t>°H)</t>
    </r>
    <phoneticPr fontId="1"/>
  </si>
  <si>
    <r>
      <t>The overline is added when the unit is used for equivalent dose.
 (ex. effective Joule/looloh[</t>
    </r>
    <r>
      <rPr>
        <vertAlign val="subscript"/>
        <sz val="9"/>
        <color theme="1"/>
        <rFont val="Times New Roman"/>
        <family val="1"/>
      </rPr>
      <t>±</t>
    </r>
    <r>
      <rPr>
        <sz val="9"/>
        <color theme="1"/>
        <rFont val="Times New Roman"/>
        <family val="1"/>
      </rPr>
      <t>J̅/</t>
    </r>
    <r>
      <rPr>
        <vertAlign val="subscript"/>
        <sz val="9"/>
        <color theme="1"/>
        <rFont val="Times New Roman"/>
        <family val="1"/>
      </rPr>
      <t>±</t>
    </r>
    <r>
      <rPr>
        <sz val="9"/>
        <color theme="1"/>
        <rFont val="Times New Roman"/>
        <family val="1"/>
      </rPr>
      <t>l])</t>
    </r>
    <phoneticPr fontId="1"/>
  </si>
  <si>
    <t>The prefix 'harmonic'(±) is omitted if the expression includes the prefix 'cosmic'.</t>
    <phoneticPr fontId="1"/>
  </si>
  <si>
    <t>The prefix 'harmonic'(±) is omitted if the expression includes the prefix 'atomic'.</t>
    <phoneticPr fontId="1"/>
  </si>
  <si>
    <t>The prefix 'harmonic'(±) shoud be called 'universal' if the universal unit is equal to the harmonic unit.</t>
    <phoneticPr fontId="1"/>
  </si>
  <si>
    <t xml:space="preserve">the Earth local extension
</t>
    <phoneticPr fontId="1"/>
  </si>
  <si>
    <t>The units out of the Universal Unit System
(not part of the Universal Unit System)</t>
    <phoneticPr fontId="1"/>
  </si>
  <si>
    <r>
      <t>10;</t>
    </r>
    <r>
      <rPr>
        <vertAlign val="superscript"/>
        <sz val="9"/>
        <color theme="1"/>
        <rFont val="Times New Roman"/>
        <family val="1"/>
      </rPr>
      <t>-8</t>
    </r>
    <r>
      <rPr>
        <sz val="9"/>
        <color theme="1"/>
        <rFont val="Times New Roman"/>
        <family val="1"/>
      </rPr>
      <t xml:space="preserve"> light is called 'átol'(</t>
    </r>
    <r>
      <rPr>
        <vertAlign val="subscript"/>
        <sz val="9"/>
        <color theme="1"/>
        <rFont val="Times New Roman"/>
        <family val="1"/>
      </rPr>
      <t>-</t>
    </r>
    <r>
      <rPr>
        <sz val="9"/>
        <color theme="1"/>
        <rFont val="Times New Roman"/>
        <family val="1"/>
      </rPr>
      <t>γ).</t>
    </r>
    <r>
      <rPr>
        <sz val="9"/>
        <color theme="1"/>
        <rFont val="游ゴシック"/>
        <family val="1"/>
        <charset val="128"/>
      </rPr>
      <t xml:space="preserve"> </t>
    </r>
    <r>
      <rPr>
        <sz val="9"/>
        <color theme="1"/>
        <rFont val="Times New Roman"/>
        <family val="1"/>
      </rPr>
      <t>1 átol = 1 harmon / nic = 2.509 997 km/hour</t>
    </r>
    <phoneticPr fontId="1"/>
  </si>
  <si>
    <t>The prefix 'harmonic'(±) is omitted if the expression includes the prefix 'sub'.</t>
    <phoneticPr fontId="1"/>
  </si>
  <si>
    <t>The prefix 'harmonic'(±) is omitted if the expression includes the prefix 'hyper'.</t>
    <phoneticPr fontId="1"/>
  </si>
  <si>
    <r>
      <t>The overline is added when the unit is used for luminous flux. 
(ex. effective Watt[</t>
    </r>
    <r>
      <rPr>
        <vertAlign val="subscript"/>
        <sz val="9"/>
        <color theme="1"/>
        <rFont val="Times New Roman"/>
        <family val="1"/>
      </rPr>
      <t>±</t>
    </r>
    <r>
      <rPr>
        <sz val="9"/>
        <color theme="1"/>
        <rFont val="Times New Roman"/>
        <family val="1"/>
      </rPr>
      <t>W̅])</t>
    </r>
    <phoneticPr fontId="1"/>
  </si>
  <si>
    <r>
      <t>The SI noted "when the mole is used, the elementary entities must be specified and may be atoms, molecules, ions, electrons, other particles, or specified groups of such particles."
In this context ‘</t>
    </r>
    <r>
      <rPr>
        <sz val="9"/>
        <color theme="1"/>
        <rFont val="Segoe UI Symbol"/>
        <family val="1"/>
      </rPr>
      <t>♮’</t>
    </r>
    <r>
      <rPr>
        <sz val="9"/>
        <color theme="1"/>
        <rFont val="Times New Roman"/>
        <family val="1"/>
      </rPr>
      <t xml:space="preserve"> is equivalent to ‘3-’ and </t>
    </r>
    <r>
      <rPr>
        <vertAlign val="subscript"/>
        <sz val="9"/>
        <color theme="1"/>
        <rFont val="Segoe UI Symbol"/>
        <family val="1"/>
      </rPr>
      <t>♮</t>
    </r>
    <r>
      <rPr>
        <sz val="9"/>
        <color theme="1"/>
        <rFont val="Times New Roman"/>
        <family val="1"/>
      </rPr>
      <t>mol is called ‘natural mol.’</t>
    </r>
    <phoneticPr fontId="1"/>
  </si>
  <si>
    <r>
      <t>100; times least valued currency unit for each country(or economic group)
Its value is distinguished by attaching the country code after 'mon'. (ex. 1; mon</t>
    </r>
    <r>
      <rPr>
        <vertAlign val="subscript"/>
        <sz val="9"/>
        <color theme="1"/>
        <rFont val="Times New Roman"/>
        <family val="1"/>
      </rPr>
      <t>us</t>
    </r>
    <r>
      <rPr>
        <sz val="9"/>
        <color theme="1"/>
        <rFont val="Times New Roman"/>
        <family val="1"/>
      </rPr>
      <t xml:space="preserve"> = 1.44$)</t>
    </r>
    <phoneticPr fontId="1"/>
  </si>
  <si>
    <r>
      <t>If a unit is omitted after square or cube, the unit shall be deemed to as harmon.(ex. 'square' expresses 'square harmon'(</t>
    </r>
    <r>
      <rPr>
        <vertAlign val="subscript"/>
        <sz val="9"/>
        <color theme="1"/>
        <rFont val="Times New Roman"/>
        <family val="1"/>
      </rPr>
      <t>±</t>
    </r>
    <r>
      <rPr>
        <sz val="9"/>
        <color theme="1"/>
        <rFont val="Times New Roman"/>
        <family val="1"/>
      </rPr>
      <t>q, 'q' comes from Latin '</t>
    </r>
    <r>
      <rPr>
        <u/>
        <sz val="9"/>
        <color theme="1"/>
        <rFont val="Times New Roman"/>
        <family val="1"/>
      </rPr>
      <t>q</t>
    </r>
    <r>
      <rPr>
        <sz val="9"/>
        <color theme="1"/>
        <rFont val="Times New Roman"/>
        <family val="1"/>
      </rPr>
      <t>uadrata'), and 'cube' expresses 'cubic harmon'(</t>
    </r>
    <r>
      <rPr>
        <vertAlign val="subscript"/>
        <sz val="9"/>
        <color theme="1"/>
        <rFont val="Times New Roman"/>
        <family val="1"/>
      </rPr>
      <t>±</t>
    </r>
    <r>
      <rPr>
        <sz val="9"/>
        <color theme="1"/>
        <rFont val="Times New Roman"/>
        <family val="1"/>
      </rPr>
      <t>c, 'c' comes from Latin '</t>
    </r>
    <r>
      <rPr>
        <u/>
        <sz val="9"/>
        <color theme="1"/>
        <rFont val="Times New Roman"/>
        <family val="1"/>
      </rPr>
      <t>c</t>
    </r>
    <r>
      <rPr>
        <sz val="9"/>
        <color theme="1"/>
        <rFont val="Times New Roman"/>
        <family val="1"/>
      </rPr>
      <t>ubus'). A square sub harmon(=(10;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2</t>
    </r>
    <r>
      <rPr>
        <sz val="9"/>
        <color theme="1"/>
        <rFont val="Times New Roman"/>
        <family val="1"/>
      </rPr>
      <t xml:space="preserve">) is symbolized as </t>
    </r>
    <r>
      <rPr>
        <vertAlign val="subscript"/>
        <sz val="9"/>
        <color theme="1"/>
        <rFont val="Segoe UI Symbol"/>
        <family val="1"/>
      </rPr>
      <t>♭</t>
    </r>
    <r>
      <rPr>
        <sz val="9"/>
        <color theme="1"/>
        <rFont val="Times New Roman"/>
        <family val="1"/>
      </rPr>
      <t>h</t>
    </r>
    <r>
      <rPr>
        <vertAlign val="superscript"/>
        <sz val="9"/>
        <color theme="1"/>
        <rFont val="Times New Roman"/>
        <family val="1"/>
      </rPr>
      <t>2</t>
    </r>
    <r>
      <rPr>
        <sz val="9"/>
        <color theme="1"/>
        <rFont val="Times New Roman"/>
        <family val="1"/>
      </rPr>
      <t xml:space="preserve"> and a sub square (=10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2</t>
    </r>
    <r>
      <rPr>
        <sz val="9"/>
        <color theme="1"/>
        <rFont val="Times New Roman"/>
        <family val="1"/>
      </rPr>
      <t xml:space="preserve">) is symbolized as </t>
    </r>
    <r>
      <rPr>
        <vertAlign val="subscript"/>
        <sz val="9"/>
        <color theme="1"/>
        <rFont val="Segoe UI Symbol"/>
        <family val="1"/>
      </rPr>
      <t>♭</t>
    </r>
    <r>
      <rPr>
        <sz val="9"/>
        <color theme="1"/>
        <rFont val="Times New Roman"/>
        <family val="1"/>
      </rPr>
      <t>q. A cubic sub harmon (=(10;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3</t>
    </r>
    <r>
      <rPr>
        <sz val="9"/>
        <color theme="1"/>
        <rFont val="Times New Roman"/>
        <family val="1"/>
      </rPr>
      <t xml:space="preserve">) is symbolized as </t>
    </r>
    <r>
      <rPr>
        <vertAlign val="subscript"/>
        <sz val="9"/>
        <color theme="1"/>
        <rFont val="Segoe UI Symbol"/>
        <family val="1"/>
      </rPr>
      <t>♭</t>
    </r>
    <r>
      <rPr>
        <sz val="9"/>
        <color theme="1"/>
        <rFont val="Times New Roman"/>
        <family val="1"/>
      </rPr>
      <t>h</t>
    </r>
    <r>
      <rPr>
        <vertAlign val="superscript"/>
        <sz val="9"/>
        <color theme="1"/>
        <rFont val="Times New Roman"/>
        <family val="1"/>
      </rPr>
      <t>3</t>
    </r>
    <r>
      <rPr>
        <sz val="9"/>
        <color theme="1"/>
        <rFont val="Times New Roman"/>
        <family val="1"/>
      </rPr>
      <t xml:space="preserve"> and a sub cube (=10;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3</t>
    </r>
    <r>
      <rPr>
        <sz val="9"/>
        <color theme="1"/>
        <rFont val="Times New Roman"/>
        <family val="1"/>
      </rPr>
      <t xml:space="preserve">) is symbolized as </t>
    </r>
    <r>
      <rPr>
        <vertAlign val="subscript"/>
        <sz val="9"/>
        <color theme="1"/>
        <rFont val="Segoe UI Symbol"/>
        <family val="1"/>
      </rPr>
      <t>♭</t>
    </r>
    <r>
      <rPr>
        <sz val="9"/>
        <color theme="1"/>
        <rFont val="Times New Roman"/>
        <family val="1"/>
      </rPr>
      <t>c. 1</t>
    </r>
    <r>
      <rPr>
        <vertAlign val="subscript"/>
        <sz val="9"/>
        <color theme="1"/>
        <rFont val="Segoe UI Symbol"/>
        <family val="1"/>
      </rPr>
      <t>♭</t>
    </r>
    <r>
      <rPr>
        <sz val="9"/>
        <color theme="1"/>
        <rFont val="Times New Roman"/>
        <family val="1"/>
      </rPr>
      <t>c=0.97424 cc.</t>
    </r>
    <phoneticPr fontId="1"/>
  </si>
  <si>
    <r>
      <rPr>
        <b/>
        <vertAlign val="subscript"/>
        <sz val="9"/>
        <color theme="1"/>
        <rFont val="Cambria Math"/>
        <family val="1"/>
      </rPr>
      <t>∜</t>
    </r>
    <r>
      <rPr>
        <b/>
        <vertAlign val="subscript"/>
        <sz val="9"/>
        <color theme="1"/>
        <rFont val="Segoe UI Symbol"/>
        <family val="1"/>
      </rPr>
      <t>♯</t>
    </r>
    <phoneticPr fontId="1"/>
  </si>
  <si>
    <r>
      <rPr>
        <vertAlign val="subscript"/>
        <sz val="9"/>
        <color rgb="FF000000"/>
        <rFont val="Times New Roman"/>
        <family val="1"/>
      </rPr>
      <t>±</t>
    </r>
    <r>
      <rPr>
        <sz val="9"/>
        <color rgb="FF000000"/>
        <rFont val="Times New Roman"/>
        <family val="1"/>
      </rPr>
      <t>h</t>
    </r>
    <r>
      <rPr>
        <vertAlign val="superscript"/>
        <sz val="9"/>
        <color rgb="FF000000"/>
        <rFont val="Times New Roman"/>
        <family val="1"/>
      </rPr>
      <t>2</t>
    </r>
    <r>
      <rPr>
        <sz val="9"/>
        <color rgb="FF000000"/>
        <rFont val="Times New Roman"/>
        <family val="1"/>
      </rPr>
      <t xml:space="preserve"> is called 'square harmon' or  'harmonic square'</t>
    </r>
    <phoneticPr fontId="1"/>
  </si>
  <si>
    <r>
      <rPr>
        <vertAlign val="subscript"/>
        <sz val="9"/>
        <color rgb="FF000000"/>
        <rFont val="Times New Roman"/>
        <family val="1"/>
      </rPr>
      <t>±</t>
    </r>
    <r>
      <rPr>
        <sz val="9"/>
        <color rgb="FF000000"/>
        <rFont val="Times New Roman"/>
        <family val="1"/>
      </rPr>
      <t>h</t>
    </r>
    <r>
      <rPr>
        <vertAlign val="superscript"/>
        <sz val="9"/>
        <color rgb="FF000000"/>
        <rFont val="Times New Roman"/>
        <family val="1"/>
      </rPr>
      <t>3</t>
    </r>
    <r>
      <rPr>
        <sz val="9"/>
        <color rgb="FF000000"/>
        <rFont val="Times New Roman"/>
        <family val="1"/>
      </rPr>
      <t xml:space="preserve"> is called 'cubic harmon' or  'harmonic cube'</t>
    </r>
    <phoneticPr fontId="1"/>
  </si>
  <si>
    <r>
      <rPr>
        <b/>
        <vertAlign val="subscript"/>
        <sz val="9"/>
        <color rgb="FF000000"/>
        <rFont val="Times New Roman"/>
        <family val="1"/>
      </rPr>
      <t>±</t>
    </r>
    <r>
      <rPr>
        <b/>
        <sz val="9"/>
        <color rgb="FF000000"/>
        <rFont val="Times New Roman"/>
        <family val="1"/>
      </rPr>
      <t>h</t>
    </r>
    <r>
      <rPr>
        <b/>
        <vertAlign val="superscript"/>
        <sz val="9"/>
        <color rgb="FF000000"/>
        <rFont val="Times New Roman"/>
        <family val="1"/>
      </rPr>
      <t>3</t>
    </r>
    <r>
      <rPr>
        <b/>
        <sz val="9"/>
        <color rgb="FF000000"/>
        <rFont val="Times New Roman"/>
        <family val="1"/>
      </rPr>
      <t xml:space="preserve"> or </t>
    </r>
    <r>
      <rPr>
        <b/>
        <vertAlign val="subscript"/>
        <sz val="9"/>
        <color rgb="FF000000"/>
        <rFont val="Times New Roman"/>
        <family val="1"/>
      </rPr>
      <t>±</t>
    </r>
    <r>
      <rPr>
        <b/>
        <sz val="9"/>
        <color rgb="FF000000"/>
        <rFont val="Times New Roman"/>
        <family val="1"/>
      </rPr>
      <t>c</t>
    </r>
    <phoneticPr fontId="1"/>
  </si>
  <si>
    <r>
      <rPr>
        <b/>
        <vertAlign val="subscript"/>
        <sz val="9"/>
        <color rgb="FF000000"/>
        <rFont val="Times New Roman"/>
        <family val="1"/>
      </rPr>
      <t>±</t>
    </r>
    <r>
      <rPr>
        <b/>
        <sz val="9"/>
        <color rgb="FF000000"/>
        <rFont val="Times New Roman"/>
        <family val="1"/>
      </rPr>
      <t>h</t>
    </r>
    <r>
      <rPr>
        <b/>
        <vertAlign val="superscript"/>
        <sz val="9"/>
        <color rgb="FF000000"/>
        <rFont val="Times New Roman"/>
        <family val="1"/>
      </rPr>
      <t>2</t>
    </r>
    <r>
      <rPr>
        <b/>
        <sz val="9"/>
        <color rgb="FF000000"/>
        <rFont val="Times New Roman"/>
        <family val="1"/>
      </rPr>
      <t xml:space="preserve"> or </t>
    </r>
    <r>
      <rPr>
        <b/>
        <vertAlign val="subscript"/>
        <sz val="9"/>
        <color rgb="FF000000"/>
        <rFont val="Times New Roman"/>
        <family val="1"/>
      </rPr>
      <t>±</t>
    </r>
    <r>
      <rPr>
        <b/>
        <sz val="9"/>
        <color rgb="FF000000"/>
        <rFont val="Times New Roman"/>
        <family val="1"/>
      </rPr>
      <t>q</t>
    </r>
    <phoneticPr fontId="1"/>
  </si>
  <si>
    <t>'Earth meridian' or simply 'meridian'</t>
    <phoneticPr fontId="1"/>
  </si>
  <si>
    <t>'Earth solar' or simply 'solar'</t>
    <phoneticPr fontId="1"/>
  </si>
  <si>
    <t>'gee of Earth' or simply 'gee'</t>
    <phoneticPr fontId="1"/>
  </si>
  <si>
    <r>
      <t>2</t>
    </r>
    <r>
      <rPr>
        <vertAlign val="superscript"/>
        <sz val="9"/>
        <color rgb="FF000000"/>
        <rFont val="Times New Roman"/>
        <family val="1"/>
      </rPr>
      <t>+6</t>
    </r>
    <r>
      <rPr>
        <sz val="9"/>
        <color rgb="FF000000"/>
        <rFont val="Times New Roman"/>
        <family val="1"/>
      </rPr>
      <t xml:space="preserve"> years</t>
    </r>
    <phoneticPr fontId="1"/>
  </si>
  <si>
    <r>
      <t>If the context tells you it is a Harmonic System unit, you do not need to pronounce '±.' The unit of magnetic flux density is "</t>
    </r>
    <r>
      <rPr>
        <vertAlign val="subscript"/>
        <sz val="9"/>
        <color theme="1"/>
        <rFont val="Segoe UI Symbol"/>
        <family val="1"/>
      </rPr>
      <t>♮</t>
    </r>
    <r>
      <rPr>
        <sz val="9"/>
        <color theme="1"/>
        <rFont val="Times New Roman"/>
        <family val="1"/>
      </rPr>
      <t>Ω</t>
    </r>
    <r>
      <rPr>
        <vertAlign val="subscript"/>
        <sz val="9"/>
        <color theme="1"/>
        <rFont val="Times New Roman"/>
        <family val="1"/>
      </rPr>
      <t>±</t>
    </r>
    <r>
      <rPr>
        <sz val="9"/>
        <color theme="1"/>
        <rFont val="Times New Roman"/>
        <family val="1"/>
      </rPr>
      <t>E," but if you first read "</t>
    </r>
    <r>
      <rPr>
        <vertAlign val="subscript"/>
        <sz val="9"/>
        <color theme="1"/>
        <rFont val="Segoe UI Symbol"/>
        <family val="1"/>
      </rPr>
      <t>♮</t>
    </r>
    <r>
      <rPr>
        <sz val="9"/>
        <color theme="1"/>
        <rFont val="Times New Roman"/>
        <family val="1"/>
      </rPr>
      <t>Ω" as "nohm," you will know that the next unit is not an SI unit but a harmonic system unit so that you can read it as "nohm Ørsted" instead of "nohm harmonic Ørsted." Similarly, the unit of electric flux density, "Ω</t>
    </r>
    <r>
      <rPr>
        <vertAlign val="subscript"/>
        <sz val="9"/>
        <color theme="1"/>
        <rFont val="Times New Roman"/>
        <family val="1"/>
      </rPr>
      <t>2</t>
    </r>
    <r>
      <rPr>
        <vertAlign val="subscript"/>
        <sz val="9"/>
        <color theme="1"/>
        <rFont val="游ゴシック"/>
        <family val="1"/>
        <charset val="128"/>
      </rPr>
      <t>・</t>
    </r>
    <r>
      <rPr>
        <vertAlign val="subscript"/>
        <sz val="9"/>
        <color theme="1"/>
        <rFont val="Times New Roman"/>
        <family val="1"/>
      </rPr>
      <t>±</t>
    </r>
    <r>
      <rPr>
        <sz val="9"/>
        <color theme="1"/>
        <rFont val="Times New Roman"/>
        <family val="1"/>
      </rPr>
      <t>E," can be read as "turn Ørsted" instead of "turn harmonic Ørsted."</t>
    </r>
    <phoneticPr fontId="1"/>
  </si>
  <si>
    <r>
      <t>If the context tells you it is a Harmonic System unit, you do not need to pronounce '±.' The unit of voltage is "</t>
    </r>
    <r>
      <rPr>
        <vertAlign val="subscript"/>
        <sz val="9"/>
        <color theme="1"/>
        <rFont val="Segoe UI Symbol"/>
        <family val="1"/>
      </rPr>
      <t>♮</t>
    </r>
    <r>
      <rPr>
        <sz val="9"/>
        <color theme="1"/>
        <rFont val="Times New Roman"/>
        <family val="1"/>
      </rPr>
      <t>Ω</t>
    </r>
    <r>
      <rPr>
        <vertAlign val="subscript"/>
        <sz val="9"/>
        <color theme="1"/>
        <rFont val="Times New Roman"/>
        <family val="1"/>
      </rPr>
      <t>±</t>
    </r>
    <r>
      <rPr>
        <sz val="9"/>
        <color theme="1"/>
        <rFont val="Times New Roman"/>
        <family val="1"/>
      </rPr>
      <t>A," but if you first read "</t>
    </r>
    <r>
      <rPr>
        <vertAlign val="subscript"/>
        <sz val="9"/>
        <color theme="1"/>
        <rFont val="Segoe UI Symbol"/>
        <family val="1"/>
      </rPr>
      <t>♮</t>
    </r>
    <r>
      <rPr>
        <sz val="9"/>
        <color theme="1"/>
        <rFont val="Times New Roman"/>
        <family val="1"/>
      </rPr>
      <t>Ω" as "nohm," you will know that the next unit is not an SI unit but a harmonic system unit so that you can read it as "nohm Ampere" instead of "nohm harmonic Ampere." Similarly, the unit of magnetomotive force, "Ω</t>
    </r>
    <r>
      <rPr>
        <vertAlign val="subscript"/>
        <sz val="9"/>
        <color theme="1"/>
        <rFont val="Times New Roman"/>
        <family val="1"/>
      </rPr>
      <t>2</t>
    </r>
    <r>
      <rPr>
        <vertAlign val="subscript"/>
        <sz val="9"/>
        <color theme="1"/>
        <rFont val="游ゴシック"/>
        <family val="3"/>
        <charset val="128"/>
      </rPr>
      <t>・</t>
    </r>
    <r>
      <rPr>
        <vertAlign val="subscript"/>
        <sz val="9"/>
        <color theme="1"/>
        <rFont val="Times New Roman"/>
        <family val="1"/>
      </rPr>
      <t>±</t>
    </r>
    <r>
      <rPr>
        <sz val="9"/>
        <color theme="1"/>
        <rFont val="Times New Roman"/>
        <family val="1"/>
      </rPr>
      <t>A," can be read as "turn Ampere" instead of "turn harmonic Ampere."</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</si>
</sst>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176" formatCode="0.0000000000E+00"/>
    <numFmt numFmtId="177" formatCode="0.000000_ "/>
    <numFmt numFmtId="178" formatCode="0.000000_);[Red]\(0.000000\)"/>
    <numFmt numFmtId="179" formatCode="0_);[Red]\(0\)"/>
    <numFmt numFmtId="180" formatCode="0.0000000000_);[Red]\(0.0000000000\)"/>
    <numFmt numFmtId="181" formatCode="#.####&quot; s&quot;"/>
    <numFmt numFmtId="182" formatCode="0.000000E+00"/>
    <numFmt numFmtId="183" formatCode="0.00000E+00"/>
    <numFmt numFmtId="184" formatCode="0.0E+00"/>
    <numFmt numFmtId="185" formatCode="0.000_ "/>
    <numFmt numFmtId="186" formatCode="0.0000_ "/>
    <numFmt numFmtId="187" formatCode="0.000000000_ "/>
    <numFmt numFmtId="188" formatCode="0.00000_ "/>
    <numFmt numFmtId="189" formatCode="#,##0.0000_ "/>
    <numFmt numFmtId="190" formatCode="0_ "/>
    <numFmt numFmtId="191" formatCode="#,##0_ "/>
    <numFmt numFmtId="192" formatCode="#,##0.0_ "/>
    <numFmt numFmtId="193" formatCode="#,##0.00_ "/>
    <numFmt numFmtId="194" formatCode="#,##0.000_ "/>
    <numFmt numFmtId="195" formatCode="#,##0.00000_ "/>
    <numFmt numFmtId="196" formatCode="#,##0.000000_ "/>
    <numFmt numFmtId="197" formatCode="&quot;(1;00 for &quot;###.##&quot;THz)&quot;"/>
    <numFmt numFmtId="198" formatCode="&quot;Buoyancy of saltwater (&quot;#.###&quot;)&quot;"/>
    <numFmt numFmtId="199" formatCode="0.000%"/>
    <numFmt numFmtId="200" formatCode="0.00000000_ "/>
    <numFmt numFmtId="201" formatCode="0.00_ "/>
    <numFmt numFmtId="202" formatCode="0.0_ "/>
    <numFmt numFmtId="203" formatCode="#\ &quot;light Julian year&quot;"/>
    <numFmt numFmtId="204" formatCode="#.#\ &quot;light Julian year&quot;"/>
    <numFmt numFmtId="205" formatCode="#.##\ &quot;light Julian year&quot;"/>
    <numFmt numFmtId="206" formatCode="\1\2\^#"/>
    <numFmt numFmtId="207" formatCode="0.00000_);[Red]\(0.00000\)"/>
    <numFmt numFmtId="208" formatCode="\×\1\2\^\(\+#\);\×\1\2\^\(\-#\)"/>
    <numFmt numFmtId="209" formatCode="#&quot;°C&quot;"/>
    <numFmt numFmtId="210" formatCode="#.####&quot; seconds&quot;"/>
    <numFmt numFmtId="211" formatCode="#.####&quot; minutes&quot;"/>
    <numFmt numFmtId="212" formatCode="0.00000%"/>
    <numFmt numFmtId="213" formatCode="[$-F400]h:mm:ss\ AM/PM"/>
  </numFmts>
  <fonts count="70" x14ac:knownFonts="1">
    <font>
      <sz val="11"/>
      <color theme="1"/>
      <name val="ＭＳ Ｐゴシック"/>
      <family val="2"/>
      <charset val="128"/>
      <scheme val="minor"/>
    </font>
    <font>
      <sz val="6"/>
      <name val="ＭＳ Ｐゴシック"/>
      <family val="2"/>
      <charset val="128"/>
      <scheme val="minor"/>
    </font>
    <font>
      <sz val="9"/>
      <color theme="1"/>
      <name val="Times New Roman"/>
      <family val="1"/>
    </font>
    <font>
      <sz val="9"/>
      <color theme="1"/>
      <name val="ＭＳ Ｐゴシック"/>
      <family val="2"/>
      <charset val="128"/>
      <scheme val="minor"/>
    </font>
    <font>
      <b/>
      <sz val="9"/>
      <color theme="1"/>
      <name val="Times New Roman"/>
      <family val="1"/>
    </font>
    <font>
      <i/>
      <sz val="9"/>
      <color theme="1"/>
      <name val="Times New Roman"/>
      <family val="1"/>
    </font>
    <font>
      <sz val="9"/>
      <color theme="1"/>
      <name val="ＭＳ Ｐ明朝"/>
      <family val="1"/>
      <charset val="128"/>
    </font>
    <font>
      <b/>
      <sz val="9"/>
      <name val="Times New Roman"/>
      <family val="1"/>
    </font>
    <font>
      <sz val="9"/>
      <color theme="1"/>
      <name val="Verdana"/>
      <family val="2"/>
    </font>
    <font>
      <b/>
      <i/>
      <vertAlign val="subscript"/>
      <sz val="9"/>
      <color rgb="FF000000"/>
      <name val="Verdana"/>
      <family val="2"/>
    </font>
    <font>
      <sz val="9"/>
      <color theme="1"/>
      <name val="ＭＳ Ｐゴシック"/>
      <family val="2"/>
      <charset val="128"/>
    </font>
    <font>
      <b/>
      <i/>
      <sz val="9"/>
      <color rgb="FF000000"/>
      <name val="Verdana"/>
      <family val="2"/>
    </font>
    <font>
      <sz val="9"/>
      <name val="Times New Roman"/>
      <family val="1"/>
    </font>
    <font>
      <vertAlign val="subscript"/>
      <sz val="9"/>
      <color theme="1"/>
      <name val="Times New Roman"/>
      <family val="1"/>
    </font>
    <font>
      <b/>
      <sz val="9"/>
      <color rgb="FFFF0000"/>
      <name val="Times New Roman"/>
      <family val="1"/>
    </font>
    <font>
      <b/>
      <sz val="9"/>
      <color rgb="FF102C5C"/>
      <name val="ＭＳ Ｐゴシック"/>
      <family val="3"/>
      <charset val="128"/>
    </font>
    <font>
      <sz val="9"/>
      <color rgb="FF102C5C"/>
      <name val="Times New Roman"/>
      <family val="1"/>
    </font>
    <font>
      <u/>
      <sz val="11"/>
      <color theme="10"/>
      <name val="ＭＳ Ｐゴシック"/>
      <family val="2"/>
      <charset val="128"/>
      <scheme val="minor"/>
    </font>
    <font>
      <sz val="9"/>
      <color rgb="FF000000"/>
      <name val="Times New Roman"/>
      <family val="1"/>
    </font>
    <font>
      <b/>
      <sz val="9"/>
      <color rgb="FF000000"/>
      <name val="Times New Roman"/>
      <family val="1"/>
    </font>
    <font>
      <vertAlign val="superscript"/>
      <sz val="9"/>
      <color rgb="FF000000"/>
      <name val="Times New Roman"/>
      <family val="1"/>
    </font>
    <font>
      <b/>
      <i/>
      <sz val="9"/>
      <color rgb="FF000000"/>
      <name val="Times New Roman"/>
      <family val="1"/>
    </font>
    <font>
      <b/>
      <vertAlign val="subscript"/>
      <sz val="8"/>
      <color rgb="FF000000"/>
      <name val="Times New Roman"/>
      <family val="1"/>
    </font>
    <font>
      <i/>
      <sz val="9"/>
      <color rgb="FF000000"/>
      <name val="Times New Roman"/>
      <family val="1"/>
    </font>
    <font>
      <vertAlign val="subscript"/>
      <sz val="9"/>
      <color rgb="FF000000"/>
      <name val="Times New Roman"/>
      <family val="1"/>
    </font>
    <font>
      <b/>
      <vertAlign val="subscript"/>
      <sz val="9"/>
      <color rgb="FF000000"/>
      <name val="Times New Roman"/>
      <family val="1"/>
    </font>
    <font>
      <b/>
      <i/>
      <vertAlign val="subscript"/>
      <sz val="9"/>
      <color rgb="FF000000"/>
      <name val="Times New Roman"/>
      <family val="1"/>
    </font>
    <font>
      <b/>
      <vertAlign val="subscript"/>
      <sz val="9"/>
      <color theme="1"/>
      <name val="Times New Roman"/>
      <family val="1"/>
    </font>
    <font>
      <u/>
      <sz val="9"/>
      <color theme="10"/>
      <name val="Times New Roman"/>
      <family val="1"/>
    </font>
    <font>
      <sz val="9"/>
      <color indexed="8"/>
      <name val="Times New Roman"/>
      <family val="1"/>
    </font>
    <font>
      <sz val="6"/>
      <name val="ＭＳ Ｐゴシック"/>
      <family val="3"/>
      <charset val="128"/>
    </font>
    <font>
      <vertAlign val="superscript"/>
      <sz val="9"/>
      <color theme="1"/>
      <name val="Times New Roman"/>
      <family val="1"/>
    </font>
    <font>
      <b/>
      <vertAlign val="superscript"/>
      <sz val="9"/>
      <color rgb="FF000000"/>
      <name val="Times New Roman"/>
      <family val="1"/>
    </font>
    <font>
      <b/>
      <sz val="18"/>
      <color theme="1"/>
      <name val="Times New Roman"/>
      <family val="1"/>
    </font>
    <font>
      <sz val="14"/>
      <color theme="1"/>
      <name val="Times New Roman"/>
      <family val="1"/>
    </font>
    <font>
      <b/>
      <sz val="14"/>
      <color theme="1"/>
      <name val="Times New Roman"/>
      <family val="1"/>
    </font>
    <font>
      <b/>
      <sz val="14"/>
      <name val="ＭＳ Ｐゴシック"/>
      <family val="2"/>
      <charset val="128"/>
      <scheme val="minor"/>
    </font>
    <font>
      <b/>
      <sz val="14"/>
      <name val="Times New Roman"/>
      <family val="1"/>
    </font>
    <font>
      <u/>
      <sz val="9"/>
      <color theme="10"/>
      <name val="ＭＳ Ｐゴシック"/>
      <family val="2"/>
      <charset val="128"/>
      <scheme val="minor"/>
    </font>
    <font>
      <sz val="11"/>
      <name val="ＭＳ Ｐゴシック"/>
      <family val="3"/>
      <charset val="128"/>
    </font>
    <font>
      <sz val="9"/>
      <name val="ＭＳ Ｐゴシック"/>
      <family val="3"/>
      <charset val="128"/>
    </font>
    <font>
      <sz val="12"/>
      <name val="ＭＳ Ｐゴシック"/>
      <family val="3"/>
      <charset val="128"/>
    </font>
    <font>
      <b/>
      <sz val="12"/>
      <name val="ＭＳ Ｐゴシック"/>
      <family val="3"/>
      <charset val="128"/>
    </font>
    <font>
      <b/>
      <sz val="16"/>
      <name val="ＭＳ Ｐゴシック"/>
      <family val="3"/>
      <charset val="128"/>
    </font>
    <font>
      <b/>
      <vertAlign val="superscript"/>
      <sz val="16"/>
      <name val="ＭＳ Ｐゴシック"/>
      <family val="3"/>
      <charset val="128"/>
    </font>
    <font>
      <b/>
      <sz val="16"/>
      <color theme="0" tint="-0.499984740745262"/>
      <name val="ＭＳ Ｐゴシック"/>
      <family val="3"/>
      <charset val="128"/>
    </font>
    <font>
      <b/>
      <vertAlign val="superscript"/>
      <sz val="16"/>
      <color theme="0" tint="-0.499984740745262"/>
      <name val="ＭＳ Ｐゴシック"/>
      <family val="3"/>
      <charset val="128"/>
    </font>
    <font>
      <i/>
      <vertAlign val="subscript"/>
      <sz val="9"/>
      <color theme="1"/>
      <name val="Times New Roman"/>
      <family val="1"/>
    </font>
    <font>
      <sz val="11"/>
      <color theme="1"/>
      <name val="ＭＳ Ｐゴシック"/>
      <family val="3"/>
      <charset val="128"/>
      <scheme val="minor"/>
    </font>
    <font>
      <sz val="18"/>
      <color theme="1"/>
      <name val="ＭＳ Ｐゴシック"/>
      <family val="3"/>
      <charset val="128"/>
      <scheme val="minor"/>
    </font>
    <font>
      <vertAlign val="subscript"/>
      <sz val="18"/>
      <color theme="1"/>
      <name val="ＭＳ Ｐゴシック"/>
      <family val="3"/>
      <charset val="128"/>
      <scheme val="minor"/>
    </font>
    <font>
      <i/>
      <sz val="18"/>
      <color theme="1"/>
      <name val="ＭＳ Ｐゴシック"/>
      <family val="3"/>
      <charset val="128"/>
      <scheme val="minor"/>
    </font>
    <font>
      <b/>
      <sz val="9"/>
      <color theme="1"/>
      <name val="Segoe UI Symbol"/>
      <family val="1"/>
    </font>
    <font>
      <b/>
      <sz val="9"/>
      <color theme="1"/>
      <name val="Segoe UI"/>
      <family val="1"/>
    </font>
    <font>
      <b/>
      <sz val="9"/>
      <color rgb="FF000000"/>
      <name val="Segoe UI Symbol"/>
      <family val="1"/>
    </font>
    <font>
      <b/>
      <sz val="9"/>
      <color rgb="FF000000"/>
      <name val="Segoe UI"/>
      <family val="1"/>
    </font>
    <font>
      <b/>
      <vertAlign val="subscript"/>
      <sz val="9"/>
      <color rgb="FF000000"/>
      <name val="Segoe UI Symbol"/>
      <family val="1"/>
    </font>
    <font>
      <b/>
      <i/>
      <sz val="9"/>
      <color rgb="FF000000"/>
      <name val="游ゴシック"/>
      <family val="1"/>
      <charset val="128"/>
    </font>
    <font>
      <b/>
      <i/>
      <vertAlign val="subscript"/>
      <sz val="9"/>
      <color rgb="FF000000"/>
      <name val="Segoe UI Symbol"/>
      <family val="1"/>
    </font>
    <font>
      <b/>
      <sz val="9"/>
      <color rgb="FF000000"/>
      <name val="Calibri"/>
      <family val="1"/>
      <charset val="161"/>
    </font>
    <font>
      <b/>
      <sz val="9"/>
      <color rgb="FF000000"/>
      <name val="游ゴシック"/>
      <family val="1"/>
      <charset val="128"/>
    </font>
    <font>
      <i/>
      <vertAlign val="subscript"/>
      <sz val="9"/>
      <color rgb="FF000000"/>
      <name val="Times New Roman"/>
      <family val="1"/>
    </font>
    <font>
      <b/>
      <vertAlign val="subscript"/>
      <sz val="9"/>
      <color theme="1"/>
      <name val="Segoe UI Symbol"/>
      <family val="1"/>
    </font>
    <font>
      <vertAlign val="subscript"/>
      <sz val="9"/>
      <color theme="1"/>
      <name val="Segoe UI Symbol"/>
      <family val="1"/>
    </font>
    <font>
      <sz val="9"/>
      <color theme="1"/>
      <name val="游ゴシック"/>
      <family val="1"/>
      <charset val="128"/>
    </font>
    <font>
      <sz val="9"/>
      <color theme="1"/>
      <name val="Segoe UI Symbol"/>
      <family val="1"/>
    </font>
    <font>
      <u/>
      <sz val="9"/>
      <color theme="1"/>
      <name val="Times New Roman"/>
      <family val="1"/>
    </font>
    <font>
      <b/>
      <vertAlign val="subscript"/>
      <sz val="9"/>
      <color theme="1"/>
      <name val="Cambria Math"/>
      <family val="1"/>
    </font>
    <font>
      <vertAlign val="subscript"/>
      <sz val="9"/>
      <color theme="1"/>
      <name val="游ゴシック"/>
      <family val="1"/>
      <charset val="128"/>
    </font>
    <font>
      <vertAlign val="subscript"/>
      <sz val="9"/>
      <color theme="1"/>
      <name val="游ゴシック"/>
      <family val="3"/>
      <charset val="128"/>
    </font>
  </fonts>
  <fills count="19">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FFFFFF"/>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DDFF"/>
        <bgColor indexed="64"/>
      </patternFill>
    </fill>
    <fill>
      <patternFill patternType="solid">
        <fgColor rgb="FFDDFFFF"/>
        <bgColor indexed="64"/>
      </patternFill>
    </fill>
    <fill>
      <patternFill patternType="solid">
        <fgColor rgb="FFEEEEFF"/>
        <bgColor indexed="64"/>
      </patternFill>
    </fill>
    <fill>
      <patternFill patternType="solid">
        <fgColor theme="8" tint="0.39994506668294322"/>
        <bgColor indexed="64"/>
      </patternFill>
    </fill>
    <fill>
      <patternFill patternType="solid">
        <fgColor theme="9" tint="0.59999389629810485"/>
        <bgColor indexed="64"/>
      </patternFill>
    </fill>
    <fill>
      <patternFill patternType="solid">
        <fgColor theme="0" tint="-0.24994659260841701"/>
        <bgColor indexed="64"/>
      </patternFill>
    </fill>
  </fills>
  <borders count="10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thin">
        <color rgb="FF000000"/>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style="thin">
        <color auto="1"/>
      </top>
      <bottom style="medium">
        <color auto="1"/>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auto="1"/>
      </right>
      <top style="thin">
        <color auto="1"/>
      </top>
      <bottom style="thin">
        <color auto="1"/>
      </bottom>
      <diagonal/>
    </border>
    <border>
      <left style="medium">
        <color auto="1"/>
      </left>
      <right/>
      <top style="thin">
        <color rgb="FF000000"/>
      </top>
      <bottom style="thin">
        <color rgb="FF000000"/>
      </bottom>
      <diagonal/>
    </border>
    <border>
      <left style="medium">
        <color auto="1"/>
      </left>
      <right/>
      <top/>
      <bottom style="thin">
        <color rgb="FF000000"/>
      </bottom>
      <diagonal/>
    </border>
    <border>
      <left/>
      <right/>
      <top/>
      <bottom style="thin">
        <color rgb="FF000000"/>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auto="1"/>
      </top>
      <bottom style="thin">
        <color auto="1"/>
      </bottom>
      <diagonal/>
    </border>
    <border>
      <left style="thin">
        <color auto="1"/>
      </left>
      <right style="medium">
        <color auto="1"/>
      </right>
      <top/>
      <bottom style="thin">
        <color auto="1"/>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bottom/>
      <diagonal/>
    </border>
    <border>
      <left style="thin">
        <color rgb="FF000000"/>
      </left>
      <right style="thin">
        <color rgb="FF000000"/>
      </right>
      <top/>
      <bottom/>
      <diagonal/>
    </border>
    <border>
      <left style="thick">
        <color rgb="FF000000"/>
      </left>
      <right/>
      <top/>
      <bottom style="thin">
        <color rgb="FF000000"/>
      </bottom>
      <diagonal/>
    </border>
    <border>
      <left/>
      <right style="thin">
        <color rgb="FF000000"/>
      </right>
      <top/>
      <bottom/>
      <diagonal/>
    </border>
    <border>
      <left style="thick">
        <color rgb="FF000000"/>
      </left>
      <right/>
      <top/>
      <bottom/>
      <diagonal/>
    </border>
    <border>
      <left style="thin">
        <color rgb="FF000000"/>
      </left>
      <right style="thick">
        <color rgb="FF000000"/>
      </right>
      <top style="thin">
        <color rgb="FF000000"/>
      </top>
      <bottom style="thin">
        <color rgb="FF000000"/>
      </bottom>
      <diagonal/>
    </border>
    <border>
      <left style="thick">
        <color rgb="FF000000"/>
      </left>
      <right/>
      <top style="thin">
        <color rgb="FF000000"/>
      </top>
      <bottom/>
      <diagonal/>
    </border>
    <border>
      <left style="thin">
        <color rgb="FF000000"/>
      </left>
      <right style="thick">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ck">
        <color rgb="FF000000"/>
      </right>
      <top style="thin">
        <color rgb="FF000000"/>
      </top>
      <bottom/>
      <diagonal/>
    </border>
    <border>
      <left style="thin">
        <color rgb="FF000000"/>
      </left>
      <right style="thick">
        <color rgb="FF000000"/>
      </right>
      <top style="thick">
        <color rgb="FF000000"/>
      </top>
      <bottom style="medium">
        <color rgb="FF000000"/>
      </bottom>
      <diagonal/>
    </border>
    <border>
      <left style="thin">
        <color rgb="FF000000"/>
      </left>
      <right style="thin">
        <color rgb="FF000000"/>
      </right>
      <top style="thick">
        <color rgb="FF000000"/>
      </top>
      <bottom style="medium">
        <color rgb="FF000000"/>
      </bottom>
      <diagonal/>
    </border>
    <border>
      <left/>
      <right style="thin">
        <color rgb="FF000000"/>
      </right>
      <top style="thick">
        <color rgb="FF000000"/>
      </top>
      <bottom style="medium">
        <color rgb="FF000000"/>
      </bottom>
      <diagonal/>
    </border>
    <border>
      <left style="thick">
        <color rgb="FF000000"/>
      </left>
      <right/>
      <top style="thick">
        <color rgb="FF000000"/>
      </top>
      <bottom style="medium">
        <color rgb="FF000000"/>
      </bottom>
      <diagonal/>
    </border>
    <border>
      <left style="medium">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ck">
        <color rgb="FF000000"/>
      </left>
      <right/>
      <top/>
      <bottom style="medium">
        <color rgb="FF000000"/>
      </bottom>
      <diagonal/>
    </border>
    <border>
      <left/>
      <right style="thin">
        <color rgb="FF000000"/>
      </right>
      <top/>
      <bottom style="medium">
        <color rgb="FF000000"/>
      </bottom>
      <diagonal/>
    </border>
    <border>
      <left style="medium">
        <color auto="1"/>
      </left>
      <right style="thin">
        <color rgb="FF000000"/>
      </right>
      <top style="thin">
        <color auto="1"/>
      </top>
      <bottom style="thin">
        <color rgb="FF000000"/>
      </bottom>
      <diagonal/>
    </border>
    <border>
      <left style="thin">
        <color rgb="FF000000"/>
      </left>
      <right style="thin">
        <color rgb="FF000000"/>
      </right>
      <top style="thin">
        <color auto="1"/>
      </top>
      <bottom style="thin">
        <color rgb="FF000000"/>
      </bottom>
      <diagonal/>
    </border>
    <border>
      <left style="thin">
        <color rgb="FF000000"/>
      </left>
      <right style="thin">
        <color rgb="FF000000"/>
      </right>
      <top style="thin">
        <color rgb="FF000000"/>
      </top>
      <bottom style="thin">
        <color auto="1"/>
      </bottom>
      <diagonal/>
    </border>
    <border>
      <left style="medium">
        <color auto="1"/>
      </left>
      <right style="thin">
        <color auto="1"/>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auto="1"/>
      </right>
      <top style="medium">
        <color auto="1"/>
      </top>
      <bottom/>
      <diagonal/>
    </border>
    <border>
      <left/>
      <right/>
      <top/>
      <bottom style="medium">
        <color auto="1"/>
      </bottom>
      <diagonal/>
    </border>
    <border>
      <left style="thin">
        <color auto="1"/>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right style="medium">
        <color auto="1"/>
      </right>
      <top/>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hair">
        <color auto="1"/>
      </top>
      <bottom style="hair">
        <color auto="1"/>
      </bottom>
      <diagonal/>
    </border>
    <border>
      <left/>
      <right/>
      <top style="medium">
        <color auto="1"/>
      </top>
      <bottom/>
      <diagonal/>
    </border>
    <border>
      <left style="thick">
        <color rgb="FF000000"/>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s>
  <cellStyleXfs count="3">
    <xf numFmtId="0" fontId="0" fillId="0" borderId="0">
      <alignment vertical="center"/>
    </xf>
    <xf numFmtId="0" fontId="17" fillId="0" borderId="0" applyNumberFormat="0" applyFill="0" applyBorder="0" applyAlignment="0" applyProtection="0">
      <alignment vertical="center"/>
    </xf>
    <xf numFmtId="0" fontId="39" fillId="0" borderId="0"/>
  </cellStyleXfs>
  <cellXfs count="661">
    <xf numFmtId="0" fontId="0" fillId="0" borderId="0" xfId="0">
      <alignment vertical="center"/>
    </xf>
    <xf numFmtId="0" fontId="3" fillId="0" borderId="0" xfId="0" applyFont="1">
      <alignment vertical="center"/>
    </xf>
    <xf numFmtId="0" fontId="2" fillId="0" borderId="5" xfId="0" applyFont="1" applyBorder="1" applyAlignment="1">
      <alignment horizontal="justify" vertical="top" wrapText="1"/>
    </xf>
    <xf numFmtId="0" fontId="2" fillId="0" borderId="5" xfId="0" applyFont="1" applyBorder="1" applyAlignment="1">
      <alignment horizontal="left" vertical="top" wrapText="1"/>
    </xf>
    <xf numFmtId="0" fontId="2" fillId="0" borderId="7" xfId="0" applyFont="1" applyBorder="1" applyAlignment="1">
      <alignment horizontal="justify" vertical="top" wrapText="1"/>
    </xf>
    <xf numFmtId="0" fontId="2" fillId="0" borderId="10" xfId="0" applyFont="1" applyBorder="1" applyAlignment="1">
      <alignment horizontal="left" vertical="top" wrapText="1"/>
    </xf>
    <xf numFmtId="0" fontId="2" fillId="0" borderId="10" xfId="0" applyFont="1" applyBorder="1" applyAlignment="1">
      <alignment horizontal="justify" vertical="top" wrapText="1"/>
    </xf>
    <xf numFmtId="0" fontId="2" fillId="0" borderId="15" xfId="0" applyFont="1" applyBorder="1" applyAlignment="1">
      <alignment horizontal="justify" vertical="top" wrapText="1"/>
    </xf>
    <xf numFmtId="0" fontId="2" fillId="0" borderId="5" xfId="0" applyFont="1" applyBorder="1">
      <alignment vertical="center"/>
    </xf>
    <xf numFmtId="0" fontId="2" fillId="0" borderId="5" xfId="0" applyFont="1" applyBorder="1" applyAlignment="1">
      <alignment horizontal="center" vertical="center"/>
    </xf>
    <xf numFmtId="0" fontId="2" fillId="0" borderId="5" xfId="0" quotePrefix="1" applyFont="1" applyBorder="1" applyAlignment="1">
      <alignment horizontal="center" vertical="center"/>
    </xf>
    <xf numFmtId="182" fontId="2" fillId="0" borderId="5" xfId="0" applyNumberFormat="1" applyFont="1" applyBorder="1">
      <alignment vertical="center"/>
    </xf>
    <xf numFmtId="183" fontId="2" fillId="0" borderId="5" xfId="0" applyNumberFormat="1" applyFont="1" applyBorder="1">
      <alignment vertical="center"/>
    </xf>
    <xf numFmtId="185" fontId="2" fillId="0" borderId="5" xfId="0" applyNumberFormat="1" applyFont="1" applyBorder="1">
      <alignment vertical="center"/>
    </xf>
    <xf numFmtId="0" fontId="2" fillId="0" borderId="0" xfId="0" applyFont="1">
      <alignment vertical="center"/>
    </xf>
    <xf numFmtId="0" fontId="2" fillId="0" borderId="5" xfId="0" applyFont="1" applyBorder="1" applyAlignment="1">
      <alignment horizontal="right" vertical="center"/>
    </xf>
    <xf numFmtId="184" fontId="2" fillId="0" borderId="5" xfId="0" applyNumberFormat="1" applyFont="1" applyBorder="1">
      <alignment vertical="center"/>
    </xf>
    <xf numFmtId="0" fontId="2" fillId="5" borderId="3" xfId="0" applyFont="1" applyFill="1" applyBorder="1" applyAlignment="1">
      <alignment horizontal="center" vertical="center"/>
    </xf>
    <xf numFmtId="0" fontId="2" fillId="5" borderId="3" xfId="0" applyFont="1" applyFill="1" applyBorder="1" applyAlignment="1">
      <alignment horizontal="center" vertical="center" shrinkToFit="1"/>
    </xf>
    <xf numFmtId="0" fontId="2" fillId="5" borderId="3" xfId="0" applyFont="1" applyFill="1" applyBorder="1">
      <alignment vertical="center"/>
    </xf>
    <xf numFmtId="0" fontId="2" fillId="5" borderId="4" xfId="0" applyFont="1" applyFill="1" applyBorder="1" applyAlignment="1">
      <alignment horizontal="center" vertical="center"/>
    </xf>
    <xf numFmtId="176" fontId="2" fillId="0" borderId="5" xfId="0" applyNumberFormat="1" applyFont="1" applyBorder="1">
      <alignment vertical="center"/>
    </xf>
    <xf numFmtId="0" fontId="2" fillId="0" borderId="6" xfId="0" applyFont="1" applyBorder="1">
      <alignment vertical="center"/>
    </xf>
    <xf numFmtId="0" fontId="2" fillId="0" borderId="2" xfId="0" applyFont="1" applyBorder="1">
      <alignment vertical="center"/>
    </xf>
    <xf numFmtId="0" fontId="2" fillId="0" borderId="1" xfId="0" applyFont="1" applyBorder="1">
      <alignment vertical="center"/>
    </xf>
    <xf numFmtId="176" fontId="2" fillId="4" borderId="16" xfId="0" applyNumberFormat="1" applyFont="1" applyFill="1" applyBorder="1">
      <alignment vertical="center"/>
    </xf>
    <xf numFmtId="176" fontId="2" fillId="0" borderId="5" xfId="0" applyNumberFormat="1" applyFont="1" applyBorder="1" applyAlignment="1">
      <alignment horizontal="right" vertical="center"/>
    </xf>
    <xf numFmtId="177" fontId="2" fillId="0" borderId="6" xfId="0" applyNumberFormat="1" applyFont="1" applyBorder="1">
      <alignment vertical="center"/>
    </xf>
    <xf numFmtId="176" fontId="2" fillId="0" borderId="16" xfId="0" applyNumberFormat="1" applyFont="1" applyBorder="1">
      <alignment vertical="center"/>
    </xf>
    <xf numFmtId="176" fontId="2" fillId="0" borderId="10" xfId="0" applyNumberFormat="1" applyFont="1" applyBorder="1">
      <alignment vertical="center"/>
    </xf>
    <xf numFmtId="0" fontId="2" fillId="0" borderId="10" xfId="0" applyFont="1" applyBorder="1">
      <alignment vertical="center"/>
    </xf>
    <xf numFmtId="177" fontId="2" fillId="0" borderId="11" xfId="0" applyNumberFormat="1" applyFont="1" applyBorder="1">
      <alignment vertical="center"/>
    </xf>
    <xf numFmtId="176" fontId="2" fillId="0" borderId="7" xfId="0" applyNumberFormat="1" applyFont="1" applyBorder="1">
      <alignment vertical="center"/>
    </xf>
    <xf numFmtId="0" fontId="2" fillId="0" borderId="7" xfId="0" applyFont="1" applyBorder="1">
      <alignment vertical="center"/>
    </xf>
    <xf numFmtId="0" fontId="2" fillId="5" borderId="9" xfId="0" applyFont="1" applyFill="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176" fontId="4" fillId="0" borderId="5" xfId="0" applyNumberFormat="1" applyFont="1" applyBorder="1">
      <alignment vertical="center"/>
    </xf>
    <xf numFmtId="0" fontId="4" fillId="0" borderId="5" xfId="0" applyFont="1" applyBorder="1">
      <alignment vertical="center"/>
    </xf>
    <xf numFmtId="178" fontId="2" fillId="0" borderId="6" xfId="0" applyNumberFormat="1" applyFont="1" applyBorder="1">
      <alignment vertical="center"/>
    </xf>
    <xf numFmtId="179" fontId="2" fillId="0" borderId="2" xfId="0" applyNumberFormat="1" applyFont="1" applyBorder="1" applyAlignment="1">
      <alignment horizontal="center" vertical="center"/>
    </xf>
    <xf numFmtId="179" fontId="2" fillId="0" borderId="1" xfId="0" applyNumberFormat="1" applyFont="1" applyBorder="1" applyAlignment="1">
      <alignment horizontal="center" vertical="center"/>
    </xf>
    <xf numFmtId="176" fontId="4" fillId="3" borderId="5" xfId="0" applyNumberFormat="1" applyFont="1" applyFill="1" applyBorder="1">
      <alignment vertical="center"/>
    </xf>
    <xf numFmtId="0" fontId="4" fillId="0" borderId="10" xfId="0" applyFont="1" applyBorder="1">
      <alignment vertical="center"/>
    </xf>
    <xf numFmtId="178" fontId="2" fillId="0" borderId="11" xfId="0" applyNumberFormat="1" applyFont="1" applyBorder="1">
      <alignment vertical="center"/>
    </xf>
    <xf numFmtId="0" fontId="2" fillId="0" borderId="9" xfId="0" applyFont="1" applyBorder="1">
      <alignment vertical="center"/>
    </xf>
    <xf numFmtId="176" fontId="2" fillId="0" borderId="9" xfId="0" applyNumberFormat="1" applyFont="1" applyBorder="1">
      <alignment vertical="center"/>
    </xf>
    <xf numFmtId="176" fontId="4" fillId="0" borderId="7" xfId="0" applyNumberFormat="1" applyFont="1" applyBorder="1">
      <alignment vertical="center"/>
    </xf>
    <xf numFmtId="0" fontId="4" fillId="0" borderId="7" xfId="0" applyFont="1" applyBorder="1">
      <alignment vertical="center"/>
    </xf>
    <xf numFmtId="178" fontId="2" fillId="0" borderId="8" xfId="0" applyNumberFormat="1" applyFont="1" applyBorder="1">
      <alignment vertical="center"/>
    </xf>
    <xf numFmtId="176" fontId="2" fillId="3" borderId="1" xfId="0" applyNumberFormat="1" applyFont="1" applyFill="1" applyBorder="1">
      <alignment vertical="center"/>
    </xf>
    <xf numFmtId="176" fontId="2" fillId="4" borderId="5" xfId="0" applyNumberFormat="1" applyFont="1" applyFill="1" applyBorder="1">
      <alignment vertical="center"/>
    </xf>
    <xf numFmtId="0" fontId="2" fillId="5" borderId="9" xfId="0" applyFont="1" applyFill="1" applyBorder="1" applyAlignment="1">
      <alignment horizontal="center" vertical="center" shrinkToFit="1"/>
    </xf>
    <xf numFmtId="176" fontId="2" fillId="3" borderId="5" xfId="0" applyNumberFormat="1" applyFont="1" applyFill="1" applyBorder="1">
      <alignment vertical="center"/>
    </xf>
    <xf numFmtId="0" fontId="2" fillId="0" borderId="0" xfId="0" applyFont="1" applyAlignment="1">
      <alignment horizontal="center" vertical="center"/>
    </xf>
    <xf numFmtId="0" fontId="2" fillId="0" borderId="0" xfId="0" quotePrefix="1" applyFont="1">
      <alignment vertical="center"/>
    </xf>
    <xf numFmtId="0" fontId="2" fillId="5" borderId="17" xfId="0" applyFont="1" applyFill="1" applyBorder="1" applyAlignment="1">
      <alignment horizontal="center" vertical="center"/>
    </xf>
    <xf numFmtId="0" fontId="2" fillId="0" borderId="18" xfId="0" applyFont="1" applyBorder="1">
      <alignment vertical="center"/>
    </xf>
    <xf numFmtId="177" fontId="2" fillId="0" borderId="18" xfId="0" applyNumberFormat="1" applyFont="1" applyBorder="1">
      <alignment vertical="center"/>
    </xf>
    <xf numFmtId="177" fontId="2" fillId="0" borderId="19" xfId="0" applyNumberFormat="1" applyFont="1" applyBorder="1">
      <alignment vertical="center"/>
    </xf>
    <xf numFmtId="177" fontId="2" fillId="0" borderId="20" xfId="0" applyNumberFormat="1" applyFont="1" applyBorder="1">
      <alignment vertical="center"/>
    </xf>
    <xf numFmtId="178" fontId="2" fillId="0" borderId="18" xfId="0" applyNumberFormat="1" applyFont="1" applyBorder="1">
      <alignment vertical="center"/>
    </xf>
    <xf numFmtId="178" fontId="2" fillId="0" borderId="19" xfId="0" applyNumberFormat="1" applyFont="1" applyBorder="1">
      <alignment vertical="center"/>
    </xf>
    <xf numFmtId="178" fontId="2" fillId="0" borderId="20" xfId="0" applyNumberFormat="1" applyFont="1" applyBorder="1">
      <alignment vertical="center"/>
    </xf>
    <xf numFmtId="0" fontId="2" fillId="0" borderId="5" xfId="0" applyFont="1" applyBorder="1" applyAlignment="1">
      <alignment horizontal="left" vertical="top" shrinkToFit="1"/>
    </xf>
    <xf numFmtId="0" fontId="2" fillId="0" borderId="5" xfId="0" quotePrefix="1" applyFont="1" applyBorder="1" applyAlignment="1">
      <alignment horizontal="justify" vertical="top" wrapText="1"/>
    </xf>
    <xf numFmtId="0" fontId="2" fillId="0" borderId="10" xfId="0" quotePrefix="1" applyFont="1" applyBorder="1" applyAlignment="1">
      <alignment horizontal="left" vertical="top" wrapText="1"/>
    </xf>
    <xf numFmtId="0" fontId="2" fillId="0" borderId="5" xfId="0" quotePrefix="1" applyFont="1" applyBorder="1" applyAlignment="1">
      <alignment horizontal="left" vertical="top" wrapText="1"/>
    </xf>
    <xf numFmtId="0" fontId="2" fillId="0" borderId="22" xfId="0" applyFont="1" applyBorder="1">
      <alignment vertical="center"/>
    </xf>
    <xf numFmtId="0" fontId="2" fillId="0" borderId="23" xfId="0" applyFont="1" applyBorder="1">
      <alignment vertical="center"/>
    </xf>
    <xf numFmtId="176" fontId="2" fillId="0" borderId="23" xfId="0" applyNumberFormat="1" applyFont="1" applyBorder="1">
      <alignment vertical="center"/>
    </xf>
    <xf numFmtId="176" fontId="4" fillId="0" borderId="23" xfId="0" applyNumberFormat="1" applyFont="1" applyBorder="1">
      <alignment vertical="center"/>
    </xf>
    <xf numFmtId="0" fontId="4" fillId="0" borderId="23" xfId="0" applyFont="1" applyBorder="1">
      <alignment vertical="center"/>
    </xf>
    <xf numFmtId="178" fontId="2" fillId="0" borderId="24" xfId="0" applyNumberFormat="1" applyFont="1" applyBorder="1">
      <alignment vertical="center"/>
    </xf>
    <xf numFmtId="178" fontId="2" fillId="0" borderId="25" xfId="0" applyNumberFormat="1" applyFont="1" applyBorder="1">
      <alignment vertical="center"/>
    </xf>
    <xf numFmtId="179" fontId="2" fillId="0" borderId="26" xfId="0" applyNumberFormat="1" applyFont="1" applyBorder="1" applyAlignment="1">
      <alignment horizontal="center" vertical="center"/>
    </xf>
    <xf numFmtId="0" fontId="2" fillId="0" borderId="27" xfId="0" applyFont="1" applyBorder="1">
      <alignment vertical="center"/>
    </xf>
    <xf numFmtId="179" fontId="2" fillId="0" borderId="27" xfId="0" applyNumberFormat="1" applyFont="1" applyBorder="1" applyAlignment="1">
      <alignment horizontal="center" vertical="center"/>
    </xf>
    <xf numFmtId="179" fontId="2" fillId="0" borderId="28" xfId="0" applyNumberFormat="1" applyFont="1" applyBorder="1" applyAlignment="1">
      <alignment horizontal="center" vertical="center"/>
    </xf>
    <xf numFmtId="180" fontId="2" fillId="0" borderId="0" xfId="0" applyNumberFormat="1" applyFont="1">
      <alignment vertical="center"/>
    </xf>
    <xf numFmtId="14" fontId="2" fillId="0" borderId="1" xfId="0" applyNumberFormat="1" applyFont="1" applyBorder="1">
      <alignment vertical="center"/>
    </xf>
    <xf numFmtId="176" fontId="4" fillId="6" borderId="5" xfId="0" applyNumberFormat="1" applyFont="1" applyFill="1" applyBorder="1">
      <alignment vertical="center"/>
    </xf>
    <xf numFmtId="188" fontId="2" fillId="0" borderId="1" xfId="0" applyNumberFormat="1" applyFont="1" applyBorder="1">
      <alignment vertical="center"/>
    </xf>
    <xf numFmtId="177" fontId="2" fillId="0" borderId="1" xfId="0" applyNumberFormat="1" applyFont="1" applyBorder="1">
      <alignment vertical="center"/>
    </xf>
    <xf numFmtId="0" fontId="2" fillId="3" borderId="1" xfId="0" applyFont="1" applyFill="1" applyBorder="1">
      <alignment vertical="center"/>
    </xf>
    <xf numFmtId="186" fontId="2" fillId="3" borderId="1" xfId="0" applyNumberFormat="1" applyFont="1" applyFill="1" applyBorder="1">
      <alignment vertical="center"/>
    </xf>
    <xf numFmtId="14" fontId="2" fillId="3" borderId="1" xfId="0" applyNumberFormat="1" applyFont="1" applyFill="1" applyBorder="1">
      <alignment vertical="center"/>
    </xf>
    <xf numFmtId="11" fontId="2" fillId="0" borderId="5" xfId="0" applyNumberFormat="1" applyFont="1" applyBorder="1">
      <alignment vertical="center"/>
    </xf>
    <xf numFmtId="0" fontId="6" fillId="0" borderId="5" xfId="0" applyFont="1" applyBorder="1" applyAlignment="1">
      <alignment horizontal="justify" vertical="top" wrapText="1"/>
    </xf>
    <xf numFmtId="0" fontId="2" fillId="0" borderId="7" xfId="0" applyFont="1" applyBorder="1" applyAlignment="1">
      <alignment horizontal="left" vertical="top" wrapText="1"/>
    </xf>
    <xf numFmtId="0" fontId="2" fillId="5" borderId="32" xfId="0" applyFont="1" applyFill="1" applyBorder="1" applyAlignment="1">
      <alignment horizontal="center" vertical="center"/>
    </xf>
    <xf numFmtId="0" fontId="2" fillId="0" borderId="33" xfId="0" applyFont="1" applyBorder="1">
      <alignment vertical="center"/>
    </xf>
    <xf numFmtId="177" fontId="2" fillId="0" borderId="33" xfId="0" applyNumberFormat="1" applyFont="1" applyBorder="1">
      <alignment vertical="center"/>
    </xf>
    <xf numFmtId="177" fontId="2" fillId="0" borderId="34" xfId="0" applyNumberFormat="1" applyFont="1" applyBorder="1">
      <alignment vertical="center"/>
    </xf>
    <xf numFmtId="178" fontId="2" fillId="0" borderId="33" xfId="0" applyNumberFormat="1" applyFont="1" applyBorder="1">
      <alignment vertical="center"/>
    </xf>
    <xf numFmtId="177" fontId="2" fillId="0" borderId="8" xfId="0" applyNumberFormat="1" applyFont="1" applyBorder="1">
      <alignment vertical="center"/>
    </xf>
    <xf numFmtId="179" fontId="2" fillId="0" borderId="5" xfId="0" applyNumberFormat="1" applyFont="1" applyBorder="1" applyAlignment="1">
      <alignment horizontal="center" vertical="center"/>
    </xf>
    <xf numFmtId="179" fontId="2" fillId="0" borderId="16" xfId="0" applyNumberFormat="1" applyFont="1" applyBorder="1" applyAlignment="1">
      <alignment horizontal="center" vertical="center"/>
    </xf>
    <xf numFmtId="0" fontId="2" fillId="0" borderId="14" xfId="0" applyFont="1" applyBorder="1">
      <alignment vertical="center"/>
    </xf>
    <xf numFmtId="0" fontId="2" fillId="0" borderId="35" xfId="0" applyFont="1" applyBorder="1">
      <alignment vertical="center"/>
    </xf>
    <xf numFmtId="176" fontId="2" fillId="0" borderId="35" xfId="0" applyNumberFormat="1" applyFont="1" applyBorder="1">
      <alignment vertical="center"/>
    </xf>
    <xf numFmtId="176" fontId="4" fillId="0" borderId="35" xfId="0" applyNumberFormat="1" applyFont="1" applyBorder="1">
      <alignment vertical="center"/>
    </xf>
    <xf numFmtId="0" fontId="4" fillId="0" borderId="35" xfId="0" applyFont="1" applyBorder="1">
      <alignment vertical="center"/>
    </xf>
    <xf numFmtId="178" fontId="2" fillId="0" borderId="36" xfId="0" applyNumberFormat="1" applyFont="1" applyBorder="1">
      <alignment vertical="center"/>
    </xf>
    <xf numFmtId="178" fontId="2" fillId="0" borderId="37" xfId="0" applyNumberFormat="1" applyFont="1" applyBorder="1">
      <alignment vertical="center"/>
    </xf>
    <xf numFmtId="0" fontId="2" fillId="0" borderId="38" xfId="0" applyFont="1" applyBorder="1">
      <alignment vertical="center"/>
    </xf>
    <xf numFmtId="178" fontId="2" fillId="0" borderId="7" xfId="0" applyNumberFormat="1" applyFont="1" applyBorder="1">
      <alignment vertical="center"/>
    </xf>
    <xf numFmtId="0" fontId="2" fillId="0" borderId="34" xfId="0" applyFont="1" applyBorder="1">
      <alignment vertical="center"/>
    </xf>
    <xf numFmtId="176" fontId="4" fillId="0" borderId="10" xfId="0" applyNumberFormat="1" applyFont="1" applyBorder="1">
      <alignment vertical="center"/>
    </xf>
    <xf numFmtId="178" fontId="2" fillId="0" borderId="10" xfId="0" applyNumberFormat="1" applyFont="1" applyBorder="1">
      <alignment vertical="center"/>
    </xf>
    <xf numFmtId="0" fontId="2" fillId="0" borderId="23" xfId="0" quotePrefix="1" applyFont="1" applyBorder="1">
      <alignment vertical="center"/>
    </xf>
    <xf numFmtId="0" fontId="2" fillId="0" borderId="39" xfId="0" applyFont="1" applyBorder="1">
      <alignment vertical="center"/>
    </xf>
    <xf numFmtId="188" fontId="2" fillId="0" borderId="40" xfId="0" applyNumberFormat="1" applyFont="1" applyBorder="1">
      <alignment vertical="center"/>
    </xf>
    <xf numFmtId="0" fontId="2" fillId="0" borderId="40" xfId="0" applyFont="1" applyBorder="1">
      <alignment vertical="center"/>
    </xf>
    <xf numFmtId="177" fontId="2" fillId="0" borderId="40" xfId="0" applyNumberFormat="1" applyFont="1" applyBorder="1">
      <alignment vertical="center"/>
    </xf>
    <xf numFmtId="0" fontId="2" fillId="0" borderId="43" xfId="0" applyFont="1" applyBorder="1">
      <alignment vertical="center"/>
    </xf>
    <xf numFmtId="188" fontId="2" fillId="0" borderId="27" xfId="0" applyNumberFormat="1" applyFont="1" applyBorder="1">
      <alignment vertical="center"/>
    </xf>
    <xf numFmtId="177" fontId="2" fillId="0" borderId="27" xfId="0" applyNumberFormat="1" applyFont="1" applyBorder="1">
      <alignment vertical="center"/>
    </xf>
    <xf numFmtId="0" fontId="2" fillId="0" borderId="6" xfId="0" applyFont="1" applyBorder="1" applyAlignment="1">
      <alignment horizontal="justify" vertical="top" wrapText="1"/>
    </xf>
    <xf numFmtId="0" fontId="2" fillId="0" borderId="11" xfId="0" applyFont="1" applyBorder="1" applyAlignment="1">
      <alignment horizontal="justify" vertical="top" wrapText="1"/>
    </xf>
    <xf numFmtId="0" fontId="2" fillId="5" borderId="44" xfId="0" applyFont="1" applyFill="1" applyBorder="1" applyAlignment="1">
      <alignment horizontal="center" vertical="center"/>
    </xf>
    <xf numFmtId="0" fontId="2" fillId="0" borderId="41" xfId="0" applyFont="1" applyBorder="1" applyAlignment="1">
      <alignment horizontal="center" vertical="center"/>
    </xf>
    <xf numFmtId="0" fontId="2" fillId="0" borderId="42" xfId="0" applyFont="1" applyBorder="1" applyAlignment="1">
      <alignment horizontal="center" vertical="center"/>
    </xf>
    <xf numFmtId="176" fontId="2" fillId="4" borderId="27" xfId="0" applyNumberFormat="1" applyFont="1" applyFill="1" applyBorder="1">
      <alignment vertical="center"/>
    </xf>
    <xf numFmtId="0" fontId="2" fillId="0" borderId="8" xfId="0" applyFont="1" applyBorder="1" applyAlignment="1">
      <alignment horizontal="justify" vertical="top" wrapText="1"/>
    </xf>
    <xf numFmtId="181" fontId="2" fillId="6" borderId="27" xfId="0" applyNumberFormat="1" applyFont="1" applyFill="1" applyBorder="1">
      <alignment vertical="center"/>
    </xf>
    <xf numFmtId="0" fontId="2" fillId="0" borderId="33" xfId="0" quotePrefix="1" applyFont="1" applyBorder="1">
      <alignment vertical="center"/>
    </xf>
    <xf numFmtId="186" fontId="2" fillId="0" borderId="5" xfId="0" applyNumberFormat="1" applyFont="1" applyBorder="1">
      <alignment vertical="center"/>
    </xf>
    <xf numFmtId="178" fontId="2" fillId="0" borderId="5" xfId="0" applyNumberFormat="1" applyFont="1" applyBorder="1">
      <alignment vertical="center"/>
    </xf>
    <xf numFmtId="0" fontId="2" fillId="0" borderId="38" xfId="0" quotePrefix="1" applyFont="1" applyBorder="1">
      <alignment vertical="center"/>
    </xf>
    <xf numFmtId="186" fontId="2" fillId="0" borderId="7" xfId="0" applyNumberFormat="1" applyFont="1" applyBorder="1">
      <alignment vertical="center"/>
    </xf>
    <xf numFmtId="0" fontId="4" fillId="2" borderId="5" xfId="0" applyFont="1" applyFill="1" applyBorder="1">
      <alignment vertical="center"/>
    </xf>
    <xf numFmtId="0" fontId="2" fillId="2" borderId="5" xfId="0" applyFont="1" applyFill="1" applyBorder="1">
      <alignment vertical="center"/>
    </xf>
    <xf numFmtId="0" fontId="2" fillId="2" borderId="6" xfId="0" applyFont="1" applyFill="1" applyBorder="1" applyAlignment="1">
      <alignment horizontal="justify" vertical="top" wrapText="1"/>
    </xf>
    <xf numFmtId="178" fontId="2" fillId="2" borderId="6" xfId="0" applyNumberFormat="1" applyFont="1" applyFill="1" applyBorder="1">
      <alignment vertical="center"/>
    </xf>
    <xf numFmtId="176" fontId="2" fillId="2" borderId="5" xfId="0" applyNumberFormat="1" applyFont="1" applyFill="1" applyBorder="1">
      <alignment vertical="center"/>
    </xf>
    <xf numFmtId="177" fontId="2" fillId="2" borderId="18" xfId="0" applyNumberFormat="1" applyFont="1" applyFill="1" applyBorder="1">
      <alignment vertical="center"/>
    </xf>
    <xf numFmtId="0" fontId="6" fillId="0" borderId="0" xfId="0" applyFont="1">
      <alignment vertical="center"/>
    </xf>
    <xf numFmtId="0" fontId="2" fillId="0" borderId="0" xfId="0" applyFont="1" applyAlignment="1">
      <alignment horizontal="right" vertical="center"/>
    </xf>
    <xf numFmtId="191" fontId="2" fillId="0" borderId="0" xfId="0" applyNumberFormat="1" applyFont="1">
      <alignment vertical="center"/>
    </xf>
    <xf numFmtId="191" fontId="2" fillId="0" borderId="5" xfId="0" applyNumberFormat="1" applyFont="1" applyBorder="1" applyAlignment="1">
      <alignment horizontal="right" vertical="center"/>
    </xf>
    <xf numFmtId="191" fontId="2" fillId="0" borderId="7" xfId="0" applyNumberFormat="1" applyFont="1" applyBorder="1" applyAlignment="1">
      <alignment horizontal="right" vertical="center"/>
    </xf>
    <xf numFmtId="176" fontId="2" fillId="0" borderId="3" xfId="0" applyNumberFormat="1" applyFont="1" applyBorder="1">
      <alignment vertical="center"/>
    </xf>
    <xf numFmtId="0" fontId="2" fillId="0" borderId="3" xfId="0" applyFont="1" applyBorder="1">
      <alignment vertical="center"/>
    </xf>
    <xf numFmtId="0" fontId="2" fillId="0" borderId="3" xfId="0" applyFont="1" applyBorder="1" applyAlignment="1">
      <alignment horizontal="justify" vertical="top" wrapText="1"/>
    </xf>
    <xf numFmtId="176" fontId="4" fillId="0" borderId="3" xfId="0" applyNumberFormat="1" applyFont="1" applyBorder="1">
      <alignment vertical="center"/>
    </xf>
    <xf numFmtId="0" fontId="4" fillId="0" borderId="3" xfId="0" applyFont="1" applyBorder="1">
      <alignment vertical="center"/>
    </xf>
    <xf numFmtId="178" fontId="2" fillId="0" borderId="4" xfId="0" applyNumberFormat="1" applyFont="1" applyBorder="1">
      <alignment vertical="center"/>
    </xf>
    <xf numFmtId="176" fontId="2" fillId="0" borderId="3" xfId="0" applyNumberFormat="1" applyFont="1" applyBorder="1" applyAlignment="1">
      <alignment horizontal="center" vertical="center"/>
    </xf>
    <xf numFmtId="0" fontId="2" fillId="0" borderId="67" xfId="0" applyFont="1" applyBorder="1" applyAlignment="1">
      <alignment horizontal="right" vertical="center"/>
    </xf>
    <xf numFmtId="177" fontId="2" fillId="0" borderId="67" xfId="0" applyNumberFormat="1" applyFont="1" applyBorder="1" applyAlignment="1">
      <alignment horizontal="right" vertical="center"/>
    </xf>
    <xf numFmtId="176" fontId="2" fillId="0" borderId="5" xfId="0" applyNumberFormat="1" applyFont="1" applyBorder="1" applyAlignment="1">
      <alignment horizontal="center" vertical="center"/>
    </xf>
    <xf numFmtId="0" fontId="2" fillId="0" borderId="16" xfId="0" applyFont="1" applyBorder="1" applyAlignment="1">
      <alignment horizontal="right" vertical="center"/>
    </xf>
    <xf numFmtId="177" fontId="2" fillId="0" borderId="16" xfId="0" applyNumberFormat="1" applyFont="1" applyBorder="1" applyAlignment="1">
      <alignment horizontal="right" vertical="center"/>
    </xf>
    <xf numFmtId="178" fontId="2" fillId="0" borderId="17" xfId="0" applyNumberFormat="1" applyFont="1" applyBorder="1">
      <alignment vertical="center"/>
    </xf>
    <xf numFmtId="0" fontId="2" fillId="5" borderId="67" xfId="0" applyFont="1" applyFill="1" applyBorder="1" applyAlignment="1">
      <alignment horizontal="center" vertical="center"/>
    </xf>
    <xf numFmtId="196" fontId="2" fillId="0" borderId="16" xfId="0" applyNumberFormat="1" applyFont="1" applyBorder="1" applyAlignment="1">
      <alignment horizontal="right" vertical="top" wrapText="1"/>
    </xf>
    <xf numFmtId="195" fontId="2" fillId="0" borderId="16" xfId="0" applyNumberFormat="1" applyFont="1" applyBorder="1" applyAlignment="1">
      <alignment horizontal="right" vertical="top" wrapText="1"/>
    </xf>
    <xf numFmtId="189" fontId="2" fillId="0" borderId="16" xfId="0" applyNumberFormat="1" applyFont="1" applyBorder="1" applyAlignment="1">
      <alignment horizontal="right" vertical="top" wrapText="1"/>
    </xf>
    <xf numFmtId="194" fontId="2" fillId="0" borderId="16" xfId="0" applyNumberFormat="1" applyFont="1" applyBorder="1" applyAlignment="1">
      <alignment horizontal="right" vertical="top" wrapText="1"/>
    </xf>
    <xf numFmtId="193" fontId="2" fillId="0" borderId="16" xfId="0" applyNumberFormat="1" applyFont="1" applyBorder="1" applyAlignment="1">
      <alignment horizontal="right" vertical="top" wrapText="1"/>
    </xf>
    <xf numFmtId="192" fontId="2" fillId="0" borderId="16" xfId="0" applyNumberFormat="1" applyFont="1" applyBorder="1" applyAlignment="1">
      <alignment horizontal="right" vertical="top" wrapText="1"/>
    </xf>
    <xf numFmtId="191" fontId="2" fillId="0" borderId="16" xfId="0" applyNumberFormat="1" applyFont="1" applyBorder="1" applyAlignment="1">
      <alignment horizontal="right" vertical="top" wrapText="1"/>
    </xf>
    <xf numFmtId="191" fontId="2" fillId="0" borderId="69" xfId="0" applyNumberFormat="1" applyFont="1" applyBorder="1" applyAlignment="1">
      <alignment horizontal="right" vertical="top" wrapText="1"/>
    </xf>
    <xf numFmtId="0" fontId="2" fillId="5" borderId="4" xfId="0" applyFont="1" applyFill="1" applyBorder="1" applyAlignment="1">
      <alignment horizontal="center" vertical="center" shrinkToFit="1"/>
    </xf>
    <xf numFmtId="196" fontId="2" fillId="0" borderId="33" xfId="0" applyNumberFormat="1" applyFont="1" applyBorder="1" applyAlignment="1">
      <alignment horizontal="right" vertical="top" wrapText="1"/>
    </xf>
    <xf numFmtId="177" fontId="2" fillId="0" borderId="5" xfId="0" applyNumberFormat="1" applyFont="1" applyBorder="1" applyAlignment="1">
      <alignment horizontal="right" vertical="center"/>
    </xf>
    <xf numFmtId="0" fontId="2" fillId="0" borderId="6" xfId="0" applyFont="1" applyBorder="1" applyAlignment="1">
      <alignment horizontal="left" vertical="center"/>
    </xf>
    <xf numFmtId="195" fontId="2" fillId="0" borderId="33" xfId="0" applyNumberFormat="1" applyFont="1" applyBorder="1" applyAlignment="1">
      <alignment horizontal="right" vertical="top" wrapText="1"/>
    </xf>
    <xf numFmtId="189" fontId="2" fillId="0" borderId="33" xfId="0" applyNumberFormat="1" applyFont="1" applyBorder="1" applyAlignment="1">
      <alignment horizontal="right" vertical="top" wrapText="1"/>
    </xf>
    <xf numFmtId="194" fontId="2" fillId="0" borderId="33" xfId="0" applyNumberFormat="1" applyFont="1" applyBorder="1" applyAlignment="1">
      <alignment horizontal="right" vertical="top" wrapText="1"/>
    </xf>
    <xf numFmtId="193" fontId="2" fillId="0" borderId="33" xfId="0" applyNumberFormat="1" applyFont="1" applyBorder="1" applyAlignment="1">
      <alignment horizontal="right" vertical="top" wrapText="1"/>
    </xf>
    <xf numFmtId="192" fontId="2" fillId="0" borderId="33" xfId="0" applyNumberFormat="1" applyFont="1" applyBorder="1" applyAlignment="1">
      <alignment horizontal="right" vertical="top" wrapText="1"/>
    </xf>
    <xf numFmtId="191" fontId="2" fillId="0" borderId="33" xfId="0" applyNumberFormat="1" applyFont="1" applyBorder="1" applyAlignment="1">
      <alignment horizontal="right" vertical="top" wrapText="1"/>
    </xf>
    <xf numFmtId="191" fontId="2" fillId="0" borderId="38" xfId="0" applyNumberFormat="1" applyFont="1" applyBorder="1" applyAlignment="1">
      <alignment horizontal="right" vertical="top" wrapText="1"/>
    </xf>
    <xf numFmtId="176" fontId="2" fillId="0" borderId="7" xfId="0" applyNumberFormat="1" applyFont="1" applyBorder="1" applyAlignment="1">
      <alignment horizontal="center" vertical="center"/>
    </xf>
    <xf numFmtId="0" fontId="2" fillId="0" borderId="7" xfId="0" applyFont="1" applyBorder="1" applyAlignment="1">
      <alignment horizontal="right" vertical="center"/>
    </xf>
    <xf numFmtId="177" fontId="2" fillId="0" borderId="7" xfId="0" applyNumberFormat="1" applyFont="1" applyBorder="1" applyAlignment="1">
      <alignment horizontal="right" vertical="center"/>
    </xf>
    <xf numFmtId="0" fontId="2" fillId="0" borderId="8" xfId="0" applyFont="1" applyBorder="1" applyAlignment="1">
      <alignment horizontal="left" vertical="center"/>
    </xf>
    <xf numFmtId="196" fontId="2" fillId="0" borderId="67" xfId="0" applyNumberFormat="1" applyFont="1" applyBorder="1" applyAlignment="1">
      <alignment horizontal="right" vertical="top" wrapText="1"/>
    </xf>
    <xf numFmtId="0" fontId="2" fillId="0" borderId="70" xfId="0" applyFont="1" applyBorder="1" applyAlignment="1">
      <alignment horizontal="left" vertical="center"/>
    </xf>
    <xf numFmtId="0" fontId="2" fillId="0" borderId="71" xfId="0" applyFont="1" applyBorder="1" applyAlignment="1">
      <alignment horizontal="left" vertical="center"/>
    </xf>
    <xf numFmtId="0" fontId="2" fillId="0" borderId="66" xfId="0" applyFont="1" applyBorder="1" applyAlignment="1">
      <alignment horizontal="right" vertical="center"/>
    </xf>
    <xf numFmtId="177" fontId="2" fillId="0" borderId="66" xfId="0" applyNumberFormat="1" applyFont="1" applyBorder="1" applyAlignment="1">
      <alignment horizontal="right" vertical="center"/>
    </xf>
    <xf numFmtId="0" fontId="2" fillId="0" borderId="72" xfId="0" applyFont="1" applyBorder="1" applyAlignment="1">
      <alignment horizontal="left" vertical="center"/>
    </xf>
    <xf numFmtId="0" fontId="2" fillId="0" borderId="3" xfId="0" applyFont="1" applyBorder="1" applyAlignment="1">
      <alignment horizontal="right" vertical="center"/>
    </xf>
    <xf numFmtId="177" fontId="2" fillId="0" borderId="3" xfId="0" applyNumberFormat="1" applyFont="1" applyBorder="1" applyAlignment="1">
      <alignment horizontal="right" vertical="center"/>
    </xf>
    <xf numFmtId="0" fontId="2" fillId="0" borderId="4" xfId="0" applyFont="1" applyBorder="1" applyAlignment="1">
      <alignment horizontal="left" vertical="center"/>
    </xf>
    <xf numFmtId="191" fontId="2" fillId="0" borderId="33" xfId="0" quotePrefix="1" applyNumberFormat="1" applyFont="1" applyBorder="1" applyAlignment="1">
      <alignment horizontal="right" vertical="top" wrapText="1"/>
    </xf>
    <xf numFmtId="191" fontId="2" fillId="0" borderId="38" xfId="0" quotePrefix="1" applyNumberFormat="1" applyFont="1" applyBorder="1" applyAlignment="1">
      <alignment horizontal="right" vertical="top" wrapText="1"/>
    </xf>
    <xf numFmtId="190" fontId="2" fillId="0" borderId="33" xfId="0" quotePrefix="1" applyNumberFormat="1" applyFont="1" applyBorder="1" applyAlignment="1">
      <alignment horizontal="right" vertical="top" wrapText="1"/>
    </xf>
    <xf numFmtId="193" fontId="2" fillId="0" borderId="32" xfId="0" applyNumberFormat="1" applyFont="1" applyBorder="1" applyAlignment="1">
      <alignment horizontal="right" vertical="top" wrapText="1"/>
    </xf>
    <xf numFmtId="191" fontId="2" fillId="0" borderId="32" xfId="0" applyNumberFormat="1" applyFont="1" applyBorder="1" applyAlignment="1">
      <alignment horizontal="right" vertical="top" wrapText="1"/>
    </xf>
    <xf numFmtId="176" fontId="2" fillId="0" borderId="0" xfId="0" applyNumberFormat="1" applyFont="1">
      <alignment vertical="center"/>
    </xf>
    <xf numFmtId="178" fontId="2" fillId="0" borderId="3" xfId="0" applyNumberFormat="1" applyFont="1" applyBorder="1">
      <alignment vertical="center"/>
    </xf>
    <xf numFmtId="0" fontId="2" fillId="0" borderId="7" xfId="0" applyFont="1" applyBorder="1" applyAlignment="1">
      <alignment vertical="center" shrinkToFit="1"/>
    </xf>
    <xf numFmtId="188" fontId="2" fillId="0" borderId="2" xfId="0" applyNumberFormat="1" applyFont="1" applyBorder="1">
      <alignment vertical="center"/>
    </xf>
    <xf numFmtId="188" fontId="2" fillId="0" borderId="39" xfId="0" applyNumberFormat="1" applyFont="1" applyBorder="1">
      <alignment vertical="center"/>
    </xf>
    <xf numFmtId="177" fontId="2" fillId="0" borderId="5" xfId="0" applyNumberFormat="1" applyFont="1" applyBorder="1">
      <alignment vertical="center"/>
    </xf>
    <xf numFmtId="177" fontId="2" fillId="0" borderId="7" xfId="0" applyNumberFormat="1" applyFont="1" applyBorder="1">
      <alignment vertical="center"/>
    </xf>
    <xf numFmtId="0" fontId="2" fillId="2" borderId="6" xfId="0" applyFont="1" applyFill="1" applyBorder="1" applyAlignment="1">
      <alignment horizontal="center" vertical="center"/>
    </xf>
    <xf numFmtId="3" fontId="2" fillId="0" borderId="32" xfId="0" applyNumberFormat="1" applyFont="1" applyBorder="1" applyAlignment="1">
      <alignment horizontal="right" vertical="center"/>
    </xf>
    <xf numFmtId="0" fontId="2" fillId="0" borderId="33" xfId="0" applyFont="1" applyBorder="1" applyAlignment="1">
      <alignment horizontal="right" vertical="center"/>
    </xf>
    <xf numFmtId="0" fontId="2" fillId="0" borderId="38" xfId="0" applyFont="1" applyBorder="1" applyAlignment="1">
      <alignment horizontal="right" vertical="center"/>
    </xf>
    <xf numFmtId="0" fontId="2" fillId="5" borderId="3" xfId="0" applyFont="1" applyFill="1" applyBorder="1" applyAlignment="1">
      <alignment horizontal="left" vertical="center" shrinkToFit="1"/>
    </xf>
    <xf numFmtId="0" fontId="2" fillId="0" borderId="3" xfId="0" applyFont="1" applyBorder="1" applyAlignment="1">
      <alignment horizontal="left" vertical="top" wrapText="1"/>
    </xf>
    <xf numFmtId="0" fontId="2" fillId="0" borderId="3" xfId="0" applyFont="1" applyBorder="1" applyAlignment="1">
      <alignment horizontal="left" vertical="center"/>
    </xf>
    <xf numFmtId="0" fontId="2" fillId="0" borderId="5" xfId="0" applyFont="1" applyBorder="1" applyAlignment="1">
      <alignment horizontal="left" vertical="center"/>
    </xf>
    <xf numFmtId="0" fontId="2" fillId="0" borderId="7" xfId="0" applyFont="1" applyBorder="1" applyAlignment="1">
      <alignment horizontal="left" vertical="center"/>
    </xf>
    <xf numFmtId="0" fontId="2" fillId="0" borderId="0" xfId="0" applyFont="1" applyAlignment="1">
      <alignment horizontal="left" vertical="center"/>
    </xf>
    <xf numFmtId="0" fontId="2" fillId="0" borderId="67" xfId="0" applyFont="1" applyBorder="1" applyAlignment="1">
      <alignment horizontal="right" vertical="top" wrapText="1"/>
    </xf>
    <xf numFmtId="0" fontId="2" fillId="0" borderId="16" xfId="0" applyFont="1" applyBorder="1" applyAlignment="1">
      <alignment horizontal="right" vertical="top" wrapText="1"/>
    </xf>
    <xf numFmtId="191" fontId="2" fillId="0" borderId="34" xfId="0" quotePrefix="1" applyNumberFormat="1" applyFont="1" applyBorder="1" applyAlignment="1">
      <alignment horizontal="right" vertical="top" wrapText="1"/>
    </xf>
    <xf numFmtId="0" fontId="2" fillId="7" borderId="5" xfId="0" applyFont="1" applyFill="1" applyBorder="1" applyAlignment="1">
      <alignment vertical="center" wrapText="1"/>
    </xf>
    <xf numFmtId="0" fontId="2" fillId="0" borderId="0" xfId="0" applyFont="1" applyAlignment="1">
      <alignment vertical="center" wrapText="1"/>
    </xf>
    <xf numFmtId="0" fontId="2" fillId="0" borderId="5" xfId="0" applyFont="1" applyBorder="1" applyAlignment="1">
      <alignment vertical="center" wrapText="1"/>
    </xf>
    <xf numFmtId="0" fontId="2" fillId="0" borderId="5" xfId="0" quotePrefix="1" applyFont="1" applyBorder="1" applyAlignment="1">
      <alignment vertical="center" wrapText="1"/>
    </xf>
    <xf numFmtId="0" fontId="5" fillId="0" borderId="5" xfId="0" applyFont="1" applyBorder="1" applyAlignment="1">
      <alignment vertical="center" wrapText="1"/>
    </xf>
    <xf numFmtId="187" fontId="2" fillId="0" borderId="5" xfId="0" applyNumberFormat="1" applyFont="1" applyBorder="1" applyAlignment="1">
      <alignment vertical="center" wrapText="1"/>
    </xf>
    <xf numFmtId="189" fontId="2" fillId="0" borderId="5" xfId="0" applyNumberFormat="1" applyFont="1" applyBorder="1" applyAlignment="1">
      <alignment vertical="center" wrapText="1"/>
    </xf>
    <xf numFmtId="190" fontId="2" fillId="0" borderId="0" xfId="0" applyNumberFormat="1" applyFont="1" applyAlignment="1">
      <alignment vertical="center" wrapText="1"/>
    </xf>
    <xf numFmtId="191" fontId="2" fillId="0" borderId="66" xfId="0" applyNumberFormat="1" applyFont="1" applyBorder="1" applyAlignment="1">
      <alignment horizontal="right" vertical="center"/>
    </xf>
    <xf numFmtId="0" fontId="2" fillId="0" borderId="8" xfId="0" applyFont="1" applyBorder="1" applyAlignment="1">
      <alignment vertical="center" shrinkToFit="1"/>
    </xf>
    <xf numFmtId="192" fontId="2" fillId="0" borderId="61" xfId="0" applyNumberFormat="1" applyFont="1" applyBorder="1" applyAlignment="1">
      <alignment horizontal="right" vertical="top" wrapText="1"/>
    </xf>
    <xf numFmtId="0" fontId="2" fillId="0" borderId="9" xfId="0" applyFont="1" applyBorder="1" applyAlignment="1">
      <alignment horizontal="left" vertical="top" wrapText="1"/>
    </xf>
    <xf numFmtId="186" fontId="12" fillId="0" borderId="3" xfId="0" applyNumberFormat="1" applyFont="1" applyBorder="1">
      <alignment vertical="center"/>
    </xf>
    <xf numFmtId="0" fontId="7" fillId="0" borderId="35" xfId="0" applyFont="1" applyBorder="1">
      <alignment vertical="center"/>
    </xf>
    <xf numFmtId="178" fontId="12" fillId="0" borderId="35" xfId="0" applyNumberFormat="1" applyFont="1" applyBorder="1">
      <alignment vertical="center"/>
    </xf>
    <xf numFmtId="186" fontId="12" fillId="0" borderId="5" xfId="0" applyNumberFormat="1" applyFont="1" applyBorder="1">
      <alignment vertical="center"/>
    </xf>
    <xf numFmtId="176" fontId="7" fillId="0" borderId="5" xfId="0" applyNumberFormat="1" applyFont="1" applyBorder="1">
      <alignment vertical="center"/>
    </xf>
    <xf numFmtId="0" fontId="7" fillId="0" borderId="5" xfId="0" applyFont="1" applyBorder="1">
      <alignment vertical="center"/>
    </xf>
    <xf numFmtId="178" fontId="12" fillId="0" borderId="5" xfId="0" applyNumberFormat="1" applyFont="1" applyBorder="1">
      <alignment vertical="center"/>
    </xf>
    <xf numFmtId="183" fontId="2" fillId="0" borderId="0" xfId="0" applyNumberFormat="1" applyFont="1">
      <alignment vertical="center"/>
    </xf>
    <xf numFmtId="186" fontId="2" fillId="0" borderId="0" xfId="0" applyNumberFormat="1" applyFont="1">
      <alignment vertical="center"/>
    </xf>
    <xf numFmtId="176" fontId="4" fillId="0" borderId="0" xfId="0" applyNumberFormat="1" applyFont="1">
      <alignment vertical="center"/>
    </xf>
    <xf numFmtId="0" fontId="4" fillId="0" borderId="0" xfId="0" applyFont="1">
      <alignment vertical="center"/>
    </xf>
    <xf numFmtId="178" fontId="2" fillId="0" borderId="0" xfId="0" applyNumberFormat="1" applyFont="1">
      <alignment vertical="center"/>
    </xf>
    <xf numFmtId="179" fontId="2" fillId="0" borderId="0" xfId="0" applyNumberFormat="1" applyFont="1" applyAlignment="1">
      <alignment horizontal="center" vertical="center"/>
    </xf>
    <xf numFmtId="177" fontId="2" fillId="0" borderId="0" xfId="0" applyNumberFormat="1" applyFont="1">
      <alignment vertical="center"/>
    </xf>
    <xf numFmtId="176" fontId="7" fillId="12" borderId="35" xfId="0" applyNumberFormat="1" applyFont="1" applyFill="1" applyBorder="1">
      <alignment vertical="center"/>
    </xf>
    <xf numFmtId="0" fontId="2" fillId="0" borderId="35" xfId="0" applyFont="1" applyBorder="1" applyAlignment="1">
      <alignment horizontal="center" vertical="center"/>
    </xf>
    <xf numFmtId="0" fontId="2" fillId="0" borderId="7" xfId="0" applyFont="1" applyBorder="1" applyAlignment="1">
      <alignment horizontal="center" vertical="center"/>
    </xf>
    <xf numFmtId="177" fontId="2" fillId="0" borderId="35" xfId="0" applyNumberFormat="1" applyFont="1" applyBorder="1">
      <alignment vertical="center"/>
    </xf>
    <xf numFmtId="182" fontId="2" fillId="0" borderId="0" xfId="0" applyNumberFormat="1" applyFont="1">
      <alignment vertical="center"/>
    </xf>
    <xf numFmtId="184" fontId="2" fillId="0" borderId="0" xfId="0" applyNumberFormat="1" applyFont="1">
      <alignment vertical="center"/>
    </xf>
    <xf numFmtId="0" fontId="2" fillId="0" borderId="32" xfId="0" applyFont="1" applyBorder="1">
      <alignment vertical="center"/>
    </xf>
    <xf numFmtId="190" fontId="2" fillId="0" borderId="3" xfId="0" applyNumberFormat="1" applyFont="1" applyBorder="1">
      <alignment vertical="center"/>
    </xf>
    <xf numFmtId="0" fontId="2" fillId="0" borderId="0" xfId="0" applyFont="1" applyAlignment="1">
      <alignment horizontal="left" vertical="center" shrinkToFit="1"/>
    </xf>
    <xf numFmtId="191" fontId="2" fillId="0" borderId="0" xfId="0" applyNumberFormat="1" applyFont="1" applyAlignment="1">
      <alignment horizontal="right" vertical="center"/>
    </xf>
    <xf numFmtId="176" fontId="2" fillId="0" borderId="10" xfId="0" applyNumberFormat="1" applyFont="1" applyBorder="1" applyAlignment="1">
      <alignment horizontal="center" vertical="center"/>
    </xf>
    <xf numFmtId="0" fontId="2" fillId="0" borderId="10" xfId="0" applyFont="1" applyBorder="1" applyAlignment="1">
      <alignment horizontal="right" vertical="center"/>
    </xf>
    <xf numFmtId="177" fontId="2" fillId="0" borderId="10" xfId="0" applyNumberFormat="1" applyFont="1" applyBorder="1" applyAlignment="1">
      <alignment horizontal="right" vertical="center"/>
    </xf>
    <xf numFmtId="0" fontId="2" fillId="0" borderId="11" xfId="0" applyFont="1" applyBorder="1" applyAlignment="1">
      <alignment horizontal="left" vertical="center"/>
    </xf>
    <xf numFmtId="181" fontId="2" fillId="0" borderId="27" xfId="0" applyNumberFormat="1" applyFont="1" applyBorder="1">
      <alignment vertical="center"/>
    </xf>
    <xf numFmtId="197" fontId="2" fillId="0" borderId="6" xfId="0" applyNumberFormat="1" applyFont="1" applyBorder="1" applyAlignment="1">
      <alignment horizontal="left" vertical="center"/>
    </xf>
    <xf numFmtId="0" fontId="2" fillId="0" borderId="81" xfId="0" applyFont="1" applyBorder="1" applyAlignment="1">
      <alignment horizontal="center" vertical="center"/>
    </xf>
    <xf numFmtId="0" fontId="2" fillId="0" borderId="82" xfId="0" applyFont="1" applyBorder="1" applyAlignment="1">
      <alignment horizontal="center" vertical="center"/>
    </xf>
    <xf numFmtId="0" fontId="2" fillId="0" borderId="82" xfId="0" applyFont="1" applyBorder="1">
      <alignment vertical="center"/>
    </xf>
    <xf numFmtId="10" fontId="2" fillId="0" borderId="1" xfId="0" applyNumberFormat="1" applyFont="1" applyBorder="1">
      <alignment vertical="center"/>
    </xf>
    <xf numFmtId="0" fontId="2" fillId="0" borderId="83" xfId="0" applyFont="1" applyBorder="1">
      <alignment vertical="center"/>
    </xf>
    <xf numFmtId="0" fontId="2" fillId="0" borderId="9" xfId="0" applyFont="1" applyBorder="1" applyAlignment="1">
      <alignment horizontal="justify" vertical="top" wrapText="1"/>
    </xf>
    <xf numFmtId="10" fontId="2" fillId="0" borderId="83" xfId="0" applyNumberFormat="1" applyFont="1" applyBorder="1">
      <alignment vertical="center"/>
    </xf>
    <xf numFmtId="186" fontId="2" fillId="0" borderId="1" xfId="0" applyNumberFormat="1" applyFont="1" applyBorder="1">
      <alignment vertical="center"/>
    </xf>
    <xf numFmtId="187" fontId="2" fillId="0" borderId="2" xfId="0" applyNumberFormat="1" applyFont="1" applyBorder="1">
      <alignment vertical="center"/>
    </xf>
    <xf numFmtId="187" fontId="2" fillId="0" borderId="84" xfId="0" applyNumberFormat="1" applyFont="1" applyBorder="1">
      <alignment vertical="center"/>
    </xf>
    <xf numFmtId="0" fontId="2" fillId="3" borderId="33" xfId="0" applyFont="1" applyFill="1" applyBorder="1">
      <alignment vertical="center"/>
    </xf>
    <xf numFmtId="196" fontId="2" fillId="0" borderId="32" xfId="0" applyNumberFormat="1" applyFont="1" applyBorder="1" applyAlignment="1">
      <alignment horizontal="right" vertical="top" wrapText="1"/>
    </xf>
    <xf numFmtId="198" fontId="2" fillId="0" borderId="5" xfId="0" applyNumberFormat="1" applyFont="1" applyBorder="1" applyAlignment="1">
      <alignment horizontal="left" vertical="top" wrapText="1"/>
    </xf>
    <xf numFmtId="190" fontId="2" fillId="0" borderId="1" xfId="0" applyNumberFormat="1" applyFont="1" applyBorder="1">
      <alignment vertical="center"/>
    </xf>
    <xf numFmtId="190" fontId="4" fillId="0" borderId="5" xfId="0" applyNumberFormat="1" applyFont="1" applyBorder="1">
      <alignment vertical="center"/>
    </xf>
    <xf numFmtId="176" fontId="2" fillId="0" borderId="27" xfId="0" applyNumberFormat="1" applyFont="1" applyBorder="1">
      <alignment vertical="center"/>
    </xf>
    <xf numFmtId="190" fontId="4" fillId="0" borderId="7" xfId="0" applyNumberFormat="1" applyFont="1" applyBorder="1">
      <alignment vertical="center"/>
    </xf>
    <xf numFmtId="0" fontId="4" fillId="0" borderId="5" xfId="0" applyFont="1" applyBorder="1" applyAlignment="1">
      <alignment horizontal="left" vertical="top" wrapText="1"/>
    </xf>
    <xf numFmtId="178" fontId="4" fillId="0" borderId="18" xfId="0" applyNumberFormat="1" applyFont="1" applyBorder="1">
      <alignment vertical="center"/>
    </xf>
    <xf numFmtId="178" fontId="4" fillId="0" borderId="6" xfId="0" applyNumberFormat="1" applyFont="1" applyBorder="1">
      <alignment vertical="center"/>
    </xf>
    <xf numFmtId="199" fontId="2" fillId="0" borderId="5" xfId="0" applyNumberFormat="1" applyFont="1" applyBorder="1">
      <alignment vertical="center"/>
    </xf>
    <xf numFmtId="199" fontId="2" fillId="4" borderId="5" xfId="0" applyNumberFormat="1" applyFont="1" applyFill="1" applyBorder="1">
      <alignment vertical="center"/>
    </xf>
    <xf numFmtId="179" fontId="2" fillId="5" borderId="3" xfId="0" applyNumberFormat="1" applyFont="1" applyFill="1" applyBorder="1" applyAlignment="1">
      <alignment horizontal="center" vertical="center"/>
    </xf>
    <xf numFmtId="179" fontId="2" fillId="0" borderId="5" xfId="0" applyNumberFormat="1" applyFont="1" applyBorder="1">
      <alignment vertical="center"/>
    </xf>
    <xf numFmtId="179" fontId="2" fillId="0" borderId="5" xfId="0" applyNumberFormat="1" applyFont="1" applyBorder="1" applyAlignment="1">
      <alignment horizontal="right" vertical="center"/>
    </xf>
    <xf numFmtId="179" fontId="2" fillId="0" borderId="65" xfId="0" applyNumberFormat="1" applyFont="1" applyBorder="1">
      <alignment vertical="center"/>
    </xf>
    <xf numFmtId="179" fontId="2" fillId="0" borderId="10" xfId="0" applyNumberFormat="1" applyFont="1" applyBorder="1">
      <alignment vertical="center"/>
    </xf>
    <xf numFmtId="179" fontId="2" fillId="0" borderId="7" xfId="0" applyNumberFormat="1" applyFont="1" applyBorder="1">
      <alignment vertical="center"/>
    </xf>
    <xf numFmtId="179" fontId="2" fillId="5" borderId="9" xfId="0" applyNumberFormat="1" applyFont="1" applyFill="1" applyBorder="1" applyAlignment="1">
      <alignment horizontal="center" vertical="center"/>
    </xf>
    <xf numFmtId="179" fontId="2" fillId="4" borderId="5" xfId="0" applyNumberFormat="1" applyFont="1" applyFill="1" applyBorder="1">
      <alignment vertical="center"/>
    </xf>
    <xf numFmtId="179" fontId="4" fillId="0" borderId="5" xfId="0" applyNumberFormat="1" applyFont="1" applyBorder="1">
      <alignment vertical="center"/>
    </xf>
    <xf numFmtId="179" fontId="4" fillId="0" borderId="10" xfId="0" applyNumberFormat="1" applyFont="1" applyBorder="1">
      <alignment vertical="center"/>
    </xf>
    <xf numFmtId="179" fontId="4" fillId="0" borderId="7" xfId="0" applyNumberFormat="1" applyFont="1" applyBorder="1">
      <alignment vertical="center"/>
    </xf>
    <xf numFmtId="179" fontId="2" fillId="0" borderId="0" xfId="0" applyNumberFormat="1" applyFont="1">
      <alignment vertical="center"/>
    </xf>
    <xf numFmtId="179" fontId="4" fillId="0" borderId="35" xfId="0" applyNumberFormat="1" applyFont="1" applyBorder="1">
      <alignment vertical="center"/>
    </xf>
    <xf numFmtId="179" fontId="7" fillId="12" borderId="35" xfId="0" applyNumberFormat="1" applyFont="1" applyFill="1" applyBorder="1">
      <alignment vertical="center"/>
    </xf>
    <xf numFmtId="179" fontId="7" fillId="0" borderId="5" xfId="0" applyNumberFormat="1" applyFont="1" applyBorder="1">
      <alignment vertical="center"/>
    </xf>
    <xf numFmtId="179" fontId="4" fillId="0" borderId="0" xfId="0" applyNumberFormat="1" applyFont="1">
      <alignment vertical="center"/>
    </xf>
    <xf numFmtId="179" fontId="2" fillId="5" borderId="3" xfId="0" applyNumberFormat="1" applyFont="1" applyFill="1" applyBorder="1" applyAlignment="1">
      <alignment horizontal="center" vertical="center" shrinkToFit="1"/>
    </xf>
    <xf numFmtId="199" fontId="14" fillId="0" borderId="5" xfId="0" applyNumberFormat="1" applyFont="1" applyBorder="1">
      <alignment vertical="center"/>
    </xf>
    <xf numFmtId="179" fontId="14" fillId="0" borderId="5" xfId="0" applyNumberFormat="1" applyFont="1" applyBorder="1">
      <alignment vertical="center"/>
    </xf>
    <xf numFmtId="199" fontId="14" fillId="4" borderId="5" xfId="0" applyNumberFormat="1" applyFont="1" applyFill="1" applyBorder="1">
      <alignment vertical="center"/>
    </xf>
    <xf numFmtId="179" fontId="14" fillId="4" borderId="5" xfId="0" applyNumberFormat="1" applyFont="1" applyFill="1" applyBorder="1">
      <alignment vertical="center"/>
    </xf>
    <xf numFmtId="179" fontId="4" fillId="0" borderId="23" xfId="0" applyNumberFormat="1" applyFont="1" applyBorder="1">
      <alignment vertical="center"/>
    </xf>
    <xf numFmtId="0" fontId="2" fillId="0" borderId="31" xfId="0" applyFont="1" applyBorder="1" applyAlignment="1">
      <alignment horizontal="center" vertical="center"/>
    </xf>
    <xf numFmtId="0" fontId="4" fillId="0" borderId="5" xfId="0" applyFont="1" applyBorder="1" applyAlignment="1">
      <alignment horizontal="justify" vertical="top" wrapText="1"/>
    </xf>
    <xf numFmtId="0" fontId="4" fillId="0" borderId="15" xfId="0" applyFont="1" applyBorder="1" applyAlignment="1">
      <alignment horizontal="justify" vertical="top" wrapText="1"/>
    </xf>
    <xf numFmtId="176" fontId="4" fillId="0" borderId="16" xfId="0" applyNumberFormat="1" applyFont="1" applyBorder="1">
      <alignment vertical="center"/>
    </xf>
    <xf numFmtId="177" fontId="4" fillId="0" borderId="18" xfId="0" applyNumberFormat="1" applyFont="1" applyBorder="1">
      <alignment vertical="center"/>
    </xf>
    <xf numFmtId="0" fontId="4" fillId="0" borderId="6" xfId="0" applyFont="1" applyBorder="1" applyAlignment="1">
      <alignment horizontal="justify" vertical="top" wrapText="1"/>
    </xf>
    <xf numFmtId="190" fontId="2" fillId="0" borderId="5" xfId="0" applyNumberFormat="1" applyFont="1" applyBorder="1">
      <alignment vertical="center"/>
    </xf>
    <xf numFmtId="176" fontId="4" fillId="6" borderId="7" xfId="0" applyNumberFormat="1" applyFont="1" applyFill="1" applyBorder="1">
      <alignment vertical="center"/>
    </xf>
    <xf numFmtId="199" fontId="2" fillId="0" borderId="7" xfId="0" applyNumberFormat="1" applyFont="1" applyBorder="1">
      <alignment vertical="center"/>
    </xf>
    <xf numFmtId="200" fontId="2" fillId="0" borderId="0" xfId="0" applyNumberFormat="1" applyFont="1">
      <alignment vertical="center"/>
    </xf>
    <xf numFmtId="0" fontId="2" fillId="16" borderId="35" xfId="0" applyFont="1" applyFill="1" applyBorder="1">
      <alignment vertical="center"/>
    </xf>
    <xf numFmtId="0" fontId="2" fillId="16" borderId="37" xfId="0" applyFont="1" applyFill="1" applyBorder="1">
      <alignment vertical="center"/>
    </xf>
    <xf numFmtId="0" fontId="2" fillId="16" borderId="36" xfId="0" applyFont="1" applyFill="1" applyBorder="1">
      <alignment vertical="center"/>
    </xf>
    <xf numFmtId="0" fontId="2" fillId="16" borderId="89" xfId="0" applyFont="1" applyFill="1" applyBorder="1">
      <alignment vertical="center"/>
    </xf>
    <xf numFmtId="0" fontId="15" fillId="13" borderId="5" xfId="0" applyFont="1" applyFill="1" applyBorder="1" applyAlignment="1">
      <alignment horizontal="center" vertical="center" wrapText="1"/>
    </xf>
    <xf numFmtId="0" fontId="16" fillId="14" borderId="33" xfId="0" applyFont="1" applyFill="1" applyBorder="1" applyAlignment="1">
      <alignment vertical="center" wrapText="1"/>
    </xf>
    <xf numFmtId="0" fontId="16" fillId="14" borderId="5" xfId="0" applyFont="1" applyFill="1" applyBorder="1" applyAlignment="1">
      <alignment horizontal="right" vertical="center" wrapText="1"/>
    </xf>
    <xf numFmtId="0" fontId="16" fillId="14" borderId="5" xfId="0" applyFont="1" applyFill="1" applyBorder="1" applyAlignment="1">
      <alignment vertical="center" wrapText="1"/>
    </xf>
    <xf numFmtId="0" fontId="16" fillId="15" borderId="5" xfId="0" applyFont="1" applyFill="1" applyBorder="1" applyAlignment="1">
      <alignment vertical="center" wrapText="1"/>
    </xf>
    <xf numFmtId="0" fontId="2" fillId="14" borderId="5" xfId="0" applyFont="1" applyFill="1" applyBorder="1">
      <alignment vertical="center"/>
    </xf>
    <xf numFmtId="0" fontId="16" fillId="14" borderId="38" xfId="0" applyFont="1" applyFill="1" applyBorder="1" applyAlignment="1">
      <alignment vertical="center" wrapText="1"/>
    </xf>
    <xf numFmtId="0" fontId="16" fillId="14" borderId="7" xfId="0" applyFont="1" applyFill="1" applyBorder="1" applyAlignment="1">
      <alignment horizontal="right" vertical="center" wrapText="1"/>
    </xf>
    <xf numFmtId="0" fontId="16" fillId="14" borderId="7" xfId="0" applyFont="1" applyFill="1" applyBorder="1" applyAlignment="1">
      <alignment vertical="center" wrapText="1"/>
    </xf>
    <xf numFmtId="0" fontId="16" fillId="15" borderId="7" xfId="0" applyFont="1" applyFill="1" applyBorder="1" applyAlignment="1">
      <alignment vertical="center" wrapText="1"/>
    </xf>
    <xf numFmtId="0" fontId="2" fillId="14" borderId="7" xfId="0" applyFont="1" applyFill="1" applyBorder="1">
      <alignment vertical="center"/>
    </xf>
    <xf numFmtId="0" fontId="2" fillId="2" borderId="0" xfId="0" applyFont="1" applyFill="1" applyAlignment="1">
      <alignment horizontal="left" vertical="center"/>
    </xf>
    <xf numFmtId="0" fontId="12" fillId="0" borderId="0" xfId="1" applyFont="1">
      <alignment vertical="center"/>
    </xf>
    <xf numFmtId="0" fontId="2" fillId="0" borderId="0" xfId="0" quotePrefix="1" applyFont="1" applyAlignment="1">
      <alignment horizontal="center" vertical="center"/>
    </xf>
    <xf numFmtId="0" fontId="18" fillId="10" borderId="58" xfId="0" applyFont="1" applyFill="1" applyBorder="1" applyAlignment="1">
      <alignment vertical="center" wrapText="1"/>
    </xf>
    <xf numFmtId="0" fontId="2" fillId="0" borderId="58" xfId="0" applyFont="1" applyBorder="1">
      <alignment vertical="center"/>
    </xf>
    <xf numFmtId="0" fontId="2" fillId="0" borderId="58" xfId="0" applyFont="1" applyBorder="1" applyAlignment="1">
      <alignment horizontal="center" vertical="center"/>
    </xf>
    <xf numFmtId="0" fontId="2" fillId="0" borderId="57" xfId="0" applyFont="1" applyBorder="1" applyAlignment="1">
      <alignment horizontal="center" vertical="center" wrapText="1"/>
    </xf>
    <xf numFmtId="0" fontId="18" fillId="10" borderId="1" xfId="0" applyFont="1" applyFill="1" applyBorder="1" applyAlignment="1">
      <alignment vertical="center" wrapText="1"/>
    </xf>
    <xf numFmtId="0" fontId="2" fillId="0" borderId="56" xfId="0" applyFont="1" applyBorder="1" applyAlignment="1">
      <alignment vertical="center" wrapText="1"/>
    </xf>
    <xf numFmtId="0" fontId="2" fillId="0" borderId="53" xfId="0" applyFont="1" applyBorder="1" applyAlignment="1">
      <alignment vertical="center" wrapText="1"/>
    </xf>
    <xf numFmtId="0" fontId="18" fillId="10" borderId="47" xfId="0" applyFont="1" applyFill="1" applyBorder="1" applyAlignment="1">
      <alignment vertical="center" wrapText="1"/>
    </xf>
    <xf numFmtId="0" fontId="2" fillId="0" borderId="42" xfId="0" quotePrefix="1" applyFont="1" applyBorder="1">
      <alignment vertical="center"/>
    </xf>
    <xf numFmtId="0" fontId="19" fillId="10" borderId="47" xfId="0" applyFont="1" applyFill="1" applyBorder="1" applyAlignment="1">
      <alignment vertical="center" wrapText="1"/>
    </xf>
    <xf numFmtId="0" fontId="2" fillId="0" borderId="1" xfId="0" quotePrefix="1" applyFont="1" applyBorder="1" applyAlignment="1">
      <alignment vertical="center" wrapText="1"/>
    </xf>
    <xf numFmtId="0" fontId="23" fillId="10" borderId="1" xfId="0" applyFont="1" applyFill="1" applyBorder="1" applyAlignment="1">
      <alignment vertical="center" wrapText="1"/>
    </xf>
    <xf numFmtId="0" fontId="2" fillId="0" borderId="40" xfId="0" quotePrefix="1" applyFont="1" applyBorder="1" applyAlignment="1">
      <alignment vertical="center" wrapText="1"/>
    </xf>
    <xf numFmtId="0" fontId="19" fillId="10" borderId="40" xfId="0" applyFont="1" applyFill="1" applyBorder="1" applyAlignment="1">
      <alignment vertical="center" wrapText="1"/>
    </xf>
    <xf numFmtId="0" fontId="18" fillId="10" borderId="40" xfId="0" applyFont="1" applyFill="1" applyBorder="1" applyAlignment="1">
      <alignment vertical="center" wrapText="1"/>
    </xf>
    <xf numFmtId="0" fontId="2" fillId="0" borderId="1" xfId="0" quotePrefix="1" applyFont="1" applyBorder="1">
      <alignment vertical="center"/>
    </xf>
    <xf numFmtId="0" fontId="19" fillId="10" borderId="1" xfId="0" applyFont="1" applyFill="1" applyBorder="1" applyAlignment="1">
      <alignment vertical="center" wrapText="1"/>
    </xf>
    <xf numFmtId="0" fontId="2" fillId="0" borderId="51" xfId="0" applyFont="1" applyBorder="1" applyAlignment="1">
      <alignment vertical="center" wrapText="1"/>
    </xf>
    <xf numFmtId="0" fontId="18" fillId="10" borderId="40" xfId="0" quotePrefix="1" applyFont="1" applyFill="1" applyBorder="1" applyAlignment="1">
      <alignment vertical="center" wrapText="1"/>
    </xf>
    <xf numFmtId="0" fontId="18" fillId="10" borderId="1" xfId="0" quotePrefix="1" applyFont="1" applyFill="1" applyBorder="1" applyAlignment="1">
      <alignment vertical="center" wrapText="1"/>
    </xf>
    <xf numFmtId="0" fontId="21" fillId="10" borderId="47" xfId="0" applyFont="1" applyFill="1" applyBorder="1" applyAlignment="1">
      <alignment vertical="center" wrapText="1"/>
    </xf>
    <xf numFmtId="0" fontId="21" fillId="10" borderId="40" xfId="0" applyFont="1" applyFill="1" applyBorder="1" applyAlignment="1">
      <alignment vertical="center" wrapText="1"/>
    </xf>
    <xf numFmtId="0" fontId="21" fillId="10" borderId="1" xfId="0" applyFont="1" applyFill="1" applyBorder="1" applyAlignment="1">
      <alignment vertical="center" wrapText="1"/>
    </xf>
    <xf numFmtId="0" fontId="2" fillId="0" borderId="46" xfId="0" applyFont="1" applyBorder="1" applyAlignment="1">
      <alignment vertical="center" wrapText="1"/>
    </xf>
    <xf numFmtId="0" fontId="2" fillId="0" borderId="40" xfId="0" applyFont="1" applyBorder="1" applyAlignment="1">
      <alignment horizontal="center" vertical="center"/>
    </xf>
    <xf numFmtId="0" fontId="27" fillId="0" borderId="1" xfId="0" quotePrefix="1" applyFont="1" applyBorder="1">
      <alignment vertical="center"/>
    </xf>
    <xf numFmtId="0" fontId="2" fillId="0" borderId="56" xfId="0" quotePrefix="1" applyFont="1" applyBorder="1" applyAlignment="1">
      <alignment vertical="center" wrapText="1"/>
    </xf>
    <xf numFmtId="0" fontId="18" fillId="8" borderId="47" xfId="0" applyFont="1" applyFill="1" applyBorder="1" applyAlignment="1">
      <alignment vertical="center" wrapText="1"/>
    </xf>
    <xf numFmtId="0" fontId="2" fillId="8" borderId="42" xfId="0" quotePrefix="1" applyFont="1" applyFill="1" applyBorder="1">
      <alignment vertical="center"/>
    </xf>
    <xf numFmtId="0" fontId="19" fillId="8" borderId="47" xfId="0" applyFont="1" applyFill="1" applyBorder="1" applyAlignment="1">
      <alignment vertical="center" wrapText="1"/>
    </xf>
    <xf numFmtId="0" fontId="2" fillId="9" borderId="42" xfId="0" applyFont="1" applyFill="1" applyBorder="1" applyAlignment="1">
      <alignment horizontal="center" vertical="center"/>
    </xf>
    <xf numFmtId="0" fontId="18" fillId="8" borderId="40" xfId="0" applyFont="1" applyFill="1" applyBorder="1" applyAlignment="1">
      <alignment vertical="center" wrapText="1"/>
    </xf>
    <xf numFmtId="0" fontId="2" fillId="8" borderId="40" xfId="0" quotePrefix="1" applyFont="1" applyFill="1" applyBorder="1">
      <alignment vertical="center"/>
    </xf>
    <xf numFmtId="0" fontId="2" fillId="9" borderId="40" xfId="0" applyFont="1" applyFill="1" applyBorder="1" applyAlignment="1">
      <alignment horizontal="center" vertical="center"/>
    </xf>
    <xf numFmtId="0" fontId="18" fillId="8" borderId="42" xfId="0" applyFont="1" applyFill="1" applyBorder="1" applyAlignment="1">
      <alignment vertical="center" wrapText="1"/>
    </xf>
    <xf numFmtId="0" fontId="2" fillId="8" borderId="42" xfId="0" applyFont="1" applyFill="1" applyBorder="1">
      <alignment vertical="center"/>
    </xf>
    <xf numFmtId="0" fontId="2" fillId="8" borderId="1" xfId="0" quotePrefix="1" applyFont="1" applyFill="1" applyBorder="1">
      <alignment vertical="center"/>
    </xf>
    <xf numFmtId="0" fontId="19" fillId="8" borderId="40" xfId="0" applyFont="1" applyFill="1" applyBorder="1" applyAlignment="1">
      <alignment vertical="center" wrapText="1"/>
    </xf>
    <xf numFmtId="0" fontId="2" fillId="9" borderId="1" xfId="0" applyFont="1" applyFill="1" applyBorder="1" applyAlignment="1">
      <alignment horizontal="center" vertical="center"/>
    </xf>
    <xf numFmtId="0" fontId="18" fillId="8" borderId="48" xfId="0" applyFont="1" applyFill="1" applyBorder="1" applyAlignment="1">
      <alignment vertical="center" wrapText="1"/>
    </xf>
    <xf numFmtId="0" fontId="18" fillId="8" borderId="1" xfId="0" applyFont="1" applyFill="1" applyBorder="1" applyAlignment="1">
      <alignment vertical="center" wrapText="1"/>
    </xf>
    <xf numFmtId="0" fontId="19" fillId="8" borderId="1" xfId="0" applyFont="1" applyFill="1" applyBorder="1" applyAlignment="1">
      <alignment vertical="center" wrapText="1"/>
    </xf>
    <xf numFmtId="0" fontId="2" fillId="0" borderId="91" xfId="0" applyFont="1" applyBorder="1">
      <alignment vertical="center"/>
    </xf>
    <xf numFmtId="176" fontId="2" fillId="0" borderId="91" xfId="0" applyNumberFormat="1" applyFont="1" applyBorder="1">
      <alignment vertical="center"/>
    </xf>
    <xf numFmtId="176" fontId="4" fillId="0" borderId="91" xfId="0" applyNumberFormat="1" applyFont="1" applyBorder="1">
      <alignment vertical="center"/>
    </xf>
    <xf numFmtId="0" fontId="4" fillId="0" borderId="91" xfId="0" applyFont="1" applyBorder="1">
      <alignment vertical="center"/>
    </xf>
    <xf numFmtId="178" fontId="2" fillId="0" borderId="91" xfId="0" applyNumberFormat="1" applyFont="1" applyBorder="1">
      <alignment vertical="center"/>
    </xf>
    <xf numFmtId="179" fontId="2" fillId="0" borderId="91" xfId="0" applyNumberFormat="1" applyFont="1" applyBorder="1" applyAlignment="1">
      <alignment horizontal="center" vertical="center"/>
    </xf>
    <xf numFmtId="179" fontId="2" fillId="0" borderId="92" xfId="0" applyNumberFormat="1" applyFont="1" applyBorder="1" applyAlignment="1">
      <alignment horizontal="center" vertical="center"/>
    </xf>
    <xf numFmtId="177" fontId="2" fillId="0" borderId="16" xfId="0" applyNumberFormat="1" applyFont="1" applyBorder="1" applyAlignment="1">
      <alignment horizontal="right" vertical="top" wrapText="1"/>
    </xf>
    <xf numFmtId="0" fontId="2" fillId="0" borderId="63" xfId="0" applyFont="1" applyBorder="1">
      <alignment vertical="center"/>
    </xf>
    <xf numFmtId="176" fontId="2" fillId="0" borderId="63" xfId="0" applyNumberFormat="1" applyFont="1" applyBorder="1">
      <alignment vertical="center"/>
    </xf>
    <xf numFmtId="176" fontId="4" fillId="0" borderId="63" xfId="0" applyNumberFormat="1" applyFont="1" applyBorder="1">
      <alignment vertical="center"/>
    </xf>
    <xf numFmtId="179" fontId="4" fillId="0" borderId="63" xfId="0" applyNumberFormat="1" applyFont="1" applyBorder="1">
      <alignment vertical="center"/>
    </xf>
    <xf numFmtId="0" fontId="4" fillId="0" borderId="63" xfId="0" applyFont="1" applyBorder="1">
      <alignment vertical="center"/>
    </xf>
    <xf numFmtId="178" fontId="2" fillId="0" borderId="63" xfId="0" applyNumberFormat="1" applyFont="1" applyBorder="1">
      <alignment vertical="center"/>
    </xf>
    <xf numFmtId="178" fontId="2" fillId="0" borderId="78" xfId="0" applyNumberFormat="1" applyFont="1" applyBorder="1">
      <alignment vertical="center"/>
    </xf>
    <xf numFmtId="0" fontId="2" fillId="0" borderId="93" xfId="0" applyFont="1" applyBorder="1">
      <alignment vertical="center"/>
    </xf>
    <xf numFmtId="0" fontId="2" fillId="0" borderId="62" xfId="0" applyFont="1" applyBorder="1">
      <alignment vertical="center"/>
    </xf>
    <xf numFmtId="176" fontId="2" fillId="0" borderId="62" xfId="0" applyNumberFormat="1" applyFont="1" applyBorder="1">
      <alignment vertical="center"/>
    </xf>
    <xf numFmtId="201" fontId="2" fillId="0" borderId="0" xfId="0" applyNumberFormat="1" applyFont="1" applyAlignment="1">
      <alignment horizontal="center" vertical="center"/>
    </xf>
    <xf numFmtId="201" fontId="2" fillId="0" borderId="6" xfId="0" applyNumberFormat="1" applyFont="1" applyBorder="1" applyAlignment="1">
      <alignment horizontal="center" vertical="center"/>
    </xf>
    <xf numFmtId="201" fontId="2" fillId="0" borderId="6" xfId="0" quotePrefix="1" applyNumberFormat="1" applyFont="1" applyBorder="1" applyAlignment="1">
      <alignment horizontal="center" vertical="center"/>
    </xf>
    <xf numFmtId="201" fontId="2" fillId="0" borderId="8" xfId="0" applyNumberFormat="1" applyFont="1" applyBorder="1" applyAlignment="1">
      <alignment horizontal="center" vertical="center"/>
    </xf>
    <xf numFmtId="0" fontId="2" fillId="0" borderId="33" xfId="0" applyFont="1" applyBorder="1" applyAlignment="1">
      <alignment horizontal="right" vertical="center" wrapText="1"/>
    </xf>
    <xf numFmtId="205" fontId="2" fillId="0" borderId="33" xfId="0" applyNumberFormat="1" applyFont="1" applyBorder="1" applyAlignment="1">
      <alignment horizontal="right" vertical="center" wrapText="1"/>
    </xf>
    <xf numFmtId="204" fontId="2" fillId="0" borderId="33" xfId="0" applyNumberFormat="1" applyFont="1" applyBorder="1" applyAlignment="1">
      <alignment horizontal="right" vertical="center" wrapText="1"/>
    </xf>
    <xf numFmtId="183" fontId="2" fillId="0" borderId="7" xfId="0" applyNumberFormat="1" applyFont="1" applyBorder="1">
      <alignment vertical="center"/>
    </xf>
    <xf numFmtId="0" fontId="2" fillId="0" borderId="94" xfId="0" applyFont="1" applyBorder="1">
      <alignment vertical="center"/>
    </xf>
    <xf numFmtId="0" fontId="2" fillId="0" borderId="64" xfId="0" applyFont="1" applyBorder="1">
      <alignment vertical="center"/>
    </xf>
    <xf numFmtId="0" fontId="2" fillId="0" borderId="95" xfId="0" applyFont="1" applyBorder="1">
      <alignment vertical="center"/>
    </xf>
    <xf numFmtId="186" fontId="2" fillId="0" borderId="67" xfId="0" applyNumberFormat="1" applyFont="1" applyBorder="1">
      <alignment vertical="center"/>
    </xf>
    <xf numFmtId="183" fontId="2" fillId="0" borderId="16" xfId="0" applyNumberFormat="1" applyFont="1" applyBorder="1">
      <alignment vertical="center"/>
    </xf>
    <xf numFmtId="185" fontId="2" fillId="0" borderId="66" xfId="0" applyNumberFormat="1" applyFont="1" applyBorder="1">
      <alignment vertical="center"/>
    </xf>
    <xf numFmtId="186" fontId="2" fillId="0" borderId="32" xfId="0" applyNumberFormat="1" applyFont="1" applyBorder="1">
      <alignment vertical="center"/>
    </xf>
    <xf numFmtId="183" fontId="2" fillId="0" borderId="4" xfId="0" quotePrefix="1" applyNumberFormat="1" applyFont="1" applyBorder="1" applyAlignment="1">
      <alignment horizontal="center" vertical="center"/>
    </xf>
    <xf numFmtId="183" fontId="2" fillId="0" borderId="6" xfId="0" quotePrefix="1" applyNumberFormat="1" applyFont="1" applyBorder="1" applyAlignment="1">
      <alignment horizontal="center" vertical="center"/>
    </xf>
    <xf numFmtId="183" fontId="2" fillId="0" borderId="33" xfId="0" applyNumberFormat="1" applyFont="1" applyBorder="1">
      <alignment vertical="center"/>
    </xf>
    <xf numFmtId="183" fontId="2" fillId="0" borderId="6" xfId="0" applyNumberFormat="1" applyFont="1" applyBorder="1" applyAlignment="1">
      <alignment horizontal="center" vertical="center"/>
    </xf>
    <xf numFmtId="202" fontId="2" fillId="0" borderId="38" xfId="0" applyNumberFormat="1" applyFont="1" applyBorder="1">
      <alignment vertical="center"/>
    </xf>
    <xf numFmtId="183" fontId="2" fillId="0" borderId="8" xfId="0" applyNumberFormat="1"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183" fontId="2" fillId="0" borderId="20" xfId="0" applyNumberFormat="1" applyFont="1" applyBorder="1" applyAlignment="1">
      <alignment horizontal="center" vertical="center"/>
    </xf>
    <xf numFmtId="201" fontId="2" fillId="0" borderId="70" xfId="0" applyNumberFormat="1" applyFont="1" applyBorder="1" applyAlignment="1">
      <alignment horizontal="center" vertical="center"/>
    </xf>
    <xf numFmtId="201" fontId="2" fillId="0" borderId="71" xfId="0" applyNumberFormat="1" applyFont="1" applyBorder="1" applyAlignment="1">
      <alignment horizontal="center" vertical="center"/>
    </xf>
    <xf numFmtId="201" fontId="2" fillId="0" borderId="71" xfId="0" quotePrefix="1" applyNumberFormat="1" applyFont="1" applyBorder="1" applyAlignment="1">
      <alignment horizontal="center" vertical="center"/>
    </xf>
    <xf numFmtId="201" fontId="2" fillId="0" borderId="72" xfId="0" applyNumberFormat="1" applyFont="1" applyBorder="1" applyAlignment="1">
      <alignment horizontal="center" vertical="center"/>
    </xf>
    <xf numFmtId="188" fontId="2" fillId="0" borderId="32" xfId="0" applyNumberFormat="1" applyFont="1" applyBorder="1">
      <alignment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190" fontId="2" fillId="0" borderId="38" xfId="0" applyNumberFormat="1" applyFont="1" applyBorder="1">
      <alignment vertical="center"/>
    </xf>
    <xf numFmtId="0" fontId="2" fillId="0" borderId="61" xfId="0" applyFont="1" applyBorder="1" applyAlignment="1">
      <alignment horizontal="right" vertical="center"/>
    </xf>
    <xf numFmtId="183" fontId="2" fillId="0" borderId="9" xfId="0" applyNumberFormat="1" applyFont="1" applyBorder="1">
      <alignment vertical="center"/>
    </xf>
    <xf numFmtId="186" fontId="2" fillId="0" borderId="9" xfId="0" applyNumberFormat="1" applyFont="1" applyBorder="1">
      <alignment vertical="center"/>
    </xf>
    <xf numFmtId="201" fontId="2" fillId="0" borderId="44" xfId="0" applyNumberFormat="1"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183" fontId="2" fillId="0" borderId="23" xfId="0" applyNumberFormat="1" applyFont="1" applyBorder="1" applyAlignment="1">
      <alignment horizontal="center" vertical="center"/>
    </xf>
    <xf numFmtId="183" fontId="2" fillId="0" borderId="23" xfId="0" applyNumberFormat="1" applyFont="1" applyBorder="1" applyAlignment="1">
      <alignment horizontal="center" vertical="center" wrapText="1" shrinkToFit="1"/>
    </xf>
    <xf numFmtId="201" fontId="2" fillId="0" borderId="25" xfId="0" applyNumberFormat="1" applyFont="1" applyBorder="1" applyAlignment="1">
      <alignment horizontal="center" vertical="center"/>
    </xf>
    <xf numFmtId="183" fontId="28" fillId="0" borderId="9" xfId="1" applyNumberFormat="1" applyFont="1" applyBorder="1">
      <alignment vertical="center"/>
    </xf>
    <xf numFmtId="203" fontId="2" fillId="0" borderId="38" xfId="0" applyNumberFormat="1" applyFont="1" applyBorder="1" applyAlignment="1">
      <alignment horizontal="right" vertical="center" wrapText="1"/>
    </xf>
    <xf numFmtId="0" fontId="29" fillId="0" borderId="0" xfId="0" applyFont="1">
      <alignment vertical="center"/>
    </xf>
    <xf numFmtId="0" fontId="29" fillId="0" borderId="0" xfId="0" quotePrefix="1" applyFont="1">
      <alignment vertical="center"/>
    </xf>
    <xf numFmtId="0" fontId="29" fillId="0" borderId="0" xfId="0" applyFont="1" applyAlignment="1">
      <alignment horizontal="center" vertical="center"/>
    </xf>
    <xf numFmtId="206" fontId="29" fillId="12" borderId="0" xfId="0" quotePrefix="1" applyNumberFormat="1" applyFont="1" applyFill="1" applyAlignment="1">
      <alignment horizontal="center" vertical="center"/>
    </xf>
    <xf numFmtId="206" fontId="29" fillId="0" borderId="0" xfId="0" quotePrefix="1" applyNumberFormat="1" applyFont="1" applyAlignment="1">
      <alignment horizontal="center" vertical="center"/>
    </xf>
    <xf numFmtId="0" fontId="12" fillId="0" borderId="0" xfId="0" applyFont="1">
      <alignment vertical="center"/>
    </xf>
    <xf numFmtId="0" fontId="29" fillId="0" borderId="0" xfId="0" applyFont="1" applyAlignment="1">
      <alignment horizontal="center" vertical="center" shrinkToFit="1"/>
    </xf>
    <xf numFmtId="0" fontId="29" fillId="0" borderId="0" xfId="0" applyFont="1" applyAlignment="1">
      <alignment horizontal="right" vertical="center"/>
    </xf>
    <xf numFmtId="0" fontId="29" fillId="0" borderId="0" xfId="0" quotePrefix="1" applyFont="1" applyAlignment="1">
      <alignment horizontal="right" vertical="center"/>
    </xf>
    <xf numFmtId="0" fontId="12" fillId="12" borderId="0" xfId="0" applyFont="1" applyFill="1" applyAlignment="1">
      <alignment horizontal="right" vertical="center"/>
    </xf>
    <xf numFmtId="0" fontId="12" fillId="12" borderId="0" xfId="0" applyFont="1" applyFill="1">
      <alignment vertical="center"/>
    </xf>
    <xf numFmtId="0" fontId="12" fillId="0" borderId="0" xfId="0" applyFont="1" applyAlignment="1">
      <alignment horizontal="right" vertical="center"/>
    </xf>
    <xf numFmtId="201" fontId="2" fillId="0" borderId="0" xfId="0" applyNumberFormat="1" applyFont="1">
      <alignment vertical="center"/>
    </xf>
    <xf numFmtId="0" fontId="4" fillId="0" borderId="0" xfId="0" applyFont="1" applyAlignment="1">
      <alignment horizontal="center" vertical="center"/>
    </xf>
    <xf numFmtId="0" fontId="2" fillId="0" borderId="0" xfId="0" quotePrefix="1" applyFont="1" applyAlignment="1">
      <alignment horizontal="left" vertical="center"/>
    </xf>
    <xf numFmtId="207" fontId="2" fillId="0" borderId="18" xfId="0" applyNumberFormat="1" applyFont="1" applyBorder="1">
      <alignment vertical="center"/>
    </xf>
    <xf numFmtId="188" fontId="2" fillId="0" borderId="18" xfId="0" applyNumberFormat="1" applyFont="1" applyBorder="1">
      <alignment vertical="center"/>
    </xf>
    <xf numFmtId="208" fontId="2" fillId="0" borderId="16" xfId="0" applyNumberFormat="1" applyFont="1" applyBorder="1" applyAlignment="1">
      <alignment horizontal="left" vertical="center"/>
    </xf>
    <xf numFmtId="0" fontId="2" fillId="16" borderId="5" xfId="0" applyFont="1" applyFill="1" applyBorder="1" applyAlignment="1">
      <alignment horizontal="center" vertical="center"/>
    </xf>
    <xf numFmtId="208" fontId="2" fillId="0" borderId="5" xfId="0" applyNumberFormat="1" applyFont="1" applyBorder="1" applyAlignment="1">
      <alignment horizontal="right" vertical="center"/>
    </xf>
    <xf numFmtId="0" fontId="2" fillId="5" borderId="5" xfId="0" applyFont="1" applyFill="1" applyBorder="1" applyAlignment="1">
      <alignment horizontal="center" vertical="center"/>
    </xf>
    <xf numFmtId="0" fontId="34" fillId="0" borderId="0" xfId="0" applyFont="1">
      <alignment vertical="center"/>
    </xf>
    <xf numFmtId="0" fontId="35" fillId="0" borderId="0" xfId="0" applyFont="1" applyAlignment="1">
      <alignment horizontal="right" vertical="center"/>
    </xf>
    <xf numFmtId="0" fontId="35" fillId="0" borderId="0" xfId="0" applyFont="1">
      <alignment vertical="center"/>
    </xf>
    <xf numFmtId="0" fontId="36" fillId="0" borderId="0" xfId="1" applyFont="1">
      <alignment vertical="center"/>
    </xf>
    <xf numFmtId="0" fontId="37" fillId="0" borderId="0" xfId="0" applyFont="1">
      <alignment vertical="center"/>
    </xf>
    <xf numFmtId="209" fontId="2" fillId="0" borderId="5" xfId="0" applyNumberFormat="1" applyFont="1" applyBorder="1" applyAlignment="1">
      <alignment horizontal="left" vertical="center"/>
    </xf>
    <xf numFmtId="210" fontId="2" fillId="6" borderId="27" xfId="0" applyNumberFormat="1" applyFont="1" applyFill="1" applyBorder="1">
      <alignment vertical="center"/>
    </xf>
    <xf numFmtId="211" fontId="2" fillId="6" borderId="27" xfId="0" applyNumberFormat="1" applyFont="1" applyFill="1" applyBorder="1">
      <alignment vertical="center"/>
    </xf>
    <xf numFmtId="188" fontId="2" fillId="0" borderId="0" xfId="0" applyNumberFormat="1" applyFont="1">
      <alignment vertical="center"/>
    </xf>
    <xf numFmtId="185" fontId="2" fillId="0" borderId="0" xfId="0" applyNumberFormat="1" applyFont="1">
      <alignment vertical="center"/>
    </xf>
    <xf numFmtId="182" fontId="2" fillId="0" borderId="10" xfId="0" applyNumberFormat="1" applyFont="1" applyBorder="1">
      <alignment vertical="center"/>
    </xf>
    <xf numFmtId="183" fontId="2" fillId="0" borderId="10" xfId="0" applyNumberFormat="1" applyFont="1" applyBorder="1">
      <alignment vertical="center"/>
    </xf>
    <xf numFmtId="185" fontId="2" fillId="0" borderId="10" xfId="0" applyNumberFormat="1" applyFont="1" applyBorder="1">
      <alignment vertical="center"/>
    </xf>
    <xf numFmtId="182" fontId="2" fillId="0" borderId="9" xfId="0" applyNumberFormat="1" applyFont="1" applyBorder="1">
      <alignment vertical="center"/>
    </xf>
    <xf numFmtId="185" fontId="2" fillId="0" borderId="9" xfId="0" applyNumberFormat="1" applyFont="1" applyBorder="1">
      <alignment vertical="center"/>
    </xf>
    <xf numFmtId="0" fontId="2" fillId="0" borderId="96" xfId="0" applyFont="1" applyBorder="1">
      <alignment vertical="center"/>
    </xf>
    <xf numFmtId="182" fontId="2" fillId="0" borderId="96" xfId="0" applyNumberFormat="1" applyFont="1" applyBorder="1">
      <alignment vertical="center"/>
    </xf>
    <xf numFmtId="183" fontId="2" fillId="0" borderId="96" xfId="0" applyNumberFormat="1" applyFont="1" applyBorder="1">
      <alignment vertical="center"/>
    </xf>
    <xf numFmtId="185" fontId="2" fillId="0" borderId="96" xfId="0" applyNumberFormat="1" applyFont="1" applyBorder="1">
      <alignment vertical="center"/>
    </xf>
    <xf numFmtId="187" fontId="2" fillId="0" borderId="5" xfId="0" applyNumberFormat="1" applyFont="1" applyBorder="1">
      <alignment vertical="center"/>
    </xf>
    <xf numFmtId="187" fontId="2" fillId="0" borderId="10" xfId="0" applyNumberFormat="1" applyFont="1" applyBorder="1">
      <alignment vertical="center"/>
    </xf>
    <xf numFmtId="187" fontId="2" fillId="0" borderId="96" xfId="0" applyNumberFormat="1" applyFont="1" applyBorder="1">
      <alignment vertical="center"/>
    </xf>
    <xf numFmtId="187" fontId="2" fillId="0" borderId="9" xfId="0" applyNumberFormat="1" applyFont="1" applyBorder="1">
      <alignment vertical="center"/>
    </xf>
    <xf numFmtId="176" fontId="38" fillId="0" borderId="0" xfId="1" applyNumberFormat="1" applyFont="1">
      <alignment vertical="center"/>
    </xf>
    <xf numFmtId="0" fontId="2" fillId="0" borderId="0" xfId="0" applyFont="1" applyAlignment="1">
      <alignment vertical="center" shrinkToFit="1"/>
    </xf>
    <xf numFmtId="212" fontId="2" fillId="0" borderId="0" xfId="0" applyNumberFormat="1" applyFont="1">
      <alignment vertical="center"/>
    </xf>
    <xf numFmtId="0" fontId="2" fillId="8" borderId="40" xfId="0" quotePrefix="1" applyFont="1" applyFill="1" applyBorder="1" applyAlignment="1">
      <alignment horizontal="left" vertical="center"/>
    </xf>
    <xf numFmtId="0" fontId="2" fillId="0" borderId="51" xfId="0" quotePrefix="1" applyFont="1" applyBorder="1" applyAlignment="1">
      <alignment vertical="center" wrapText="1"/>
    </xf>
    <xf numFmtId="176" fontId="2" fillId="17" borderId="5" xfId="0" applyNumberFormat="1" applyFont="1" applyFill="1" applyBorder="1">
      <alignment vertical="center"/>
    </xf>
    <xf numFmtId="0" fontId="19" fillId="10" borderId="55" xfId="0" applyFont="1" applyFill="1" applyBorder="1" applyAlignment="1">
      <alignment vertical="center" wrapText="1"/>
    </xf>
    <xf numFmtId="0" fontId="40" fillId="0" borderId="0" xfId="2" applyFont="1" applyAlignment="1">
      <alignment horizontal="left" vertical="top"/>
    </xf>
    <xf numFmtId="0" fontId="41" fillId="0" borderId="0" xfId="2" applyFont="1" applyAlignment="1">
      <alignment horizontal="left" vertical="center"/>
    </xf>
    <xf numFmtId="0" fontId="40" fillId="0" borderId="0" xfId="2" applyFont="1" applyAlignment="1">
      <alignment horizontal="right" vertical="center"/>
    </xf>
    <xf numFmtId="0" fontId="42" fillId="0" borderId="0" xfId="2" applyFont="1" applyAlignment="1">
      <alignment horizontal="left" vertical="center"/>
    </xf>
    <xf numFmtId="0" fontId="40" fillId="0" borderId="90" xfId="2" applyFont="1" applyBorder="1" applyAlignment="1">
      <alignment horizontal="right" vertical="center"/>
    </xf>
    <xf numFmtId="0" fontId="43" fillId="0" borderId="90" xfId="2" applyFont="1" applyBorder="1" applyAlignment="1">
      <alignment horizontal="center" vertical="center"/>
    </xf>
    <xf numFmtId="0" fontId="40" fillId="0" borderId="90" xfId="2" applyFont="1" applyBorder="1" applyAlignment="1">
      <alignment horizontal="left" vertical="top"/>
    </xf>
    <xf numFmtId="0" fontId="40" fillId="0" borderId="97" xfId="2" applyFont="1" applyBorder="1" applyAlignment="1">
      <alignment horizontal="right" vertical="center"/>
    </xf>
    <xf numFmtId="0" fontId="43" fillId="0" borderId="97" xfId="2" applyFont="1" applyBorder="1" applyAlignment="1">
      <alignment horizontal="center" vertical="center"/>
    </xf>
    <xf numFmtId="0" fontId="40" fillId="0" borderId="97" xfId="2" applyFont="1" applyBorder="1" applyAlignment="1">
      <alignment horizontal="left" vertical="top"/>
    </xf>
    <xf numFmtId="0" fontId="43" fillId="0" borderId="0" xfId="2" applyFont="1" applyAlignment="1">
      <alignment horizontal="center" vertical="center"/>
    </xf>
    <xf numFmtId="0" fontId="43" fillId="0" borderId="0" xfId="2" quotePrefix="1" applyFont="1" applyAlignment="1">
      <alignment horizontal="center" vertical="center"/>
    </xf>
    <xf numFmtId="0" fontId="43" fillId="0" borderId="0" xfId="2" applyFont="1" applyAlignment="1">
      <alignment vertical="center"/>
    </xf>
    <xf numFmtId="0" fontId="42" fillId="0" borderId="0" xfId="2" applyFont="1" applyAlignment="1">
      <alignment vertical="center" wrapText="1"/>
    </xf>
    <xf numFmtId="0" fontId="42" fillId="0" borderId="0" xfId="2" applyFont="1" applyAlignment="1">
      <alignment horizontal="center" vertical="top"/>
    </xf>
    <xf numFmtId="0" fontId="42" fillId="0" borderId="0" xfId="2" quotePrefix="1" applyFont="1" applyAlignment="1">
      <alignment vertical="center"/>
    </xf>
    <xf numFmtId="0" fontId="2" fillId="0" borderId="5" xfId="0" applyFont="1" applyBorder="1" applyAlignment="1">
      <alignment horizontal="center" vertical="center" shrinkToFit="1"/>
    </xf>
    <xf numFmtId="0" fontId="2" fillId="0" borderId="0" xfId="0" applyFont="1" applyAlignment="1">
      <alignment horizontal="center" vertical="center" shrinkToFit="1"/>
    </xf>
    <xf numFmtId="0" fontId="2" fillId="0" borderId="58" xfId="0" applyFont="1" applyBorder="1" applyAlignment="1">
      <alignment horizontal="center" vertical="center" shrinkToFit="1"/>
    </xf>
    <xf numFmtId="0" fontId="2" fillId="8" borderId="1" xfId="0" applyFont="1" applyFill="1" applyBorder="1" applyAlignment="1">
      <alignment horizontal="center" vertical="center"/>
    </xf>
    <xf numFmtId="0" fontId="2" fillId="8" borderId="40" xfId="0" applyFont="1" applyFill="1" applyBorder="1" applyAlignment="1">
      <alignment horizontal="center" vertical="center"/>
    </xf>
    <xf numFmtId="0" fontId="2" fillId="8" borderId="42" xfId="0" applyFont="1" applyFill="1" applyBorder="1" applyAlignment="1">
      <alignment horizontal="center" vertical="center"/>
    </xf>
    <xf numFmtId="199" fontId="4" fillId="0" borderId="5" xfId="0" applyNumberFormat="1" applyFont="1" applyBorder="1">
      <alignment vertical="center"/>
    </xf>
    <xf numFmtId="190" fontId="2" fillId="0" borderId="29" xfId="0" applyNumberFormat="1" applyFont="1" applyBorder="1">
      <alignment vertical="center"/>
    </xf>
    <xf numFmtId="0" fontId="18" fillId="8" borderId="40" xfId="0" quotePrefix="1" applyFont="1" applyFill="1" applyBorder="1" applyAlignment="1">
      <alignment vertical="center" wrapText="1"/>
    </xf>
    <xf numFmtId="0" fontId="4" fillId="8" borderId="40" xfId="0" applyFont="1" applyFill="1" applyBorder="1">
      <alignment vertical="center"/>
    </xf>
    <xf numFmtId="0" fontId="2" fillId="18" borderId="54" xfId="0" applyFont="1" applyFill="1" applyBorder="1">
      <alignment vertical="center"/>
    </xf>
    <xf numFmtId="0" fontId="2" fillId="18" borderId="54" xfId="0" quotePrefix="1" applyFont="1" applyFill="1" applyBorder="1">
      <alignment vertical="center"/>
    </xf>
    <xf numFmtId="0" fontId="2" fillId="18" borderId="54" xfId="0" applyFont="1" applyFill="1" applyBorder="1" applyAlignment="1">
      <alignment horizontal="center" vertical="center"/>
    </xf>
    <xf numFmtId="0" fontId="2" fillId="18" borderId="1" xfId="0" applyFont="1" applyFill="1" applyBorder="1">
      <alignment vertical="center"/>
    </xf>
    <xf numFmtId="0" fontId="2" fillId="18" borderId="1" xfId="0" quotePrefix="1" applyFont="1" applyFill="1" applyBorder="1">
      <alignment vertical="center"/>
    </xf>
    <xf numFmtId="0" fontId="2" fillId="18" borderId="1" xfId="0" applyFont="1" applyFill="1" applyBorder="1" applyAlignment="1">
      <alignment horizontal="center" vertical="center"/>
    </xf>
    <xf numFmtId="0" fontId="2" fillId="18" borderId="45" xfId="0" applyFont="1" applyFill="1" applyBorder="1">
      <alignment vertical="center"/>
    </xf>
    <xf numFmtId="0" fontId="2" fillId="18" borderId="45" xfId="0" quotePrefix="1" applyFont="1" applyFill="1" applyBorder="1">
      <alignment vertical="center"/>
    </xf>
    <xf numFmtId="0" fontId="2" fillId="18" borderId="45" xfId="0" applyFont="1" applyFill="1" applyBorder="1" applyAlignment="1">
      <alignment horizontal="center" vertical="center"/>
    </xf>
    <xf numFmtId="0" fontId="2" fillId="18" borderId="99" xfId="0" applyFont="1" applyFill="1" applyBorder="1" applyAlignment="1">
      <alignment vertical="center" wrapText="1"/>
    </xf>
    <xf numFmtId="0" fontId="2" fillId="18" borderId="51" xfId="0" applyFont="1" applyFill="1" applyBorder="1" applyAlignment="1">
      <alignment vertical="center" wrapText="1"/>
    </xf>
    <xf numFmtId="0" fontId="2" fillId="18" borderId="102" xfId="0" applyFont="1" applyFill="1" applyBorder="1" applyAlignment="1">
      <alignment vertical="center" wrapText="1"/>
    </xf>
    <xf numFmtId="0" fontId="4" fillId="18" borderId="1" xfId="0" applyFont="1" applyFill="1" applyBorder="1">
      <alignment vertical="center"/>
    </xf>
    <xf numFmtId="0" fontId="6" fillId="18" borderId="45" xfId="0" applyFont="1" applyFill="1" applyBorder="1" applyAlignment="1">
      <alignment horizontal="center" vertical="center"/>
    </xf>
    <xf numFmtId="179" fontId="4" fillId="0" borderId="3" xfId="0" applyNumberFormat="1" applyFont="1" applyBorder="1">
      <alignment vertical="center"/>
    </xf>
    <xf numFmtId="0" fontId="2" fillId="0" borderId="38" xfId="0" applyFont="1" applyBorder="1" applyAlignment="1">
      <alignment horizontal="left" vertical="top" wrapText="1"/>
    </xf>
    <xf numFmtId="0" fontId="6" fillId="18" borderId="1" xfId="0" applyFont="1" applyFill="1" applyBorder="1" applyAlignment="1">
      <alignment horizontal="center" vertical="center"/>
    </xf>
    <xf numFmtId="0" fontId="29" fillId="0" borderId="0" xfId="0" quotePrefix="1" applyFont="1" applyAlignment="1">
      <alignment horizontal="center" vertical="center"/>
    </xf>
    <xf numFmtId="0" fontId="29" fillId="0" borderId="0" xfId="0" quotePrefix="1" applyFont="1" applyAlignment="1">
      <alignment horizontal="left" vertical="center"/>
    </xf>
    <xf numFmtId="213" fontId="2" fillId="0" borderId="32" xfId="0" applyNumberFormat="1" applyFont="1" applyBorder="1">
      <alignment vertical="center"/>
    </xf>
    <xf numFmtId="213" fontId="2" fillId="0" borderId="33" xfId="0" applyNumberFormat="1" applyFont="1" applyBorder="1">
      <alignment vertical="center"/>
    </xf>
    <xf numFmtId="213" fontId="2" fillId="0" borderId="38" xfId="0" applyNumberFormat="1" applyFont="1" applyBorder="1">
      <alignment vertical="center"/>
    </xf>
    <xf numFmtId="190" fontId="2" fillId="0" borderId="7" xfId="0" applyNumberFormat="1" applyFont="1" applyBorder="1">
      <alignment vertical="center"/>
    </xf>
    <xf numFmtId="179" fontId="2" fillId="0" borderId="104" xfId="0" applyNumberFormat="1" applyFont="1" applyBorder="1" applyAlignment="1">
      <alignment horizontal="center" vertical="center"/>
    </xf>
    <xf numFmtId="0" fontId="2" fillId="0" borderId="105" xfId="0" applyFont="1" applyBorder="1">
      <alignment vertical="center"/>
    </xf>
    <xf numFmtId="179" fontId="2" fillId="0" borderId="105" xfId="0" applyNumberFormat="1" applyFont="1" applyBorder="1" applyAlignment="1">
      <alignment horizontal="center" vertical="center"/>
    </xf>
    <xf numFmtId="187" fontId="2" fillId="0" borderId="62" xfId="0" applyNumberFormat="1" applyFont="1" applyBorder="1">
      <alignment vertical="center"/>
    </xf>
    <xf numFmtId="182" fontId="2" fillId="0" borderId="62" xfId="0" applyNumberFormat="1" applyFont="1" applyBorder="1">
      <alignment vertical="center"/>
    </xf>
    <xf numFmtId="183" fontId="2" fillId="0" borderId="62" xfId="0" applyNumberFormat="1" applyFont="1" applyBorder="1">
      <alignment vertical="center"/>
    </xf>
    <xf numFmtId="185" fontId="2" fillId="0" borderId="62" xfId="0" applyNumberFormat="1" applyFont="1" applyBorder="1">
      <alignment vertical="center"/>
    </xf>
    <xf numFmtId="0" fontId="62" fillId="0" borderId="1" xfId="0" applyFont="1" applyBorder="1">
      <alignment vertical="center"/>
    </xf>
    <xf numFmtId="0" fontId="27" fillId="0" borderId="1" xfId="0" applyFont="1" applyBorder="1">
      <alignment vertical="center"/>
    </xf>
    <xf numFmtId="0" fontId="4" fillId="18" borderId="45" xfId="0" applyFont="1" applyFill="1" applyBorder="1">
      <alignment vertical="center"/>
    </xf>
    <xf numFmtId="0" fontId="18" fillId="10" borderId="60" xfId="0" applyFont="1" applyFill="1" applyBorder="1" applyAlignment="1">
      <alignment horizontal="center" vertical="center" wrapText="1"/>
    </xf>
    <xf numFmtId="0" fontId="18" fillId="10" borderId="59" xfId="0" applyFont="1" applyFill="1" applyBorder="1" applyAlignment="1">
      <alignment horizontal="center" vertical="center" wrapText="1"/>
    </xf>
    <xf numFmtId="0" fontId="18" fillId="10" borderId="52" xfId="0" applyFont="1" applyFill="1" applyBorder="1" applyAlignment="1">
      <alignment horizontal="center" vertical="center" wrapText="1"/>
    </xf>
    <xf numFmtId="0" fontId="18" fillId="10" borderId="39" xfId="0" applyFont="1" applyFill="1" applyBorder="1" applyAlignment="1">
      <alignment horizontal="center" vertical="center" wrapText="1"/>
    </xf>
    <xf numFmtId="0" fontId="18" fillId="10" borderId="50" xfId="0" applyFont="1" applyFill="1" applyBorder="1" applyAlignment="1">
      <alignment horizontal="center" vertical="center" wrapText="1"/>
    </xf>
    <xf numFmtId="0" fontId="18" fillId="10" borderId="49" xfId="0" applyFont="1" applyFill="1" applyBorder="1" applyAlignment="1">
      <alignment horizontal="center" vertical="center" wrapText="1"/>
    </xf>
    <xf numFmtId="0" fontId="18" fillId="10" borderId="48" xfId="0" applyFont="1" applyFill="1" applyBorder="1" applyAlignment="1">
      <alignment horizontal="center" vertical="center" wrapText="1"/>
    </xf>
    <xf numFmtId="0" fontId="18" fillId="10" borderId="41" xfId="0" applyFont="1" applyFill="1" applyBorder="1" applyAlignment="1">
      <alignment horizontal="center" vertical="center" wrapText="1"/>
    </xf>
    <xf numFmtId="0" fontId="18" fillId="10" borderId="40" xfId="0" applyFont="1" applyFill="1" applyBorder="1" applyAlignment="1">
      <alignment horizontal="left" vertical="center" wrapText="1"/>
    </xf>
    <xf numFmtId="0" fontId="18" fillId="10" borderId="42" xfId="0" applyFont="1" applyFill="1" applyBorder="1" applyAlignment="1">
      <alignment horizontal="left" vertical="center" wrapText="1"/>
    </xf>
    <xf numFmtId="0" fontId="18" fillId="8" borderId="50" xfId="0" applyFont="1" applyFill="1" applyBorder="1" applyAlignment="1">
      <alignment horizontal="center" vertical="center" wrapText="1"/>
    </xf>
    <xf numFmtId="0" fontId="18" fillId="8" borderId="49" xfId="0" applyFont="1" applyFill="1" applyBorder="1" applyAlignment="1">
      <alignment horizontal="center" vertical="center" wrapText="1"/>
    </xf>
    <xf numFmtId="0" fontId="19" fillId="8" borderId="40" xfId="0" applyFont="1" applyFill="1" applyBorder="1" applyAlignment="1">
      <alignment vertical="center" wrapText="1"/>
    </xf>
    <xf numFmtId="0" fontId="19" fillId="8" borderId="42" xfId="0" applyFont="1" applyFill="1" applyBorder="1" applyAlignment="1">
      <alignment vertical="center" wrapText="1"/>
    </xf>
    <xf numFmtId="0" fontId="18" fillId="10" borderId="47" xfId="0" applyFont="1" applyFill="1" applyBorder="1" applyAlignment="1">
      <alignment horizontal="left" vertical="center" wrapText="1"/>
    </xf>
    <xf numFmtId="0" fontId="19" fillId="10" borderId="40" xfId="0" applyFont="1" applyFill="1" applyBorder="1" applyAlignment="1">
      <alignment vertical="center" wrapText="1"/>
    </xf>
    <xf numFmtId="0" fontId="19" fillId="10" borderId="47" xfId="0" applyFont="1" applyFill="1" applyBorder="1" applyAlignment="1">
      <alignment vertical="center" wrapText="1"/>
    </xf>
    <xf numFmtId="0" fontId="18" fillId="10" borderId="79" xfId="0" applyFont="1" applyFill="1" applyBorder="1" applyAlignment="1">
      <alignment horizontal="center" vertical="center" wrapText="1"/>
    </xf>
    <xf numFmtId="0" fontId="18" fillId="10" borderId="80" xfId="0" applyFont="1" applyFill="1" applyBorder="1" applyAlignment="1">
      <alignment horizontal="center" vertical="center" wrapText="1"/>
    </xf>
    <xf numFmtId="0" fontId="18" fillId="8" borderId="40" xfId="0" applyFont="1" applyFill="1" applyBorder="1" applyAlignment="1">
      <alignment horizontal="center" vertical="center" wrapText="1"/>
    </xf>
    <xf numFmtId="0" fontId="18" fillId="8" borderId="47" xfId="0" applyFont="1" applyFill="1" applyBorder="1" applyAlignment="1">
      <alignment horizontal="center" vertical="center" wrapText="1"/>
    </xf>
    <xf numFmtId="0" fontId="18" fillId="8" borderId="103" xfId="0" applyFont="1" applyFill="1" applyBorder="1" applyAlignment="1">
      <alignment horizontal="center" vertical="center" wrapText="1"/>
    </xf>
    <xf numFmtId="0" fontId="2" fillId="18" borderId="98" xfId="0" applyFont="1" applyFill="1" applyBorder="1" applyAlignment="1">
      <alignment horizontal="center" vertical="center" wrapText="1" shrinkToFit="1"/>
    </xf>
    <xf numFmtId="0" fontId="2" fillId="18" borderId="54" xfId="0" applyFont="1" applyFill="1" applyBorder="1" applyAlignment="1">
      <alignment horizontal="center" vertical="center" shrinkToFit="1"/>
    </xf>
    <xf numFmtId="0" fontId="2" fillId="18" borderId="100" xfId="0" applyFont="1" applyFill="1" applyBorder="1" applyAlignment="1">
      <alignment horizontal="center" vertical="center" shrinkToFit="1"/>
    </xf>
    <xf numFmtId="0" fontId="2" fillId="18" borderId="1" xfId="0" applyFont="1" applyFill="1" applyBorder="1" applyAlignment="1">
      <alignment horizontal="center" vertical="center" shrinkToFit="1"/>
    </xf>
    <xf numFmtId="0" fontId="2" fillId="18" borderId="101" xfId="0" applyFont="1" applyFill="1" applyBorder="1" applyAlignment="1">
      <alignment horizontal="center" vertical="center" shrinkToFit="1"/>
    </xf>
    <xf numFmtId="0" fontId="2" fillId="18" borderId="45" xfId="0" applyFont="1" applyFill="1" applyBorder="1" applyAlignment="1">
      <alignment horizontal="center" vertical="center" shrinkToFit="1"/>
    </xf>
    <xf numFmtId="0" fontId="2" fillId="0" borderId="56" xfId="0" applyFont="1" applyBorder="1" applyAlignment="1">
      <alignment horizontal="left" vertical="center" wrapText="1"/>
    </xf>
    <xf numFmtId="0" fontId="2" fillId="0" borderId="53" xfId="0" applyFont="1" applyBorder="1" applyAlignment="1">
      <alignment horizontal="left" vertical="center" wrapText="1"/>
    </xf>
    <xf numFmtId="0" fontId="2" fillId="0" borderId="40" xfId="0" applyFont="1" applyBorder="1" applyAlignment="1">
      <alignment horizontal="center" vertical="center"/>
    </xf>
    <xf numFmtId="0" fontId="2" fillId="0" borderId="42" xfId="0" applyFont="1" applyBorder="1" applyAlignment="1">
      <alignment horizontal="center" vertical="center"/>
    </xf>
    <xf numFmtId="0" fontId="2" fillId="8" borderId="46" xfId="0" applyFont="1" applyFill="1" applyBorder="1" applyAlignment="1">
      <alignment horizontal="center" vertical="center" wrapText="1"/>
    </xf>
    <xf numFmtId="0" fontId="18" fillId="8" borderId="52" xfId="0" applyFont="1" applyFill="1" applyBorder="1" applyAlignment="1">
      <alignment horizontal="center" vertical="center" wrapText="1"/>
    </xf>
    <xf numFmtId="0" fontId="2" fillId="0" borderId="46" xfId="0" applyFont="1" applyBorder="1" applyAlignment="1">
      <alignment horizontal="left" vertical="center" wrapText="1"/>
    </xf>
    <xf numFmtId="0" fontId="2" fillId="5" borderId="3" xfId="0" quotePrefix="1" applyFont="1" applyFill="1" applyBorder="1" applyAlignment="1">
      <alignment horizontal="center" vertical="center"/>
    </xf>
    <xf numFmtId="0" fontId="2" fillId="5" borderId="17" xfId="0" applyFont="1" applyFill="1" applyBorder="1" applyAlignment="1">
      <alignment horizontal="center" vertical="center"/>
    </xf>
    <xf numFmtId="0" fontId="2" fillId="2" borderId="14" xfId="0" applyFont="1" applyFill="1" applyBorder="1" applyAlignment="1">
      <alignment horizontal="center" vertical="center" textRotation="90" wrapText="1"/>
    </xf>
    <xf numFmtId="0" fontId="2" fillId="2" borderId="12" xfId="0" applyFont="1" applyFill="1" applyBorder="1" applyAlignment="1">
      <alignment horizontal="center" vertical="center" textRotation="90" wrapText="1"/>
    </xf>
    <xf numFmtId="0" fontId="2" fillId="2" borderId="13" xfId="0" applyFont="1" applyFill="1" applyBorder="1" applyAlignment="1">
      <alignment horizontal="center" vertical="center" textRotation="90" wrapText="1"/>
    </xf>
    <xf numFmtId="0" fontId="2" fillId="2" borderId="14" xfId="0" applyFont="1" applyFill="1" applyBorder="1" applyAlignment="1">
      <alignment horizontal="center" vertical="center" textRotation="90"/>
    </xf>
    <xf numFmtId="0" fontId="2" fillId="2" borderId="12" xfId="0" applyFont="1" applyFill="1" applyBorder="1" applyAlignment="1">
      <alignment horizontal="center" vertical="center" textRotation="90"/>
    </xf>
    <xf numFmtId="0" fontId="2" fillId="2" borderId="13" xfId="0" applyFont="1" applyFill="1" applyBorder="1" applyAlignment="1">
      <alignment horizontal="center" vertical="center" textRotation="90"/>
    </xf>
    <xf numFmtId="0" fontId="2" fillId="5" borderId="9" xfId="0" quotePrefix="1"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33" fillId="0" borderId="0" xfId="0" applyFont="1" applyAlignment="1">
      <alignment horizontal="center" vertical="center"/>
    </xf>
    <xf numFmtId="0" fontId="48" fillId="0" borderId="0" xfId="1" applyFont="1" applyAlignment="1">
      <alignment horizontal="center" vertical="center"/>
    </xf>
    <xf numFmtId="0" fontId="2" fillId="0" borderId="5" xfId="0" applyFont="1" applyBorder="1" applyAlignment="1">
      <alignment horizontal="left" vertical="center"/>
    </xf>
    <xf numFmtId="187" fontId="2" fillId="3" borderId="29" xfId="0" applyNumberFormat="1" applyFont="1" applyFill="1" applyBorder="1" applyAlignment="1">
      <alignment horizontal="right" vertical="center"/>
    </xf>
    <xf numFmtId="187" fontId="2" fillId="3" borderId="2" xfId="0" applyNumberFormat="1" applyFont="1" applyFill="1" applyBorder="1" applyAlignment="1">
      <alignment horizontal="right"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85" xfId="0" applyFont="1" applyBorder="1" applyAlignment="1">
      <alignment horizontal="left" vertical="top" wrapText="1"/>
    </xf>
    <xf numFmtId="0" fontId="2" fillId="0" borderId="86" xfId="0" applyFont="1" applyBorder="1" applyAlignment="1">
      <alignment horizontal="left" vertical="top" wrapText="1"/>
    </xf>
    <xf numFmtId="0" fontId="2" fillId="0" borderId="39" xfId="0" applyFont="1" applyBorder="1" applyAlignment="1">
      <alignment horizontal="left" vertical="top" wrapText="1"/>
    </xf>
    <xf numFmtId="0" fontId="2" fillId="0" borderId="87" xfId="0" applyFont="1" applyBorder="1" applyAlignment="1">
      <alignment horizontal="left" vertical="top" wrapText="1"/>
    </xf>
    <xf numFmtId="0" fontId="2" fillId="0" borderId="0" xfId="0" applyFont="1" applyAlignment="1">
      <alignment horizontal="left" vertical="top" wrapText="1"/>
    </xf>
    <xf numFmtId="0" fontId="2" fillId="0" borderId="49" xfId="0" applyFont="1" applyBorder="1" applyAlignment="1">
      <alignment horizontal="left" vertical="top" wrapText="1"/>
    </xf>
    <xf numFmtId="0" fontId="2" fillId="0" borderId="88" xfId="0" applyFont="1" applyBorder="1" applyAlignment="1">
      <alignment horizontal="left" vertical="top" wrapText="1"/>
    </xf>
    <xf numFmtId="0" fontId="2" fillId="0" borderId="31" xfId="0" applyFont="1" applyBorder="1" applyAlignment="1">
      <alignment horizontal="left" vertical="top" wrapText="1"/>
    </xf>
    <xf numFmtId="0" fontId="2" fillId="0" borderId="41" xfId="0" applyFont="1" applyBorder="1" applyAlignment="1">
      <alignment horizontal="left" vertical="top" wrapText="1"/>
    </xf>
    <xf numFmtId="0" fontId="2" fillId="2" borderId="73" xfId="0" applyFont="1" applyFill="1" applyBorder="1" applyAlignment="1">
      <alignment horizontal="center" vertical="center" textRotation="90"/>
    </xf>
    <xf numFmtId="0" fontId="2" fillId="2" borderId="76" xfId="0" applyFont="1" applyFill="1" applyBorder="1" applyAlignment="1">
      <alignment horizontal="center" vertical="center" textRotation="90"/>
    </xf>
    <xf numFmtId="0" fontId="2" fillId="0" borderId="77" xfId="0" applyFont="1" applyBorder="1" applyAlignment="1">
      <alignment horizontal="center" vertical="center" textRotation="90"/>
    </xf>
    <xf numFmtId="0" fontId="2" fillId="0" borderId="78" xfId="0" applyFont="1" applyBorder="1" applyAlignment="1">
      <alignment horizontal="center" vertical="center" textRotation="90"/>
    </xf>
    <xf numFmtId="0" fontId="2" fillId="0" borderId="37" xfId="0" applyFont="1" applyBorder="1" applyAlignment="1">
      <alignment horizontal="center" vertical="center" textRotation="90"/>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2" fillId="5" borderId="3" xfId="0" applyFont="1" applyFill="1" applyBorder="1" applyAlignment="1">
      <alignment horizontal="center" vertical="center"/>
    </xf>
    <xf numFmtId="0" fontId="2" fillId="0" borderId="5" xfId="0" applyFont="1" applyBorder="1" applyAlignment="1">
      <alignment horizontal="left" vertical="top"/>
    </xf>
    <xf numFmtId="188" fontId="2" fillId="11" borderId="68" xfId="0" applyNumberFormat="1" applyFont="1" applyFill="1" applyBorder="1" applyAlignment="1">
      <alignment horizontal="center" vertical="center"/>
    </xf>
    <xf numFmtId="0" fontId="2" fillId="2" borderId="74" xfId="0" applyFont="1" applyFill="1" applyBorder="1" applyAlignment="1">
      <alignment horizontal="center" vertical="center" textRotation="90"/>
    </xf>
    <xf numFmtId="0" fontId="2" fillId="2" borderId="75" xfId="0" applyFont="1" applyFill="1" applyBorder="1" applyAlignment="1">
      <alignment horizontal="center" vertical="center" textRotation="90"/>
    </xf>
    <xf numFmtId="0" fontId="2" fillId="11" borderId="68" xfId="0" applyFont="1" applyFill="1" applyBorder="1" applyAlignment="1">
      <alignment horizontal="center" vertical="top" wrapText="1"/>
    </xf>
    <xf numFmtId="0" fontId="2" fillId="2" borderId="32" xfId="0" applyFont="1" applyFill="1" applyBorder="1" applyAlignment="1">
      <alignment horizontal="center" vertical="center" textRotation="90"/>
    </xf>
    <xf numFmtId="0" fontId="2" fillId="2" borderId="33" xfId="0" applyFont="1" applyFill="1" applyBorder="1" applyAlignment="1">
      <alignment horizontal="center" vertical="center" textRotation="90"/>
    </xf>
    <xf numFmtId="0" fontId="2" fillId="2" borderId="38" xfId="0" applyFont="1" applyFill="1" applyBorder="1" applyAlignment="1">
      <alignment horizontal="center" vertical="center" textRotation="90"/>
    </xf>
    <xf numFmtId="188" fontId="2" fillId="0" borderId="84" xfId="0" applyNumberFormat="1" applyFont="1" applyBorder="1" applyAlignment="1">
      <alignment horizontal="center" vertical="center"/>
    </xf>
    <xf numFmtId="188" fontId="2" fillId="0" borderId="91" xfId="0" applyNumberFormat="1" applyFont="1" applyBorder="1" applyAlignment="1">
      <alignment horizontal="center" vertical="center"/>
    </xf>
    <xf numFmtId="186" fontId="40" fillId="0" borderId="90" xfId="2" applyNumberFormat="1" applyFont="1" applyBorder="1" applyAlignment="1">
      <alignment horizontal="left" vertical="center"/>
    </xf>
    <xf numFmtId="0" fontId="43" fillId="0" borderId="97" xfId="2" applyFont="1" applyBorder="1" applyAlignment="1">
      <alignment horizontal="center" vertical="center"/>
    </xf>
    <xf numFmtId="0" fontId="43" fillId="0" borderId="90" xfId="2" applyFont="1" applyBorder="1" applyAlignment="1">
      <alignment horizontal="center" vertical="center"/>
    </xf>
    <xf numFmtId="0" fontId="43" fillId="0" borderId="0" xfId="2" applyFont="1" applyAlignment="1">
      <alignment horizontal="center" vertical="center"/>
    </xf>
    <xf numFmtId="0" fontId="43" fillId="0" borderId="0" xfId="2" quotePrefix="1" applyFont="1" applyAlignment="1">
      <alignment horizontal="center" vertical="center"/>
    </xf>
    <xf numFmtId="0" fontId="42" fillId="0" borderId="0" xfId="2" applyFont="1" applyAlignment="1">
      <alignment horizontal="left" vertical="center"/>
    </xf>
    <xf numFmtId="0" fontId="42" fillId="0" borderId="0" xfId="2" applyFont="1" applyAlignment="1">
      <alignment horizontal="left" vertical="center" wrapText="1"/>
    </xf>
    <xf numFmtId="200" fontId="40" fillId="0" borderId="90" xfId="2" applyNumberFormat="1" applyFont="1" applyBorder="1" applyAlignment="1">
      <alignment horizontal="left" vertical="center"/>
    </xf>
    <xf numFmtId="0" fontId="43" fillId="0" borderId="0" xfId="2" quotePrefix="1" applyFont="1" applyAlignment="1">
      <alignment horizontal="left" vertical="center"/>
    </xf>
    <xf numFmtId="188" fontId="40" fillId="0" borderId="90" xfId="2" applyNumberFormat="1" applyFont="1" applyBorder="1" applyAlignment="1">
      <alignment horizontal="left" vertical="center"/>
    </xf>
    <xf numFmtId="0" fontId="2" fillId="0" borderId="18" xfId="0" applyFont="1" applyBorder="1" applyAlignment="1">
      <alignment horizontal="left" vertical="center" shrinkToFit="1"/>
    </xf>
    <xf numFmtId="0" fontId="2" fillId="0" borderId="65" xfId="0" applyFont="1" applyBorder="1" applyAlignment="1">
      <alignment horizontal="left" vertical="center" shrinkToFit="1"/>
    </xf>
    <xf numFmtId="0" fontId="2" fillId="0" borderId="16" xfId="0" applyFont="1" applyBorder="1" applyAlignment="1">
      <alignment horizontal="left" vertical="center" shrinkToFit="1"/>
    </xf>
    <xf numFmtId="0" fontId="2" fillId="0" borderId="20" xfId="0" applyFont="1" applyBorder="1" applyAlignment="1">
      <alignment horizontal="left" vertical="center" shrinkToFit="1"/>
    </xf>
    <xf numFmtId="0" fontId="2" fillId="0" borderId="66" xfId="0" applyFont="1" applyBorder="1" applyAlignment="1">
      <alignment horizontal="left" vertical="center" shrinkToFit="1"/>
    </xf>
    <xf numFmtId="0" fontId="2" fillId="0" borderId="10" xfId="0" applyFont="1" applyBorder="1" applyAlignment="1">
      <alignment horizontal="left" vertical="center" shrinkToFit="1"/>
    </xf>
    <xf numFmtId="0" fontId="2" fillId="0" borderId="62" xfId="0" applyFont="1" applyBorder="1" applyAlignment="1">
      <alignment horizontal="left" vertical="center" shrinkToFit="1"/>
    </xf>
    <xf numFmtId="0" fontId="2" fillId="0" borderId="9" xfId="0" applyFont="1" applyBorder="1" applyAlignment="1">
      <alignment horizontal="left" vertical="center" shrinkToFit="1"/>
    </xf>
    <xf numFmtId="0" fontId="2" fillId="0" borderId="64" xfId="0" applyFont="1" applyBorder="1" applyAlignment="1">
      <alignment horizontal="left" vertical="center" shrinkToFit="1"/>
    </xf>
    <xf numFmtId="0" fontId="2" fillId="0" borderId="63" xfId="0" applyFont="1" applyBorder="1" applyAlignment="1">
      <alignment horizontal="left" vertical="center" shrinkToFit="1"/>
    </xf>
    <xf numFmtId="0" fontId="2" fillId="0" borderId="0" xfId="0" applyFont="1" applyAlignment="1">
      <alignment horizontal="center" vertical="center"/>
    </xf>
    <xf numFmtId="0" fontId="2" fillId="0" borderId="34" xfId="0" applyFont="1" applyBorder="1" applyAlignment="1">
      <alignment horizontal="left" vertical="center" shrinkToFit="1"/>
    </xf>
    <xf numFmtId="0" fontId="2" fillId="0" borderId="12" xfId="0" applyFont="1" applyBorder="1" applyAlignment="1">
      <alignment horizontal="left" vertical="center" shrinkToFit="1"/>
    </xf>
    <xf numFmtId="0" fontId="2" fillId="0" borderId="61" xfId="0" applyFont="1" applyBorder="1" applyAlignment="1">
      <alignment horizontal="left" vertical="center" shrinkToFit="1"/>
    </xf>
    <xf numFmtId="0" fontId="2" fillId="0" borderId="13" xfId="0" applyFont="1" applyBorder="1" applyAlignment="1">
      <alignment horizontal="left" vertical="center" shrinkToFit="1"/>
    </xf>
    <xf numFmtId="0" fontId="2" fillId="0" borderId="90" xfId="0" applyFont="1" applyBorder="1" applyAlignment="1">
      <alignment horizontal="right" vertical="center"/>
    </xf>
    <xf numFmtId="0" fontId="2" fillId="5" borderId="9" xfId="0" applyFont="1" applyFill="1" applyBorder="1" applyAlignment="1">
      <alignment horizontal="center" vertical="center"/>
    </xf>
    <xf numFmtId="0" fontId="15" fillId="13" borderId="17" xfId="0" applyFont="1" applyFill="1" applyBorder="1" applyAlignment="1">
      <alignment horizontal="center" vertical="center" wrapText="1"/>
    </xf>
    <xf numFmtId="0" fontId="15" fillId="13" borderId="67" xfId="0" applyFont="1" applyFill="1" applyBorder="1" applyAlignment="1">
      <alignment horizontal="center" vertical="center" wrapText="1"/>
    </xf>
    <xf numFmtId="0" fontId="15" fillId="13" borderId="32" xfId="0" applyFont="1" applyFill="1" applyBorder="1" applyAlignment="1">
      <alignment horizontal="center" vertical="center" wrapText="1"/>
    </xf>
    <xf numFmtId="0" fontId="15" fillId="13" borderId="33" xfId="0" applyFont="1" applyFill="1" applyBorder="1" applyAlignment="1">
      <alignment horizontal="center" vertical="center" wrapText="1"/>
    </xf>
    <xf numFmtId="0" fontId="15" fillId="13" borderId="3" xfId="0" applyFont="1" applyFill="1" applyBorder="1" applyAlignment="1">
      <alignment horizontal="center" vertical="center" wrapText="1"/>
    </xf>
    <xf numFmtId="0" fontId="15" fillId="13" borderId="5" xfId="0" applyFont="1" applyFill="1" applyBorder="1" applyAlignment="1">
      <alignment horizontal="center" vertical="center" wrapText="1"/>
    </xf>
    <xf numFmtId="0" fontId="29" fillId="0" borderId="0" xfId="0" applyFont="1" applyAlignment="1">
      <alignment horizontal="center" vertical="center"/>
    </xf>
    <xf numFmtId="0" fontId="2" fillId="0" borderId="0" xfId="0" applyFont="1" applyAlignment="1">
      <alignment horizontal="left" vertic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0" fontId="2" fillId="0" borderId="62" xfId="0" applyFont="1" applyBorder="1" applyAlignment="1">
      <alignment horizontal="center" vertical="center"/>
    </xf>
    <xf numFmtId="0" fontId="2" fillId="0" borderId="9" xfId="0" applyFont="1" applyBorder="1" applyAlignment="1">
      <alignment horizontal="center" vertical="center"/>
    </xf>
    <xf numFmtId="0" fontId="2" fillId="5" borderId="4" xfId="0" applyFont="1" applyFill="1" applyBorder="1" applyAlignment="1">
      <alignment horizontal="center" vertical="center"/>
    </xf>
    <xf numFmtId="0" fontId="2" fillId="2" borderId="34" xfId="0" applyFont="1" applyFill="1" applyBorder="1" applyAlignment="1">
      <alignment horizontal="center" vertical="center" textRotation="90"/>
    </xf>
  </cellXfs>
  <cellStyles count="3">
    <cellStyle name="ハイパーリンク" xfId="1" builtinId="8"/>
    <cellStyle name="標準" xfId="0" builtinId="0"/>
    <cellStyle name="標準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2019300</xdr:colOff>
      <xdr:row>103</xdr:row>
      <xdr:rowOff>123825</xdr:rowOff>
    </xdr:from>
    <xdr:to>
      <xdr:col>5</xdr:col>
      <xdr:colOff>638175</xdr:colOff>
      <xdr:row>108</xdr:row>
      <xdr:rowOff>11513</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28850" y="18164175"/>
          <a:ext cx="2952750" cy="649689"/>
        </a:xfrm>
        <a:prstGeom prst="rect">
          <a:avLst/>
        </a:prstGeom>
      </xdr:spPr>
    </xdr:pic>
    <xdr:clientData/>
  </xdr:twoCellAnchor>
  <xdr:twoCellAnchor>
    <xdr:from>
      <xdr:col>5</xdr:col>
      <xdr:colOff>38100</xdr:colOff>
      <xdr:row>105</xdr:row>
      <xdr:rowOff>74083</xdr:rowOff>
    </xdr:from>
    <xdr:to>
      <xdr:col>5</xdr:col>
      <xdr:colOff>39688</xdr:colOff>
      <xdr:row>106</xdr:row>
      <xdr:rowOff>56621</xdr:rowOff>
    </xdr:to>
    <xdr:cxnSp macro="">
      <xdr:nvCxnSpPr>
        <xdr:cNvPr id="4" name="直線コネクタ 3">
          <a:extLst>
            <a:ext uri="{FF2B5EF4-FFF2-40B4-BE49-F238E27FC236}">
              <a16:creationId xmlns:a16="http://schemas.microsoft.com/office/drawing/2014/main" id="{CA00F8E2-16D3-53EB-F636-121DE68CF3ED}"/>
            </a:ext>
          </a:extLst>
        </xdr:cNvPr>
        <xdr:cNvCxnSpPr/>
      </xdr:nvCxnSpPr>
      <xdr:spPr>
        <a:xfrm>
          <a:off x="4197350" y="18704983"/>
          <a:ext cx="1588" cy="12858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0</xdr:colOff>
      <xdr:row>9</xdr:row>
      <xdr:rowOff>0</xdr:rowOff>
    </xdr:to>
    <xdr:cxnSp macro="">
      <xdr:nvCxnSpPr>
        <xdr:cNvPr id="2" name="直線矢印コネクタ 1">
          <a:extLst>
            <a:ext uri="{FF2B5EF4-FFF2-40B4-BE49-F238E27FC236}">
              <a16:creationId xmlns:a16="http://schemas.microsoft.com/office/drawing/2014/main" id="{00000000-0008-0000-0900-000002000000}"/>
            </a:ext>
          </a:extLst>
        </xdr:cNvPr>
        <xdr:cNvCxnSpPr/>
      </xdr:nvCxnSpPr>
      <xdr:spPr>
        <a:xfrm>
          <a:off x="685800" y="171450"/>
          <a:ext cx="0" cy="1371600"/>
        </a:xfrm>
        <a:prstGeom prst="straightConnector1">
          <a:avLst/>
        </a:prstGeom>
        <a:ln w="19050">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8</xdr:row>
      <xdr:rowOff>180975</xdr:rowOff>
    </xdr:from>
    <xdr:to>
      <xdr:col>3</xdr:col>
      <xdr:colOff>0</xdr:colOff>
      <xdr:row>13</xdr:row>
      <xdr:rowOff>19050</xdr:rowOff>
    </xdr:to>
    <xdr:cxnSp macro="">
      <xdr:nvCxnSpPr>
        <xdr:cNvPr id="3" name="直線矢印コネクタ 2">
          <a:extLst>
            <a:ext uri="{FF2B5EF4-FFF2-40B4-BE49-F238E27FC236}">
              <a16:creationId xmlns:a16="http://schemas.microsoft.com/office/drawing/2014/main" id="{00000000-0008-0000-0900-000003000000}"/>
            </a:ext>
          </a:extLst>
        </xdr:cNvPr>
        <xdr:cNvCxnSpPr/>
      </xdr:nvCxnSpPr>
      <xdr:spPr>
        <a:xfrm>
          <a:off x="685800" y="1543050"/>
          <a:ext cx="0" cy="1047750"/>
        </a:xfrm>
        <a:prstGeom prst="straightConnector1">
          <a:avLst/>
        </a:prstGeom>
        <a:ln w="19050">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13</xdr:row>
      <xdr:rowOff>0</xdr:rowOff>
    </xdr:from>
    <xdr:to>
      <xdr:col>3</xdr:col>
      <xdr:colOff>9525</xdr:colOff>
      <xdr:row>27</xdr:row>
      <xdr:rowOff>9525</xdr:rowOff>
    </xdr:to>
    <xdr:cxnSp macro="">
      <xdr:nvCxnSpPr>
        <xdr:cNvPr id="4" name="直線矢印コネクタ 3">
          <a:extLst>
            <a:ext uri="{FF2B5EF4-FFF2-40B4-BE49-F238E27FC236}">
              <a16:creationId xmlns:a16="http://schemas.microsoft.com/office/drawing/2014/main" id="{00000000-0008-0000-0900-000004000000}"/>
            </a:ext>
          </a:extLst>
        </xdr:cNvPr>
        <xdr:cNvCxnSpPr/>
      </xdr:nvCxnSpPr>
      <xdr:spPr>
        <a:xfrm>
          <a:off x="695325" y="2571750"/>
          <a:ext cx="0" cy="27527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3</xdr:col>
      <xdr:colOff>0</xdr:colOff>
      <xdr:row>27</xdr:row>
      <xdr:rowOff>0</xdr:rowOff>
    </xdr:from>
    <xdr:to>
      <xdr:col>3</xdr:col>
      <xdr:colOff>9525</xdr:colOff>
      <xdr:row>37</xdr:row>
      <xdr:rowOff>0</xdr:rowOff>
    </xdr:to>
    <xdr:cxnSp macro="">
      <xdr:nvCxnSpPr>
        <xdr:cNvPr id="5" name="直線矢印コネクタ 4">
          <a:extLst>
            <a:ext uri="{FF2B5EF4-FFF2-40B4-BE49-F238E27FC236}">
              <a16:creationId xmlns:a16="http://schemas.microsoft.com/office/drawing/2014/main" id="{00000000-0008-0000-0900-000005000000}"/>
            </a:ext>
          </a:extLst>
        </xdr:cNvPr>
        <xdr:cNvCxnSpPr/>
      </xdr:nvCxnSpPr>
      <xdr:spPr>
        <a:xfrm>
          <a:off x="685800" y="5314950"/>
          <a:ext cx="9525" cy="1028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3</xdr:col>
      <xdr:colOff>9525</xdr:colOff>
      <xdr:row>37</xdr:row>
      <xdr:rowOff>0</xdr:rowOff>
    </xdr:from>
    <xdr:to>
      <xdr:col>3</xdr:col>
      <xdr:colOff>9525</xdr:colOff>
      <xdr:row>43</xdr:row>
      <xdr:rowOff>0</xdr:rowOff>
    </xdr:to>
    <xdr:cxnSp macro="">
      <xdr:nvCxnSpPr>
        <xdr:cNvPr id="6" name="直線矢印コネクタ 5">
          <a:extLst>
            <a:ext uri="{FF2B5EF4-FFF2-40B4-BE49-F238E27FC236}">
              <a16:creationId xmlns:a16="http://schemas.microsoft.com/office/drawing/2014/main" id="{00000000-0008-0000-0900-000006000000}"/>
            </a:ext>
          </a:extLst>
        </xdr:cNvPr>
        <xdr:cNvCxnSpPr/>
      </xdr:nvCxnSpPr>
      <xdr:spPr>
        <a:xfrm>
          <a:off x="695325" y="6343650"/>
          <a:ext cx="0" cy="1028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3</xdr:col>
      <xdr:colOff>0</xdr:colOff>
      <xdr:row>43</xdr:row>
      <xdr:rowOff>9525</xdr:rowOff>
    </xdr:from>
    <xdr:to>
      <xdr:col>3</xdr:col>
      <xdr:colOff>9525</xdr:colOff>
      <xdr:row>49</xdr:row>
      <xdr:rowOff>9525</xdr:rowOff>
    </xdr:to>
    <xdr:cxnSp macro="">
      <xdr:nvCxnSpPr>
        <xdr:cNvPr id="7" name="直線矢印コネクタ 6">
          <a:extLst>
            <a:ext uri="{FF2B5EF4-FFF2-40B4-BE49-F238E27FC236}">
              <a16:creationId xmlns:a16="http://schemas.microsoft.com/office/drawing/2014/main" id="{00000000-0008-0000-0900-000007000000}"/>
            </a:ext>
          </a:extLst>
        </xdr:cNvPr>
        <xdr:cNvCxnSpPr/>
      </xdr:nvCxnSpPr>
      <xdr:spPr>
        <a:xfrm flipH="1">
          <a:off x="685800" y="7381875"/>
          <a:ext cx="9525" cy="1028700"/>
        </a:xfrm>
        <a:prstGeom prst="straightConnector1">
          <a:avLst/>
        </a:prstGeom>
        <a:ln w="19050">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37</xdr:row>
      <xdr:rowOff>0</xdr:rowOff>
    </xdr:from>
    <xdr:to>
      <xdr:col>3</xdr:col>
      <xdr:colOff>9525</xdr:colOff>
      <xdr:row>43</xdr:row>
      <xdr:rowOff>0</xdr:rowOff>
    </xdr:to>
    <xdr:cxnSp macro="">
      <xdr:nvCxnSpPr>
        <xdr:cNvPr id="8" name="直線矢印コネクタ 7">
          <a:extLst>
            <a:ext uri="{FF2B5EF4-FFF2-40B4-BE49-F238E27FC236}">
              <a16:creationId xmlns:a16="http://schemas.microsoft.com/office/drawing/2014/main" id="{00000000-0008-0000-0900-000008000000}"/>
            </a:ext>
          </a:extLst>
        </xdr:cNvPr>
        <xdr:cNvCxnSpPr/>
      </xdr:nvCxnSpPr>
      <xdr:spPr>
        <a:xfrm>
          <a:off x="685800" y="6343650"/>
          <a:ext cx="9525" cy="1028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0</xdr:colOff>
      <xdr:row>1</xdr:row>
      <xdr:rowOff>9525</xdr:rowOff>
    </xdr:from>
    <xdr:to>
      <xdr:col>5</xdr:col>
      <xdr:colOff>0</xdr:colOff>
      <xdr:row>3</xdr:row>
      <xdr:rowOff>0</xdr:rowOff>
    </xdr:to>
    <xdr:cxnSp macro="">
      <xdr:nvCxnSpPr>
        <xdr:cNvPr id="9" name="直線矢印コネクタ 8">
          <a:extLst>
            <a:ext uri="{FF2B5EF4-FFF2-40B4-BE49-F238E27FC236}">
              <a16:creationId xmlns:a16="http://schemas.microsoft.com/office/drawing/2014/main" id="{00000000-0008-0000-0900-000009000000}"/>
            </a:ext>
          </a:extLst>
        </xdr:cNvPr>
        <xdr:cNvCxnSpPr/>
      </xdr:nvCxnSpPr>
      <xdr:spPr>
        <a:xfrm>
          <a:off x="2057400" y="180975"/>
          <a:ext cx="0" cy="33337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7</xdr:row>
      <xdr:rowOff>9525</xdr:rowOff>
    </xdr:from>
    <xdr:to>
      <xdr:col>5</xdr:col>
      <xdr:colOff>9525</xdr:colOff>
      <xdr:row>9</xdr:row>
      <xdr:rowOff>0</xdr:rowOff>
    </xdr:to>
    <xdr:cxnSp macro="">
      <xdr:nvCxnSpPr>
        <xdr:cNvPr id="10" name="直線矢印コネクタ 9">
          <a:extLst>
            <a:ext uri="{FF2B5EF4-FFF2-40B4-BE49-F238E27FC236}">
              <a16:creationId xmlns:a16="http://schemas.microsoft.com/office/drawing/2014/main" id="{00000000-0008-0000-0900-00000A000000}"/>
            </a:ext>
          </a:extLst>
        </xdr:cNvPr>
        <xdr:cNvCxnSpPr/>
      </xdr:nvCxnSpPr>
      <xdr:spPr>
        <a:xfrm>
          <a:off x="2066925" y="1209675"/>
          <a:ext cx="0" cy="33337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0</xdr:colOff>
      <xdr:row>3</xdr:row>
      <xdr:rowOff>9525</xdr:rowOff>
    </xdr:from>
    <xdr:to>
      <xdr:col>5</xdr:col>
      <xdr:colOff>0</xdr:colOff>
      <xdr:row>7</xdr:row>
      <xdr:rowOff>19050</xdr:rowOff>
    </xdr:to>
    <xdr:cxnSp macro="">
      <xdr:nvCxnSpPr>
        <xdr:cNvPr id="11" name="直線矢印コネクタ 10">
          <a:extLst>
            <a:ext uri="{FF2B5EF4-FFF2-40B4-BE49-F238E27FC236}">
              <a16:creationId xmlns:a16="http://schemas.microsoft.com/office/drawing/2014/main" id="{00000000-0008-0000-0900-00000B000000}"/>
            </a:ext>
          </a:extLst>
        </xdr:cNvPr>
        <xdr:cNvCxnSpPr/>
      </xdr:nvCxnSpPr>
      <xdr:spPr>
        <a:xfrm>
          <a:off x="2057400" y="523875"/>
          <a:ext cx="0" cy="6953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13</xdr:row>
      <xdr:rowOff>0</xdr:rowOff>
    </xdr:from>
    <xdr:to>
      <xdr:col>5</xdr:col>
      <xdr:colOff>9525</xdr:colOff>
      <xdr:row>17</xdr:row>
      <xdr:rowOff>9525</xdr:rowOff>
    </xdr:to>
    <xdr:cxnSp macro="">
      <xdr:nvCxnSpPr>
        <xdr:cNvPr id="12" name="直線矢印コネクタ 11">
          <a:extLst>
            <a:ext uri="{FF2B5EF4-FFF2-40B4-BE49-F238E27FC236}">
              <a16:creationId xmlns:a16="http://schemas.microsoft.com/office/drawing/2014/main" id="{00000000-0008-0000-0900-00000C000000}"/>
            </a:ext>
          </a:extLst>
        </xdr:cNvPr>
        <xdr:cNvCxnSpPr/>
      </xdr:nvCxnSpPr>
      <xdr:spPr>
        <a:xfrm>
          <a:off x="2066925" y="2571750"/>
          <a:ext cx="0" cy="6953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23</xdr:row>
      <xdr:rowOff>9525</xdr:rowOff>
    </xdr:from>
    <xdr:to>
      <xdr:col>5</xdr:col>
      <xdr:colOff>9525</xdr:colOff>
      <xdr:row>27</xdr:row>
      <xdr:rowOff>9525</xdr:rowOff>
    </xdr:to>
    <xdr:cxnSp macro="">
      <xdr:nvCxnSpPr>
        <xdr:cNvPr id="13" name="直線矢印コネクタ 12">
          <a:extLst>
            <a:ext uri="{FF2B5EF4-FFF2-40B4-BE49-F238E27FC236}">
              <a16:creationId xmlns:a16="http://schemas.microsoft.com/office/drawing/2014/main" id="{00000000-0008-0000-0900-00000D000000}"/>
            </a:ext>
          </a:extLst>
        </xdr:cNvPr>
        <xdr:cNvCxnSpPr/>
      </xdr:nvCxnSpPr>
      <xdr:spPr>
        <a:xfrm>
          <a:off x="2066925" y="4638675"/>
          <a:ext cx="0" cy="6858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17</xdr:row>
      <xdr:rowOff>9525</xdr:rowOff>
    </xdr:from>
    <xdr:to>
      <xdr:col>5</xdr:col>
      <xdr:colOff>9525</xdr:colOff>
      <xdr:row>23</xdr:row>
      <xdr:rowOff>19050</xdr:rowOff>
    </xdr:to>
    <xdr:cxnSp macro="">
      <xdr:nvCxnSpPr>
        <xdr:cNvPr id="14" name="直線矢印コネクタ 13">
          <a:extLst>
            <a:ext uri="{FF2B5EF4-FFF2-40B4-BE49-F238E27FC236}">
              <a16:creationId xmlns:a16="http://schemas.microsoft.com/office/drawing/2014/main" id="{00000000-0008-0000-0900-00000E000000}"/>
            </a:ext>
          </a:extLst>
        </xdr:cNvPr>
        <xdr:cNvCxnSpPr/>
      </xdr:nvCxnSpPr>
      <xdr:spPr>
        <a:xfrm>
          <a:off x="2066925" y="3267075"/>
          <a:ext cx="0" cy="13811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47</xdr:row>
      <xdr:rowOff>19050</xdr:rowOff>
    </xdr:from>
    <xdr:to>
      <xdr:col>5</xdr:col>
      <xdr:colOff>9526</xdr:colOff>
      <xdr:row>49</xdr:row>
      <xdr:rowOff>0</xdr:rowOff>
    </xdr:to>
    <xdr:cxnSp macro="">
      <xdr:nvCxnSpPr>
        <xdr:cNvPr id="15" name="直線矢印コネクタ 14">
          <a:extLst>
            <a:ext uri="{FF2B5EF4-FFF2-40B4-BE49-F238E27FC236}">
              <a16:creationId xmlns:a16="http://schemas.microsoft.com/office/drawing/2014/main" id="{00000000-0008-0000-0900-00000F000000}"/>
            </a:ext>
          </a:extLst>
        </xdr:cNvPr>
        <xdr:cNvCxnSpPr/>
      </xdr:nvCxnSpPr>
      <xdr:spPr>
        <a:xfrm flipH="1">
          <a:off x="2066925" y="8077200"/>
          <a:ext cx="1" cy="32385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43</xdr:row>
      <xdr:rowOff>9525</xdr:rowOff>
    </xdr:from>
    <xdr:to>
      <xdr:col>5</xdr:col>
      <xdr:colOff>9525</xdr:colOff>
      <xdr:row>47</xdr:row>
      <xdr:rowOff>9525</xdr:rowOff>
    </xdr:to>
    <xdr:cxnSp macro="">
      <xdr:nvCxnSpPr>
        <xdr:cNvPr id="16" name="直線矢印コネクタ 15">
          <a:extLst>
            <a:ext uri="{FF2B5EF4-FFF2-40B4-BE49-F238E27FC236}">
              <a16:creationId xmlns:a16="http://schemas.microsoft.com/office/drawing/2014/main" id="{00000000-0008-0000-0900-000010000000}"/>
            </a:ext>
          </a:extLst>
        </xdr:cNvPr>
        <xdr:cNvCxnSpPr/>
      </xdr:nvCxnSpPr>
      <xdr:spPr>
        <a:xfrm>
          <a:off x="2066925" y="7381875"/>
          <a:ext cx="0" cy="6858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mc:AlternateContent xmlns:mc="http://schemas.openxmlformats.org/markup-compatibility/2006">
    <mc:Choice xmlns:a14="http://schemas.microsoft.com/office/drawing/2010/main" Requires="a14">
      <xdr:twoCellAnchor editAs="oneCell">
        <xdr:from>
          <xdr:col>5</xdr:col>
          <xdr:colOff>0</xdr:colOff>
          <xdr:row>44</xdr:row>
          <xdr:rowOff>50800</xdr:rowOff>
        </xdr:from>
        <xdr:to>
          <xdr:col>5</xdr:col>
          <xdr:colOff>393700</xdr:colOff>
          <xdr:row>46</xdr:row>
          <xdr:rowOff>25400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9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alpha val="0"/>
                    </a:srgbClr>
                  </a:solidFill>
                </a14:hiddenFill>
              </a:ext>
              <a:ext uri="{91240B29-F687-4F45-9708-019B960494DF}">
                <a14:hiddenLine w="0">
                  <a:solidFill>
                    <a:srgbClr val="000000" mc:Ignorable="a14" a14:legacySpreadsheetColorIndex="64"/>
                  </a:solidFill>
                  <a:miter lim="800000"/>
                  <a:headEnd/>
                  <a:tailEnd/>
                </a14:hiddenLine>
              </a:ext>
            </a:extLst>
          </xdr:spPr>
        </xdr:sp>
        <xdr:clientData/>
      </xdr:twoCellAnchor>
    </mc:Choice>
    <mc:Fallback/>
  </mc:AlternateContent>
  <xdr:twoCellAnchor>
    <xdr:from>
      <xdr:col>8</xdr:col>
      <xdr:colOff>9525</xdr:colOff>
      <xdr:row>20</xdr:row>
      <xdr:rowOff>152400</xdr:rowOff>
    </xdr:from>
    <xdr:to>
      <xdr:col>8</xdr:col>
      <xdr:colOff>9526</xdr:colOff>
      <xdr:row>22</xdr:row>
      <xdr:rowOff>152400</xdr:rowOff>
    </xdr:to>
    <xdr:cxnSp macro="">
      <xdr:nvCxnSpPr>
        <xdr:cNvPr id="18" name="直線矢印コネクタ 17">
          <a:extLst>
            <a:ext uri="{FF2B5EF4-FFF2-40B4-BE49-F238E27FC236}">
              <a16:creationId xmlns:a16="http://schemas.microsoft.com/office/drawing/2014/main" id="{00000000-0008-0000-0900-000012000000}"/>
            </a:ext>
          </a:extLst>
        </xdr:cNvPr>
        <xdr:cNvCxnSpPr/>
      </xdr:nvCxnSpPr>
      <xdr:spPr>
        <a:xfrm flipH="1">
          <a:off x="3438525" y="3276600"/>
          <a:ext cx="1" cy="32385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1</xdr:col>
      <xdr:colOff>0</xdr:colOff>
      <xdr:row>1</xdr:row>
      <xdr:rowOff>9525</xdr:rowOff>
    </xdr:from>
    <xdr:to>
      <xdr:col>1</xdr:col>
      <xdr:colOff>0</xdr:colOff>
      <xdr:row>49</xdr:row>
      <xdr:rowOff>19050</xdr:rowOff>
    </xdr:to>
    <xdr:cxnSp macro="">
      <xdr:nvCxnSpPr>
        <xdr:cNvPr id="23" name="直線矢印コネクタ 22">
          <a:extLst>
            <a:ext uri="{FF2B5EF4-FFF2-40B4-BE49-F238E27FC236}">
              <a16:creationId xmlns:a16="http://schemas.microsoft.com/office/drawing/2014/main" id="{00000000-0008-0000-0900-000017000000}"/>
            </a:ext>
          </a:extLst>
        </xdr:cNvPr>
        <xdr:cNvCxnSpPr/>
      </xdr:nvCxnSpPr>
      <xdr:spPr>
        <a:xfrm>
          <a:off x="428625" y="57150"/>
          <a:ext cx="0" cy="84296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26</xdr:row>
      <xdr:rowOff>152400</xdr:rowOff>
    </xdr:from>
    <xdr:to>
      <xdr:col>5</xdr:col>
      <xdr:colOff>9526</xdr:colOff>
      <xdr:row>32</xdr:row>
      <xdr:rowOff>152400</xdr:rowOff>
    </xdr:to>
    <xdr:cxnSp macro="">
      <xdr:nvCxnSpPr>
        <xdr:cNvPr id="26" name="直線矢印コネクタ 25">
          <a:extLst>
            <a:ext uri="{FF2B5EF4-FFF2-40B4-BE49-F238E27FC236}">
              <a16:creationId xmlns:a16="http://schemas.microsoft.com/office/drawing/2014/main" id="{00000000-0008-0000-0900-00001A000000}"/>
            </a:ext>
          </a:extLst>
        </xdr:cNvPr>
        <xdr:cNvCxnSpPr/>
      </xdr:nvCxnSpPr>
      <xdr:spPr>
        <a:xfrm flipH="1">
          <a:off x="1924050" y="4895850"/>
          <a:ext cx="1" cy="97155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33</xdr:row>
      <xdr:rowOff>0</xdr:rowOff>
    </xdr:from>
    <xdr:to>
      <xdr:col>5</xdr:col>
      <xdr:colOff>9525</xdr:colOff>
      <xdr:row>37</xdr:row>
      <xdr:rowOff>0</xdr:rowOff>
    </xdr:to>
    <xdr:cxnSp macro="">
      <xdr:nvCxnSpPr>
        <xdr:cNvPr id="29" name="直線矢印コネクタ 28">
          <a:extLst>
            <a:ext uri="{FF2B5EF4-FFF2-40B4-BE49-F238E27FC236}">
              <a16:creationId xmlns:a16="http://schemas.microsoft.com/office/drawing/2014/main" id="{00000000-0008-0000-0900-00001D000000}"/>
            </a:ext>
          </a:extLst>
        </xdr:cNvPr>
        <xdr:cNvCxnSpPr/>
      </xdr:nvCxnSpPr>
      <xdr:spPr>
        <a:xfrm>
          <a:off x="1924050" y="5876925"/>
          <a:ext cx="0" cy="647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85725</xdr:colOff>
      <xdr:row>35</xdr:row>
      <xdr:rowOff>38100</xdr:rowOff>
    </xdr:from>
    <xdr:to>
      <xdr:col>5</xdr:col>
      <xdr:colOff>342900</xdr:colOff>
      <xdr:row>35</xdr:row>
      <xdr:rowOff>38101</xdr:rowOff>
    </xdr:to>
    <xdr:cxnSp macro="">
      <xdr:nvCxnSpPr>
        <xdr:cNvPr id="30" name="直線コネクタ 29">
          <a:extLst>
            <a:ext uri="{FF2B5EF4-FFF2-40B4-BE49-F238E27FC236}">
              <a16:creationId xmlns:a16="http://schemas.microsoft.com/office/drawing/2014/main" id="{00000000-0008-0000-0900-00001E000000}"/>
            </a:ext>
          </a:extLst>
        </xdr:cNvPr>
        <xdr:cNvCxnSpPr/>
      </xdr:nvCxnSpPr>
      <xdr:spPr>
        <a:xfrm>
          <a:off x="1466850" y="5591175"/>
          <a:ext cx="257175" cy="1"/>
        </a:xfrm>
        <a:prstGeom prst="line">
          <a:avLst/>
        </a:prstGeom>
        <a:ln w="15875"/>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ours.be/sci/aw.php"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mig-ip.com/Law_of_Gravitation_in_11_Dimensions.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www.ebyte.it/library/educards/constants/ConstantsOfPhysicsAndMath.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en.wikipedia.org/wiki/Talk:Planck_units/Archive_3" TargetMode="External"/><Relationship Id="rId1" Type="http://schemas.openxmlformats.org/officeDocument/2006/relationships/hyperlink" Target="http://dozenal.com/"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64"/>
  <sheetViews>
    <sheetView zoomScale="200" zoomScaleNormal="200" workbookViewId="0">
      <pane xSplit="2" ySplit="1" topLeftCell="E17" activePane="bottomRight" state="frozen"/>
      <selection pane="topRight" activeCell="C1" sqref="C1"/>
      <selection pane="bottomLeft" activeCell="A2" sqref="A2"/>
      <selection pane="bottomRight" activeCell="L20" sqref="L20"/>
    </sheetView>
  </sheetViews>
  <sheetFormatPr defaultColWidth="9" defaultRowHeight="11.5" x14ac:dyDescent="0.2"/>
  <cols>
    <col min="1" max="1" width="10.26953125" style="14" customWidth="1"/>
    <col min="2" max="2" width="11.1796875" style="14" customWidth="1"/>
    <col min="3" max="3" width="41" style="14" customWidth="1"/>
    <col min="4" max="4" width="33.36328125" style="14" customWidth="1"/>
    <col min="5" max="5" width="22.6328125" style="14" customWidth="1"/>
    <col min="6" max="11" width="7.6328125" style="54" customWidth="1"/>
    <col min="12" max="12" width="73.1796875" style="214" customWidth="1"/>
    <col min="13" max="16384" width="9" style="14"/>
  </cols>
  <sheetData>
    <row r="1" spans="1:12" ht="13.5" customHeight="1" thickTop="1" thickBot="1" x14ac:dyDescent="0.25">
      <c r="A1" s="540" t="s">
        <v>331</v>
      </c>
      <c r="B1" s="541"/>
      <c r="C1" s="327" t="s">
        <v>330</v>
      </c>
      <c r="D1" s="328" t="s">
        <v>329</v>
      </c>
      <c r="E1" s="327" t="s">
        <v>328</v>
      </c>
      <c r="F1" s="329" t="s">
        <v>327</v>
      </c>
      <c r="G1" s="329" t="s">
        <v>326</v>
      </c>
      <c r="H1" s="329" t="s">
        <v>325</v>
      </c>
      <c r="I1" s="329" t="s">
        <v>324</v>
      </c>
      <c r="J1" s="329" t="s">
        <v>1350</v>
      </c>
      <c r="K1" s="499" t="s">
        <v>1351</v>
      </c>
      <c r="L1" s="330" t="s">
        <v>323</v>
      </c>
    </row>
    <row r="2" spans="1:12" ht="13.5" customHeight="1" x14ac:dyDescent="0.2">
      <c r="A2" s="544" t="s">
        <v>631</v>
      </c>
      <c r="B2" s="545"/>
      <c r="C2" s="548" t="s">
        <v>319</v>
      </c>
      <c r="D2" s="331" t="s">
        <v>318</v>
      </c>
      <c r="E2" s="480" t="s">
        <v>317</v>
      </c>
      <c r="F2" s="36" t="s">
        <v>1045</v>
      </c>
      <c r="G2" s="36" t="s">
        <v>1045</v>
      </c>
      <c r="H2" s="36" t="s">
        <v>1042</v>
      </c>
      <c r="I2" s="36"/>
      <c r="J2" s="36"/>
      <c r="K2" s="36" t="s">
        <v>1042</v>
      </c>
      <c r="L2" s="332"/>
    </row>
    <row r="3" spans="1:12" ht="13.5" customHeight="1" x14ac:dyDescent="0.2">
      <c r="A3" s="544"/>
      <c r="B3" s="545"/>
      <c r="C3" s="549"/>
      <c r="D3" s="331" t="s">
        <v>1046</v>
      </c>
      <c r="E3" s="343" t="s">
        <v>1282</v>
      </c>
      <c r="F3" s="36" t="s">
        <v>1045</v>
      </c>
      <c r="G3" s="36" t="s">
        <v>1045</v>
      </c>
      <c r="H3" s="36"/>
      <c r="I3" s="36" t="s">
        <v>1042</v>
      </c>
      <c r="J3" s="36"/>
      <c r="K3" s="36" t="s">
        <v>1042</v>
      </c>
      <c r="L3" s="333"/>
    </row>
    <row r="4" spans="1:12" ht="13.5" customHeight="1" x14ac:dyDescent="0.2">
      <c r="A4" s="544"/>
      <c r="B4" s="545"/>
      <c r="C4" s="334" t="s">
        <v>322</v>
      </c>
      <c r="D4" s="335" t="s">
        <v>321</v>
      </c>
      <c r="E4" s="336" t="s">
        <v>320</v>
      </c>
      <c r="F4" s="122" t="s">
        <v>1045</v>
      </c>
      <c r="G4" s="122" t="s">
        <v>1045</v>
      </c>
      <c r="H4" s="122" t="s">
        <v>1042</v>
      </c>
      <c r="I4" s="122"/>
      <c r="J4" s="122"/>
      <c r="K4" s="122"/>
      <c r="L4" s="333"/>
    </row>
    <row r="5" spans="1:12" ht="25.5" customHeight="1" x14ac:dyDescent="0.2">
      <c r="A5" s="544"/>
      <c r="B5" s="545"/>
      <c r="C5" s="548" t="s">
        <v>1283</v>
      </c>
      <c r="D5" s="337" t="s">
        <v>1047</v>
      </c>
      <c r="E5" s="338" t="s">
        <v>1048</v>
      </c>
      <c r="F5" s="570" t="s">
        <v>1045</v>
      </c>
      <c r="G5" s="570" t="s">
        <v>1045</v>
      </c>
      <c r="H5" s="570" t="s">
        <v>1042</v>
      </c>
      <c r="I5" s="570"/>
      <c r="J5" s="570"/>
      <c r="K5" s="570"/>
      <c r="L5" s="568" t="s">
        <v>1869</v>
      </c>
    </row>
    <row r="6" spans="1:12" ht="12.5" customHeight="1" x14ac:dyDescent="0.2">
      <c r="A6" s="544"/>
      <c r="B6" s="545"/>
      <c r="C6" s="549"/>
      <c r="D6" s="339" t="s">
        <v>315</v>
      </c>
      <c r="E6" s="340" t="s">
        <v>1798</v>
      </c>
      <c r="F6" s="571"/>
      <c r="G6" s="571"/>
      <c r="H6" s="571"/>
      <c r="I6" s="571"/>
      <c r="J6" s="571"/>
      <c r="K6" s="571"/>
      <c r="L6" s="569"/>
    </row>
    <row r="7" spans="1:12" ht="13.5" customHeight="1" x14ac:dyDescent="0.2">
      <c r="A7" s="544"/>
      <c r="B7" s="545"/>
      <c r="C7" s="331" t="s">
        <v>316</v>
      </c>
      <c r="D7" s="342" t="s">
        <v>1820</v>
      </c>
      <c r="E7" s="343" t="s">
        <v>1799</v>
      </c>
      <c r="F7" s="36" t="s">
        <v>1045</v>
      </c>
      <c r="G7" s="36" t="s">
        <v>1045</v>
      </c>
      <c r="H7" s="36" t="s">
        <v>1042</v>
      </c>
      <c r="I7" s="36"/>
      <c r="J7" s="36"/>
      <c r="K7" s="36"/>
      <c r="L7" s="344"/>
    </row>
    <row r="8" spans="1:12" ht="29.5" customHeight="1" x14ac:dyDescent="0.2">
      <c r="A8" s="542" t="s">
        <v>314</v>
      </c>
      <c r="B8" s="543"/>
      <c r="C8" s="548" t="s">
        <v>313</v>
      </c>
      <c r="D8" s="345" t="s">
        <v>1818</v>
      </c>
      <c r="E8" s="340" t="s">
        <v>1800</v>
      </c>
      <c r="F8" s="36"/>
      <c r="G8" s="36" t="s">
        <v>1045</v>
      </c>
      <c r="H8" s="36" t="s">
        <v>1042</v>
      </c>
      <c r="I8" s="36"/>
      <c r="J8" s="36" t="s">
        <v>1042</v>
      </c>
      <c r="K8" s="36" t="s">
        <v>1042</v>
      </c>
      <c r="L8" s="568" t="s">
        <v>1871</v>
      </c>
    </row>
    <row r="9" spans="1:12" ht="13.5" customHeight="1" x14ac:dyDescent="0.2">
      <c r="A9" s="544"/>
      <c r="B9" s="545"/>
      <c r="C9" s="554"/>
      <c r="D9" s="345" t="s">
        <v>1873</v>
      </c>
      <c r="E9" s="340" t="s">
        <v>1876</v>
      </c>
      <c r="F9" s="36"/>
      <c r="G9" s="36" t="s">
        <v>282</v>
      </c>
      <c r="H9" s="36"/>
      <c r="I9" s="36" t="s">
        <v>282</v>
      </c>
      <c r="J9" s="36"/>
      <c r="K9" s="36" t="s">
        <v>282</v>
      </c>
      <c r="L9" s="574"/>
    </row>
    <row r="10" spans="1:12" ht="13.5" customHeight="1" x14ac:dyDescent="0.2">
      <c r="A10" s="544"/>
      <c r="B10" s="545"/>
      <c r="C10" s="549"/>
      <c r="D10" s="345" t="s">
        <v>1874</v>
      </c>
      <c r="E10" s="340" t="s">
        <v>1875</v>
      </c>
      <c r="F10" s="36"/>
      <c r="G10" s="36" t="s">
        <v>282</v>
      </c>
      <c r="H10" s="36"/>
      <c r="I10" s="36" t="s">
        <v>282</v>
      </c>
      <c r="J10" s="36"/>
      <c r="K10" s="36" t="s">
        <v>282</v>
      </c>
      <c r="L10" s="569"/>
    </row>
    <row r="11" spans="1:12" ht="13.5" customHeight="1" x14ac:dyDescent="0.2">
      <c r="A11" s="544"/>
      <c r="B11" s="545"/>
      <c r="C11" s="341" t="s">
        <v>312</v>
      </c>
      <c r="D11" s="345" t="s">
        <v>1817</v>
      </c>
      <c r="E11" s="340" t="s">
        <v>1801</v>
      </c>
      <c r="F11" s="36"/>
      <c r="G11" s="36" t="s">
        <v>1042</v>
      </c>
      <c r="H11" s="36"/>
      <c r="I11" s="36" t="s">
        <v>282</v>
      </c>
      <c r="J11" s="36" t="s">
        <v>1042</v>
      </c>
      <c r="K11" s="36"/>
      <c r="L11" s="344"/>
    </row>
    <row r="12" spans="1:12" ht="25" customHeight="1" x14ac:dyDescent="0.2">
      <c r="A12" s="544"/>
      <c r="B12" s="545"/>
      <c r="C12" s="341" t="s">
        <v>311</v>
      </c>
      <c r="D12" s="345" t="s">
        <v>310</v>
      </c>
      <c r="E12" s="340" t="s">
        <v>1802</v>
      </c>
      <c r="F12" s="36"/>
      <c r="G12" s="36" t="s">
        <v>1042</v>
      </c>
      <c r="H12" s="36" t="s">
        <v>1042</v>
      </c>
      <c r="I12" s="36"/>
      <c r="J12" s="36"/>
      <c r="K12" s="36"/>
      <c r="L12" s="344" t="s">
        <v>1859</v>
      </c>
    </row>
    <row r="13" spans="1:12" ht="13.5" customHeight="1" x14ac:dyDescent="0.2">
      <c r="A13" s="546"/>
      <c r="B13" s="547"/>
      <c r="C13" s="331" t="s">
        <v>1858</v>
      </c>
      <c r="D13" s="346" t="s">
        <v>309</v>
      </c>
      <c r="E13" s="343" t="s">
        <v>1803</v>
      </c>
      <c r="F13" s="36"/>
      <c r="G13" s="36" t="s">
        <v>1042</v>
      </c>
      <c r="H13" s="36" t="s">
        <v>1042</v>
      </c>
      <c r="I13" s="36"/>
      <c r="J13" s="36"/>
      <c r="K13" s="36"/>
      <c r="L13" s="344"/>
    </row>
    <row r="14" spans="1:12" ht="13.5" customHeight="1" x14ac:dyDescent="0.2">
      <c r="A14" s="542" t="s">
        <v>308</v>
      </c>
      <c r="B14" s="543"/>
      <c r="C14" s="331" t="s">
        <v>307</v>
      </c>
      <c r="D14" s="346" t="s">
        <v>1819</v>
      </c>
      <c r="E14" s="343" t="s">
        <v>1839</v>
      </c>
      <c r="F14" s="36"/>
      <c r="G14" s="36" t="s">
        <v>1042</v>
      </c>
      <c r="H14" s="36"/>
      <c r="I14" s="36" t="s">
        <v>1042</v>
      </c>
      <c r="J14" s="36" t="s">
        <v>1042</v>
      </c>
      <c r="K14" s="36"/>
      <c r="L14" s="344"/>
    </row>
    <row r="15" spans="1:12" ht="22.5" customHeight="1" x14ac:dyDescent="0.2">
      <c r="A15" s="544"/>
      <c r="B15" s="545"/>
      <c r="C15" s="331" t="s">
        <v>306</v>
      </c>
      <c r="D15" s="346" t="s">
        <v>305</v>
      </c>
      <c r="E15" s="343" t="s">
        <v>1805</v>
      </c>
      <c r="F15" s="36"/>
      <c r="G15" s="36" t="s">
        <v>1042</v>
      </c>
      <c r="H15" s="36"/>
      <c r="I15" s="36" t="s">
        <v>1042</v>
      </c>
      <c r="J15" s="36"/>
      <c r="K15" s="36"/>
      <c r="L15" s="344" t="s">
        <v>1868</v>
      </c>
    </row>
    <row r="16" spans="1:12" ht="13.5" customHeight="1" x14ac:dyDescent="0.2">
      <c r="A16" s="544"/>
      <c r="B16" s="545"/>
      <c r="C16" s="341" t="s">
        <v>304</v>
      </c>
      <c r="D16" s="345" t="s">
        <v>303</v>
      </c>
      <c r="E16" s="340" t="s">
        <v>1806</v>
      </c>
      <c r="F16" s="36"/>
      <c r="G16" s="36" t="s">
        <v>1042</v>
      </c>
      <c r="H16" s="36"/>
      <c r="I16" s="36" t="s">
        <v>1042</v>
      </c>
      <c r="J16" s="36"/>
      <c r="K16" s="36"/>
      <c r="L16" s="344"/>
    </row>
    <row r="17" spans="1:12" ht="27" customHeight="1" x14ac:dyDescent="0.2">
      <c r="A17" s="544"/>
      <c r="B17" s="545"/>
      <c r="C17" s="341" t="s">
        <v>302</v>
      </c>
      <c r="D17" s="345" t="s">
        <v>301</v>
      </c>
      <c r="E17" s="340" t="s">
        <v>1807</v>
      </c>
      <c r="F17" s="36"/>
      <c r="G17" s="36" t="s">
        <v>1042</v>
      </c>
      <c r="H17" s="36"/>
      <c r="I17" s="36" t="s">
        <v>1042</v>
      </c>
      <c r="J17" s="36"/>
      <c r="K17" s="36"/>
      <c r="L17" s="344" t="s">
        <v>1838</v>
      </c>
    </row>
    <row r="18" spans="1:12" ht="15.5" customHeight="1" x14ac:dyDescent="0.2">
      <c r="A18" s="542" t="s">
        <v>300</v>
      </c>
      <c r="B18" s="543"/>
      <c r="C18" s="331" t="s">
        <v>299</v>
      </c>
      <c r="D18" s="346" t="s">
        <v>298</v>
      </c>
      <c r="E18" s="343" t="s">
        <v>1808</v>
      </c>
      <c r="F18" s="36"/>
      <c r="G18" s="36" t="s">
        <v>1042</v>
      </c>
      <c r="H18" s="36"/>
      <c r="I18" s="36" t="s">
        <v>1042</v>
      </c>
      <c r="J18" s="36"/>
      <c r="K18" s="36"/>
      <c r="L18" s="344" t="s">
        <v>1862</v>
      </c>
    </row>
    <row r="19" spans="1:12" ht="57" customHeight="1" x14ac:dyDescent="0.2">
      <c r="A19" s="544"/>
      <c r="B19" s="545"/>
      <c r="C19" s="331" t="s">
        <v>297</v>
      </c>
      <c r="D19" s="346" t="s">
        <v>296</v>
      </c>
      <c r="E19" s="343" t="s">
        <v>1809</v>
      </c>
      <c r="F19" s="36"/>
      <c r="G19" s="36" t="s">
        <v>1042</v>
      </c>
      <c r="H19" s="36"/>
      <c r="I19" s="36" t="s">
        <v>1042</v>
      </c>
      <c r="J19" s="36"/>
      <c r="K19" s="36"/>
      <c r="L19" s="344" t="s">
        <v>1882</v>
      </c>
    </row>
    <row r="20" spans="1:12" ht="54.5" customHeight="1" x14ac:dyDescent="0.2">
      <c r="A20" s="544"/>
      <c r="B20" s="545"/>
      <c r="C20" s="341" t="s">
        <v>760</v>
      </c>
      <c r="D20" s="345" t="s">
        <v>761</v>
      </c>
      <c r="E20" s="340" t="s">
        <v>1810</v>
      </c>
      <c r="F20" s="36"/>
      <c r="G20" s="36" t="s">
        <v>1042</v>
      </c>
      <c r="H20" s="36"/>
      <c r="I20" s="36" t="s">
        <v>1042</v>
      </c>
      <c r="J20" s="36"/>
      <c r="K20" s="36"/>
      <c r="L20" s="344" t="s">
        <v>1881</v>
      </c>
    </row>
    <row r="21" spans="1:12" ht="13.5" customHeight="1" x14ac:dyDescent="0.2">
      <c r="A21" s="546"/>
      <c r="B21" s="547"/>
      <c r="C21" s="331" t="s">
        <v>1796</v>
      </c>
      <c r="D21" s="346" t="s">
        <v>1797</v>
      </c>
      <c r="E21" s="343" t="s">
        <v>1811</v>
      </c>
      <c r="F21" s="36"/>
      <c r="G21" s="36" t="s">
        <v>1042</v>
      </c>
      <c r="H21" s="36"/>
      <c r="I21" s="36" t="s">
        <v>1042</v>
      </c>
      <c r="J21" s="36"/>
      <c r="K21" s="36"/>
      <c r="L21" s="344"/>
    </row>
    <row r="22" spans="1:12" ht="13.5" customHeight="1" x14ac:dyDescent="0.2">
      <c r="A22" s="544" t="s">
        <v>295</v>
      </c>
      <c r="B22" s="545"/>
      <c r="C22" s="334" t="s">
        <v>294</v>
      </c>
      <c r="D22" s="342" t="s">
        <v>293</v>
      </c>
      <c r="E22" s="347" t="s">
        <v>292</v>
      </c>
      <c r="F22" s="36" t="s">
        <v>1042</v>
      </c>
      <c r="G22" s="36"/>
      <c r="H22" s="36"/>
      <c r="I22" s="36"/>
      <c r="J22" s="36"/>
      <c r="K22" s="36"/>
      <c r="L22" s="344"/>
    </row>
    <row r="23" spans="1:12" ht="13.5" customHeight="1" x14ac:dyDescent="0.2">
      <c r="A23" s="544"/>
      <c r="B23" s="545"/>
      <c r="C23" s="341" t="s">
        <v>291</v>
      </c>
      <c r="D23" s="342" t="s">
        <v>290</v>
      </c>
      <c r="E23" s="348" t="s">
        <v>1812</v>
      </c>
      <c r="F23" s="36" t="s">
        <v>1042</v>
      </c>
      <c r="G23" s="36"/>
      <c r="H23" s="36"/>
      <c r="I23" s="36"/>
      <c r="J23" s="36"/>
      <c r="K23" s="36"/>
      <c r="L23" s="344" t="s">
        <v>1865</v>
      </c>
    </row>
    <row r="24" spans="1:12" ht="13.5" customHeight="1" x14ac:dyDescent="0.2">
      <c r="A24" s="544"/>
      <c r="B24" s="545"/>
      <c r="C24" s="341" t="s">
        <v>289</v>
      </c>
      <c r="D24" s="342" t="s">
        <v>288</v>
      </c>
      <c r="E24" s="348" t="s">
        <v>1043</v>
      </c>
      <c r="F24" s="36" t="s">
        <v>1044</v>
      </c>
      <c r="G24" s="36"/>
      <c r="H24" s="36"/>
      <c r="I24" s="36"/>
      <c r="J24" s="36"/>
      <c r="K24" s="36"/>
      <c r="L24" s="344"/>
    </row>
    <row r="25" spans="1:12" ht="13.5" customHeight="1" x14ac:dyDescent="0.2">
      <c r="A25" s="544"/>
      <c r="B25" s="545"/>
      <c r="C25" s="331" t="s">
        <v>1284</v>
      </c>
      <c r="D25" s="342" t="s">
        <v>1285</v>
      </c>
      <c r="E25" s="349" t="s">
        <v>1049</v>
      </c>
      <c r="F25" s="36" t="s">
        <v>282</v>
      </c>
      <c r="G25" s="36"/>
      <c r="H25" s="36"/>
      <c r="I25" s="36"/>
      <c r="J25" s="36"/>
      <c r="K25" s="36"/>
      <c r="L25" s="344"/>
    </row>
    <row r="26" spans="1:12" ht="13.5" customHeight="1" x14ac:dyDescent="0.2">
      <c r="A26" s="542" t="s">
        <v>632</v>
      </c>
      <c r="B26" s="543"/>
      <c r="C26" s="548" t="s">
        <v>286</v>
      </c>
      <c r="D26" s="331" t="s">
        <v>1769</v>
      </c>
      <c r="E26" s="340" t="s">
        <v>1371</v>
      </c>
      <c r="F26" s="36" t="s">
        <v>282</v>
      </c>
      <c r="G26" s="36"/>
      <c r="H26" s="36"/>
      <c r="I26" s="36"/>
      <c r="J26" s="36"/>
      <c r="K26" s="36" t="s">
        <v>1042</v>
      </c>
      <c r="L26" s="478"/>
    </row>
    <row r="27" spans="1:12" ht="13.5" customHeight="1" x14ac:dyDescent="0.2">
      <c r="A27" s="544"/>
      <c r="B27" s="545"/>
      <c r="C27" s="549"/>
      <c r="D27" s="331" t="s">
        <v>1770</v>
      </c>
      <c r="E27" s="340" t="s">
        <v>1259</v>
      </c>
      <c r="F27" s="36" t="s">
        <v>282</v>
      </c>
      <c r="G27" s="36"/>
      <c r="H27" s="36"/>
      <c r="I27" s="36"/>
      <c r="J27" s="36"/>
      <c r="K27" s="36" t="s">
        <v>1042</v>
      </c>
      <c r="L27" s="333"/>
    </row>
    <row r="28" spans="1:12" ht="13.5" customHeight="1" x14ac:dyDescent="0.2">
      <c r="A28" s="544"/>
      <c r="B28" s="545"/>
      <c r="C28" s="548" t="s">
        <v>287</v>
      </c>
      <c r="D28" s="331" t="s">
        <v>1360</v>
      </c>
      <c r="E28" s="555" t="s">
        <v>1359</v>
      </c>
      <c r="F28" s="36" t="s">
        <v>282</v>
      </c>
      <c r="G28" s="36"/>
      <c r="H28" s="36"/>
      <c r="I28" s="36"/>
      <c r="J28" s="36"/>
      <c r="K28" s="36"/>
      <c r="L28" s="332"/>
    </row>
    <row r="29" spans="1:12" ht="13.5" customHeight="1" x14ac:dyDescent="0.2">
      <c r="A29" s="544"/>
      <c r="B29" s="545"/>
      <c r="C29" s="554"/>
      <c r="D29" s="331" t="s">
        <v>1361</v>
      </c>
      <c r="E29" s="556"/>
      <c r="F29" s="36" t="s">
        <v>282</v>
      </c>
      <c r="G29" s="36"/>
      <c r="H29" s="36"/>
      <c r="I29" s="36"/>
      <c r="J29" s="36"/>
      <c r="K29" s="36"/>
      <c r="L29" s="350"/>
    </row>
    <row r="30" spans="1:12" ht="13.5" customHeight="1" x14ac:dyDescent="0.2">
      <c r="A30" s="544"/>
      <c r="B30" s="545"/>
      <c r="C30" s="554"/>
      <c r="D30" s="331" t="s">
        <v>1362</v>
      </c>
      <c r="E30" s="556"/>
      <c r="F30" s="36"/>
      <c r="G30" s="36"/>
      <c r="H30" s="36"/>
      <c r="I30" s="36"/>
      <c r="J30" s="36"/>
      <c r="K30" s="36"/>
      <c r="L30" s="350"/>
    </row>
    <row r="31" spans="1:12" ht="13.5" customHeight="1" x14ac:dyDescent="0.2">
      <c r="A31" s="544"/>
      <c r="B31" s="545"/>
      <c r="C31" s="549"/>
      <c r="D31" s="331" t="s">
        <v>1363</v>
      </c>
      <c r="E31" s="556"/>
      <c r="F31" s="36"/>
      <c r="G31" s="36"/>
      <c r="H31" s="36"/>
      <c r="I31" s="36"/>
      <c r="J31" s="36"/>
      <c r="K31" s="36"/>
      <c r="L31" s="333"/>
    </row>
    <row r="32" spans="1:12" ht="28" customHeight="1" x14ac:dyDescent="0.2">
      <c r="A32" s="544"/>
      <c r="B32" s="545"/>
      <c r="C32" s="341" t="s">
        <v>281</v>
      </c>
      <c r="D32" s="345" t="s">
        <v>1050</v>
      </c>
      <c r="E32" s="340" t="s">
        <v>1813</v>
      </c>
      <c r="F32" s="351"/>
      <c r="G32" s="351"/>
      <c r="H32" s="351"/>
      <c r="I32" s="351"/>
      <c r="J32" s="351"/>
      <c r="K32" s="351"/>
      <c r="L32" s="332"/>
    </row>
    <row r="33" spans="1:12" ht="13.5" customHeight="1" thickBot="1" x14ac:dyDescent="0.25">
      <c r="A33" s="557"/>
      <c r="B33" s="558"/>
      <c r="C33" s="331" t="s">
        <v>285</v>
      </c>
      <c r="D33" s="342" t="s">
        <v>284</v>
      </c>
      <c r="E33" s="349" t="s">
        <v>283</v>
      </c>
      <c r="F33" s="36" t="s">
        <v>282</v>
      </c>
      <c r="G33" s="36"/>
      <c r="H33" s="36"/>
      <c r="I33" s="36"/>
      <c r="J33" s="36"/>
      <c r="K33" s="36"/>
      <c r="L33" s="344"/>
    </row>
    <row r="34" spans="1:12" ht="13.5" customHeight="1" x14ac:dyDescent="0.2">
      <c r="A34" s="544" t="s">
        <v>1532</v>
      </c>
      <c r="B34" s="545"/>
      <c r="C34" s="331" t="s">
        <v>1121</v>
      </c>
      <c r="D34" s="346" t="s">
        <v>1122</v>
      </c>
      <c r="E34" s="537" t="s">
        <v>1814</v>
      </c>
      <c r="F34" s="36"/>
      <c r="G34" s="36"/>
      <c r="H34" s="36"/>
      <c r="I34" s="36"/>
      <c r="J34" s="36"/>
      <c r="K34" s="36"/>
      <c r="L34" s="344" t="s">
        <v>1866</v>
      </c>
    </row>
    <row r="35" spans="1:12" ht="13.5" customHeight="1" x14ac:dyDescent="0.2">
      <c r="A35" s="546"/>
      <c r="B35" s="547"/>
      <c r="C35" s="331" t="s">
        <v>1051</v>
      </c>
      <c r="D35" s="346" t="s">
        <v>1533</v>
      </c>
      <c r="E35" s="352" t="s">
        <v>1816</v>
      </c>
      <c r="F35" s="36"/>
      <c r="G35" s="36"/>
      <c r="H35" s="36"/>
      <c r="I35" s="36"/>
      <c r="J35" s="36"/>
      <c r="K35" s="36"/>
      <c r="L35" s="344" t="s">
        <v>1861</v>
      </c>
    </row>
    <row r="36" spans="1:12" ht="25" customHeight="1" x14ac:dyDescent="0.2">
      <c r="A36" s="542" t="s">
        <v>1264</v>
      </c>
      <c r="B36" s="543"/>
      <c r="C36" s="341" t="s">
        <v>1369</v>
      </c>
      <c r="D36" s="345" t="s">
        <v>1370</v>
      </c>
      <c r="E36" s="538" t="s">
        <v>1872</v>
      </c>
      <c r="F36" s="36"/>
      <c r="G36" s="36"/>
      <c r="H36" s="36"/>
      <c r="I36" s="36"/>
      <c r="J36" s="36"/>
      <c r="K36" s="36"/>
      <c r="L36" s="344" t="s">
        <v>1536</v>
      </c>
    </row>
    <row r="37" spans="1:12" ht="13.5" customHeight="1" x14ac:dyDescent="0.2">
      <c r="A37" s="544"/>
      <c r="B37" s="545"/>
      <c r="C37" s="331" t="s">
        <v>1123</v>
      </c>
      <c r="D37" s="346" t="s">
        <v>1754</v>
      </c>
      <c r="E37" s="537" t="s">
        <v>1815</v>
      </c>
      <c r="F37" s="36"/>
      <c r="G37" s="36"/>
      <c r="H37" s="36"/>
      <c r="I37" s="36"/>
      <c r="J37" s="36"/>
      <c r="K37" s="36"/>
      <c r="L37" s="344" t="s">
        <v>1867</v>
      </c>
    </row>
    <row r="38" spans="1:12" ht="15" customHeight="1" x14ac:dyDescent="0.2">
      <c r="A38" s="546"/>
      <c r="B38" s="547"/>
      <c r="C38" s="331" t="s">
        <v>1052</v>
      </c>
      <c r="D38" s="346" t="s">
        <v>1534</v>
      </c>
      <c r="E38" s="352" t="s">
        <v>1228</v>
      </c>
      <c r="F38" s="36"/>
      <c r="G38" s="36"/>
      <c r="H38" s="36"/>
      <c r="I38" s="36"/>
      <c r="J38" s="36"/>
      <c r="K38" s="36"/>
      <c r="L38" s="344" t="s">
        <v>1860</v>
      </c>
    </row>
    <row r="39" spans="1:12" ht="13.5" customHeight="1" x14ac:dyDescent="0.2">
      <c r="A39" s="542" t="s">
        <v>1265</v>
      </c>
      <c r="B39" s="543"/>
      <c r="C39" s="341" t="s">
        <v>280</v>
      </c>
      <c r="D39" s="345" t="s">
        <v>1458</v>
      </c>
      <c r="E39" s="352" t="s">
        <v>703</v>
      </c>
      <c r="F39" s="36"/>
      <c r="G39" s="36"/>
      <c r="H39" s="36"/>
      <c r="I39" s="36"/>
      <c r="J39" s="36"/>
      <c r="K39" s="36"/>
      <c r="L39" s="353"/>
    </row>
    <row r="40" spans="1:12" ht="13.5" customHeight="1" x14ac:dyDescent="0.2">
      <c r="A40" s="544"/>
      <c r="B40" s="545"/>
      <c r="C40" s="331" t="s">
        <v>279</v>
      </c>
      <c r="D40" s="346" t="s">
        <v>1535</v>
      </c>
      <c r="E40" s="352" t="s">
        <v>278</v>
      </c>
      <c r="F40" s="36"/>
      <c r="G40" s="36"/>
      <c r="H40" s="36"/>
      <c r="I40" s="36"/>
      <c r="J40" s="36"/>
      <c r="K40" s="36"/>
      <c r="L40" s="344"/>
    </row>
    <row r="41" spans="1:12" ht="13.5" customHeight="1" x14ac:dyDescent="0.2">
      <c r="A41" s="544"/>
      <c r="B41" s="545"/>
      <c r="C41" s="331" t="s">
        <v>277</v>
      </c>
      <c r="D41" s="346" t="s">
        <v>1459</v>
      </c>
      <c r="E41" s="352" t="s">
        <v>276</v>
      </c>
      <c r="F41" s="36"/>
      <c r="G41" s="36"/>
      <c r="H41" s="36"/>
      <c r="I41" s="36"/>
      <c r="J41" s="36"/>
      <c r="K41" s="36"/>
      <c r="L41" s="344"/>
    </row>
    <row r="42" spans="1:12" ht="13.5" customHeight="1" x14ac:dyDescent="0.2">
      <c r="A42" s="544"/>
      <c r="B42" s="545"/>
      <c r="C42" s="331" t="s">
        <v>275</v>
      </c>
      <c r="D42" s="346" t="s">
        <v>1460</v>
      </c>
      <c r="E42" s="352" t="s">
        <v>274</v>
      </c>
      <c r="F42" s="36"/>
      <c r="G42" s="36"/>
      <c r="H42" s="36"/>
      <c r="I42" s="36"/>
      <c r="J42" s="36"/>
      <c r="K42" s="36"/>
      <c r="L42" s="344"/>
    </row>
    <row r="43" spans="1:12" ht="13.5" customHeight="1" x14ac:dyDescent="0.2">
      <c r="A43" s="544"/>
      <c r="B43" s="545"/>
      <c r="C43" s="331" t="s">
        <v>1451</v>
      </c>
      <c r="D43" s="346" t="s">
        <v>1461</v>
      </c>
      <c r="E43" s="352" t="s">
        <v>1453</v>
      </c>
      <c r="F43" s="36"/>
      <c r="G43" s="36"/>
      <c r="H43" s="36"/>
      <c r="I43" s="36"/>
      <c r="J43" s="36"/>
      <c r="K43" s="36"/>
      <c r="L43" s="344"/>
    </row>
    <row r="44" spans="1:12" ht="13.5" customHeight="1" x14ac:dyDescent="0.2">
      <c r="A44" s="546"/>
      <c r="B44" s="547"/>
      <c r="C44" s="331" t="s">
        <v>1452</v>
      </c>
      <c r="D44" s="346" t="s">
        <v>1462</v>
      </c>
      <c r="E44" s="352" t="s">
        <v>1454</v>
      </c>
      <c r="F44" s="36"/>
      <c r="G44" s="36"/>
      <c r="H44" s="36"/>
      <c r="I44" s="36"/>
      <c r="J44" s="36"/>
      <c r="K44" s="36"/>
      <c r="L44" s="344"/>
    </row>
    <row r="45" spans="1:12" ht="13.5" customHeight="1" x14ac:dyDescent="0.2">
      <c r="A45" s="550" t="s">
        <v>338</v>
      </c>
      <c r="B45" s="551"/>
      <c r="C45" s="354" t="s">
        <v>273</v>
      </c>
      <c r="D45" s="355" t="s">
        <v>1877</v>
      </c>
      <c r="E45" s="356" t="s">
        <v>1053</v>
      </c>
      <c r="F45" s="357"/>
      <c r="G45" s="357"/>
      <c r="H45" s="357"/>
      <c r="I45" s="357"/>
      <c r="J45" s="357"/>
      <c r="K45" s="502" t="s">
        <v>1042</v>
      </c>
      <c r="L45" s="572" t="s">
        <v>1863</v>
      </c>
    </row>
    <row r="46" spans="1:12" ht="13.5" customHeight="1" x14ac:dyDescent="0.2">
      <c r="A46" s="550"/>
      <c r="B46" s="551"/>
      <c r="C46" s="358" t="s">
        <v>272</v>
      </c>
      <c r="D46" s="359" t="s">
        <v>1878</v>
      </c>
      <c r="E46" s="552" t="s">
        <v>1054</v>
      </c>
      <c r="F46" s="360"/>
      <c r="G46" s="360"/>
      <c r="H46" s="360"/>
      <c r="I46" s="360"/>
      <c r="J46" s="360"/>
      <c r="K46" s="501"/>
      <c r="L46" s="572"/>
    </row>
    <row r="47" spans="1:12" ht="13.5" customHeight="1" x14ac:dyDescent="0.2">
      <c r="A47" s="550"/>
      <c r="B47" s="551"/>
      <c r="C47" s="361" t="s">
        <v>271</v>
      </c>
      <c r="D47" s="362"/>
      <c r="E47" s="553"/>
      <c r="F47" s="357"/>
      <c r="G47" s="357"/>
      <c r="H47" s="357"/>
      <c r="I47" s="357"/>
      <c r="J47" s="357"/>
      <c r="K47" s="502"/>
      <c r="L47" s="572"/>
    </row>
    <row r="48" spans="1:12" ht="13.5" customHeight="1" x14ac:dyDescent="0.2">
      <c r="A48" s="550"/>
      <c r="B48" s="551"/>
      <c r="C48" s="358" t="s">
        <v>270</v>
      </c>
      <c r="D48" s="363" t="s">
        <v>1879</v>
      </c>
      <c r="E48" s="364" t="s">
        <v>1055</v>
      </c>
      <c r="F48" s="365"/>
      <c r="G48" s="365"/>
      <c r="H48" s="365"/>
      <c r="I48" s="365"/>
      <c r="J48" s="365"/>
      <c r="K48" s="500"/>
      <c r="L48" s="572"/>
    </row>
    <row r="49" spans="1:12" ht="25.5" customHeight="1" x14ac:dyDescent="0.2">
      <c r="A49" s="366"/>
      <c r="B49" s="559" t="s">
        <v>268</v>
      </c>
      <c r="C49" s="367" t="s">
        <v>1857</v>
      </c>
      <c r="D49" s="363" t="s">
        <v>1762</v>
      </c>
      <c r="E49" s="368" t="s">
        <v>1763</v>
      </c>
      <c r="F49" s="365"/>
      <c r="G49" s="365"/>
      <c r="H49" s="365"/>
      <c r="I49" s="365"/>
      <c r="J49" s="500" t="s">
        <v>1042</v>
      </c>
      <c r="K49" s="500"/>
      <c r="L49" s="572"/>
    </row>
    <row r="50" spans="1:12" ht="13.5" customHeight="1" x14ac:dyDescent="0.2">
      <c r="A50" s="573" t="s">
        <v>269</v>
      </c>
      <c r="B50" s="560"/>
      <c r="C50" s="367" t="s">
        <v>267</v>
      </c>
      <c r="D50" s="363" t="s">
        <v>266</v>
      </c>
      <c r="E50" s="368" t="s">
        <v>1790</v>
      </c>
      <c r="F50" s="365"/>
      <c r="G50" s="365"/>
      <c r="H50" s="365"/>
      <c r="I50" s="365"/>
      <c r="J50" s="365"/>
      <c r="K50" s="500" t="s">
        <v>282</v>
      </c>
      <c r="L50" s="572"/>
    </row>
    <row r="51" spans="1:12" ht="13.5" customHeight="1" x14ac:dyDescent="0.2">
      <c r="A51" s="550"/>
      <c r="B51" s="560"/>
      <c r="C51" s="367" t="s">
        <v>1827</v>
      </c>
      <c r="D51" s="363" t="s">
        <v>1828</v>
      </c>
      <c r="E51" s="368" t="s">
        <v>1825</v>
      </c>
      <c r="F51" s="365"/>
      <c r="G51" s="365"/>
      <c r="H51" s="365"/>
      <c r="I51" s="365"/>
      <c r="J51" s="365"/>
      <c r="K51" s="500" t="s">
        <v>1042</v>
      </c>
      <c r="L51" s="572"/>
    </row>
    <row r="52" spans="1:12" ht="13.5" customHeight="1" x14ac:dyDescent="0.2">
      <c r="A52" s="550"/>
      <c r="B52" s="560"/>
      <c r="C52" s="358" t="s">
        <v>1372</v>
      </c>
      <c r="D52" s="477" t="s">
        <v>1373</v>
      </c>
      <c r="E52" s="364" t="s">
        <v>1787</v>
      </c>
      <c r="F52" s="500" t="s">
        <v>282</v>
      </c>
      <c r="G52" s="360"/>
      <c r="H52" s="360"/>
      <c r="I52" s="360"/>
      <c r="J52" s="360"/>
      <c r="K52" s="500" t="s">
        <v>282</v>
      </c>
      <c r="L52" s="572"/>
    </row>
    <row r="53" spans="1:12" ht="13.5" customHeight="1" x14ac:dyDescent="0.2">
      <c r="A53" s="550"/>
      <c r="B53" s="560"/>
      <c r="C53" s="358" t="s">
        <v>1856</v>
      </c>
      <c r="D53" s="477" t="s">
        <v>1823</v>
      </c>
      <c r="E53" s="364" t="s">
        <v>1829</v>
      </c>
      <c r="F53" s="501"/>
      <c r="G53" s="360"/>
      <c r="H53" s="360"/>
      <c r="I53" s="360"/>
      <c r="J53" s="360"/>
      <c r="K53" s="500" t="s">
        <v>282</v>
      </c>
      <c r="L53" s="572"/>
    </row>
    <row r="54" spans="1:12" ht="13.5" customHeight="1" x14ac:dyDescent="0.2">
      <c r="A54" s="550"/>
      <c r="B54" s="560"/>
      <c r="C54" s="358" t="s">
        <v>1855</v>
      </c>
      <c r="D54" s="477" t="s">
        <v>1824</v>
      </c>
      <c r="E54" s="364" t="s">
        <v>1830</v>
      </c>
      <c r="F54" s="501"/>
      <c r="G54" s="360"/>
      <c r="H54" s="360"/>
      <c r="I54" s="360"/>
      <c r="J54" s="360"/>
      <c r="K54" s="500" t="s">
        <v>282</v>
      </c>
      <c r="L54" s="572"/>
    </row>
    <row r="55" spans="1:12" ht="13.5" customHeight="1" x14ac:dyDescent="0.2">
      <c r="A55" s="550"/>
      <c r="B55" s="560"/>
      <c r="C55" s="358" t="s">
        <v>1854</v>
      </c>
      <c r="D55" s="477" t="s">
        <v>1822</v>
      </c>
      <c r="E55" s="364" t="s">
        <v>1831</v>
      </c>
      <c r="F55" s="501"/>
      <c r="G55" s="360"/>
      <c r="H55" s="360"/>
      <c r="I55" s="360"/>
      <c r="J55" s="360"/>
      <c r="K55" s="500" t="s">
        <v>282</v>
      </c>
      <c r="L55" s="572"/>
    </row>
    <row r="56" spans="1:12" ht="13.5" customHeight="1" x14ac:dyDescent="0.2">
      <c r="A56" s="550"/>
      <c r="B56" s="560"/>
      <c r="C56" s="358" t="s">
        <v>1753</v>
      </c>
      <c r="D56" s="505" t="s">
        <v>1786</v>
      </c>
      <c r="E56" s="506" t="s">
        <v>1788</v>
      </c>
      <c r="F56" s="360"/>
      <c r="G56" s="360"/>
      <c r="H56" s="360"/>
      <c r="I56" s="360"/>
      <c r="J56" s="360"/>
      <c r="K56" s="500" t="s">
        <v>282</v>
      </c>
      <c r="L56" s="572"/>
    </row>
    <row r="57" spans="1:12" ht="13.5" customHeight="1" x14ac:dyDescent="0.2">
      <c r="A57" s="550"/>
      <c r="B57" s="560"/>
      <c r="C57" s="367" t="s">
        <v>1880</v>
      </c>
      <c r="D57" s="363" t="s">
        <v>1826</v>
      </c>
      <c r="E57" s="368" t="s">
        <v>1791</v>
      </c>
      <c r="F57" s="365"/>
      <c r="G57" s="365"/>
      <c r="H57" s="365"/>
      <c r="I57" s="365"/>
      <c r="J57" s="365"/>
      <c r="K57" s="500" t="s">
        <v>282</v>
      </c>
      <c r="L57" s="572"/>
    </row>
    <row r="58" spans="1:12" ht="13.5" customHeight="1" thickBot="1" x14ac:dyDescent="0.25">
      <c r="A58" s="550"/>
      <c r="B58" s="561"/>
      <c r="C58" s="358" t="s">
        <v>1853</v>
      </c>
      <c r="D58" s="505" t="s">
        <v>1821</v>
      </c>
      <c r="E58" s="506" t="s">
        <v>1832</v>
      </c>
      <c r="F58" s="360"/>
      <c r="G58" s="360"/>
      <c r="H58" s="360"/>
      <c r="I58" s="360"/>
      <c r="J58" s="360"/>
      <c r="K58" s="500" t="s">
        <v>282</v>
      </c>
      <c r="L58" s="572"/>
    </row>
    <row r="59" spans="1:12" ht="25.5" customHeight="1" x14ac:dyDescent="0.2">
      <c r="A59" s="562" t="s">
        <v>1864</v>
      </c>
      <c r="B59" s="563"/>
      <c r="C59" s="507" t="s">
        <v>1367</v>
      </c>
      <c r="D59" s="508" t="s">
        <v>1364</v>
      </c>
      <c r="E59" s="507" t="s">
        <v>1368</v>
      </c>
      <c r="F59" s="509"/>
      <c r="G59" s="509"/>
      <c r="H59" s="509"/>
      <c r="I59" s="509"/>
      <c r="J59" s="509"/>
      <c r="K59" s="509"/>
      <c r="L59" s="516" t="s">
        <v>1870</v>
      </c>
    </row>
    <row r="60" spans="1:12" ht="14" x14ac:dyDescent="0.2">
      <c r="A60" s="564"/>
      <c r="B60" s="565"/>
      <c r="C60" s="510" t="s">
        <v>1852</v>
      </c>
      <c r="D60" s="511" t="s">
        <v>1366</v>
      </c>
      <c r="E60" s="519" t="s">
        <v>1833</v>
      </c>
      <c r="F60" s="512"/>
      <c r="G60" s="512"/>
      <c r="H60" s="512"/>
      <c r="I60" s="512"/>
      <c r="J60" s="512"/>
      <c r="K60" s="523" t="s">
        <v>1380</v>
      </c>
      <c r="L60" s="517" t="s">
        <v>1842</v>
      </c>
    </row>
    <row r="61" spans="1:12" ht="14" x14ac:dyDescent="0.2">
      <c r="A61" s="564"/>
      <c r="B61" s="565"/>
      <c r="C61" s="510" t="s">
        <v>1365</v>
      </c>
      <c r="D61" s="511" t="s">
        <v>1843</v>
      </c>
      <c r="E61" s="519" t="s">
        <v>1849</v>
      </c>
      <c r="F61" s="512"/>
      <c r="G61" s="512"/>
      <c r="H61" s="512"/>
      <c r="I61" s="512"/>
      <c r="J61" s="512"/>
      <c r="K61" s="523" t="s">
        <v>1374</v>
      </c>
      <c r="L61" s="517" t="s">
        <v>1848</v>
      </c>
    </row>
    <row r="62" spans="1:12" ht="14" x14ac:dyDescent="0.2">
      <c r="A62" s="564"/>
      <c r="B62" s="565"/>
      <c r="C62" s="510" t="s">
        <v>1840</v>
      </c>
      <c r="D62" s="511" t="s">
        <v>1844</v>
      </c>
      <c r="E62" s="519" t="s">
        <v>1850</v>
      </c>
      <c r="F62" s="512"/>
      <c r="G62" s="512"/>
      <c r="H62" s="512"/>
      <c r="I62" s="512"/>
      <c r="J62" s="512"/>
      <c r="K62" s="523" t="s">
        <v>1374</v>
      </c>
      <c r="L62" s="517" t="s">
        <v>1847</v>
      </c>
    </row>
    <row r="63" spans="1:12" ht="14.5" thickBot="1" x14ac:dyDescent="0.25">
      <c r="A63" s="566"/>
      <c r="B63" s="567"/>
      <c r="C63" s="513" t="s">
        <v>1841</v>
      </c>
      <c r="D63" s="514" t="s">
        <v>1845</v>
      </c>
      <c r="E63" s="539" t="s">
        <v>1851</v>
      </c>
      <c r="F63" s="515"/>
      <c r="G63" s="515"/>
      <c r="H63" s="515"/>
      <c r="I63" s="515"/>
      <c r="J63" s="515"/>
      <c r="K63" s="520"/>
      <c r="L63" s="518" t="s">
        <v>1846</v>
      </c>
    </row>
    <row r="64" spans="1:12" ht="12" thickTop="1" x14ac:dyDescent="0.2"/>
  </sheetData>
  <mergeCells count="30">
    <mergeCell ref="B49:B58"/>
    <mergeCell ref="A59:B63"/>
    <mergeCell ref="L5:L6"/>
    <mergeCell ref="C5:C6"/>
    <mergeCell ref="F5:F6"/>
    <mergeCell ref="G5:G6"/>
    <mergeCell ref="J5:J6"/>
    <mergeCell ref="K5:K6"/>
    <mergeCell ref="H5:H6"/>
    <mergeCell ref="I5:I6"/>
    <mergeCell ref="L45:L58"/>
    <mergeCell ref="A34:B35"/>
    <mergeCell ref="A36:B38"/>
    <mergeCell ref="A50:A58"/>
    <mergeCell ref="L8:L10"/>
    <mergeCell ref="C2:C3"/>
    <mergeCell ref="A45:B48"/>
    <mergeCell ref="E46:E47"/>
    <mergeCell ref="A22:B25"/>
    <mergeCell ref="C26:C27"/>
    <mergeCell ref="C28:C31"/>
    <mergeCell ref="E28:E31"/>
    <mergeCell ref="A26:B33"/>
    <mergeCell ref="A39:B44"/>
    <mergeCell ref="C8:C10"/>
    <mergeCell ref="A1:B1"/>
    <mergeCell ref="A8:B13"/>
    <mergeCell ref="A14:B17"/>
    <mergeCell ref="A18:B21"/>
    <mergeCell ref="A2:B7"/>
  </mergeCells>
  <phoneticPr fontId="1"/>
  <printOptions horizontalCentered="1"/>
  <pageMargins left="0.70866141732283472" right="0.70866141732283472" top="0.74803149606299213" bottom="0.74803149606299213" header="0.31496062992125984" footer="0.31496062992125984"/>
  <pageSetup paperSize="9" scale="48" orientation="landscape" r:id="rId1"/>
  <headerFooter>
    <oddHeader>&amp;A</oddHeader>
  </headerFooter>
  <rowBreaks count="1" manualBreakCount="1">
    <brk id="44" max="16383" man="1"/>
  </row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0"/>
  <sheetViews>
    <sheetView topLeftCell="A7" workbookViewId="0">
      <selection activeCell="L37" sqref="L37"/>
    </sheetView>
  </sheetViews>
  <sheetFormatPr defaultColWidth="9" defaultRowHeight="14" x14ac:dyDescent="0.2"/>
  <cols>
    <col min="1" max="1" width="2.1796875" style="481" customWidth="1"/>
    <col min="2" max="3" width="3.6328125" style="481" customWidth="1"/>
    <col min="4" max="4" width="5.6328125" style="481" customWidth="1"/>
    <col min="5" max="5" width="2.6328125" style="481" customWidth="1"/>
    <col min="6" max="6" width="5.6328125" style="481" customWidth="1"/>
    <col min="7" max="7" width="10.6328125" style="481" customWidth="1"/>
    <col min="8" max="9" width="4.6328125" style="483" customWidth="1"/>
    <col min="10" max="10" width="41.81640625" style="482" customWidth="1"/>
    <col min="11" max="16384" width="9" style="481"/>
  </cols>
  <sheetData>
    <row r="1" spans="1:10" ht="3.75" customHeight="1" thickBot="1" x14ac:dyDescent="0.25">
      <c r="J1" s="484"/>
    </row>
    <row r="2" spans="1:10" ht="13" customHeight="1" x14ac:dyDescent="0.2">
      <c r="A2" s="490"/>
      <c r="B2" s="490"/>
      <c r="C2" s="490"/>
      <c r="D2" s="490"/>
      <c r="E2" s="490"/>
      <c r="F2" s="621">
        <v>2</v>
      </c>
      <c r="G2" s="489"/>
      <c r="H2" s="488"/>
      <c r="I2" s="488"/>
      <c r="J2" s="484"/>
    </row>
    <row r="3" spans="1:10" ht="13" customHeight="1" thickBot="1" x14ac:dyDescent="0.25">
      <c r="F3" s="622"/>
      <c r="G3" s="491"/>
      <c r="H3" s="620">
        <f>Gravitic!C123*2</f>
        <v>1.0047208954230518</v>
      </c>
      <c r="I3" s="620"/>
      <c r="J3" s="625" t="s">
        <v>1298</v>
      </c>
    </row>
    <row r="4" spans="1:10" ht="13" customHeight="1" x14ac:dyDescent="0.2">
      <c r="E4" s="490"/>
      <c r="F4" s="490"/>
      <c r="G4" s="490"/>
      <c r="H4" s="488"/>
      <c r="I4" s="488"/>
      <c r="J4" s="625"/>
    </row>
    <row r="5" spans="1:10" ht="13" customHeight="1" x14ac:dyDescent="0.2">
      <c r="D5" s="624" t="s">
        <v>1286</v>
      </c>
      <c r="F5" s="623">
        <v>3</v>
      </c>
      <c r="G5" s="491"/>
      <c r="J5" s="484"/>
    </row>
    <row r="6" spans="1:10" ht="13" customHeight="1" x14ac:dyDescent="0.2">
      <c r="D6" s="623"/>
      <c r="F6" s="623"/>
      <c r="G6" s="491"/>
      <c r="J6" s="484"/>
    </row>
    <row r="7" spans="1:10" ht="13" customHeight="1" thickBot="1" x14ac:dyDescent="0.25">
      <c r="E7" s="487"/>
      <c r="F7" s="487"/>
      <c r="G7" s="487"/>
      <c r="H7" s="620">
        <f>Gravitic!C122/2</f>
        <v>1.0049183780086677</v>
      </c>
      <c r="I7" s="620"/>
      <c r="J7" s="625" t="s">
        <v>1297</v>
      </c>
    </row>
    <row r="8" spans="1:10" ht="13" customHeight="1" x14ac:dyDescent="0.2">
      <c r="F8" s="621">
        <v>2</v>
      </c>
      <c r="G8" s="491"/>
      <c r="J8" s="625"/>
    </row>
    <row r="9" spans="1:10" ht="13" customHeight="1" thickBot="1" x14ac:dyDescent="0.25">
      <c r="C9" s="487"/>
      <c r="D9" s="487"/>
      <c r="E9" s="487"/>
      <c r="F9" s="622"/>
      <c r="G9" s="486"/>
      <c r="H9" s="485"/>
      <c r="I9" s="485"/>
      <c r="J9" s="484"/>
    </row>
    <row r="10" spans="1:10" ht="13" customHeight="1" x14ac:dyDescent="0.2">
      <c r="F10" s="491"/>
      <c r="G10" s="491"/>
      <c r="J10" s="484"/>
    </row>
    <row r="11" spans="1:10" ht="13" customHeight="1" x14ac:dyDescent="0.2">
      <c r="D11" s="624" t="s">
        <v>1296</v>
      </c>
      <c r="F11" s="491"/>
      <c r="G11" s="491"/>
      <c r="J11" s="484"/>
    </row>
    <row r="12" spans="1:10" ht="13" customHeight="1" x14ac:dyDescent="0.2">
      <c r="D12" s="623"/>
      <c r="F12" s="491"/>
      <c r="G12" s="491"/>
      <c r="J12" s="484"/>
    </row>
    <row r="13" spans="1:10" ht="13" customHeight="1" thickBot="1" x14ac:dyDescent="0.25">
      <c r="D13" s="491"/>
      <c r="H13" s="627">
        <f>H27*(365+31/128)/364.5</f>
        <v>1.0020358843755377</v>
      </c>
      <c r="I13" s="627"/>
      <c r="J13" s="625" t="s">
        <v>1295</v>
      </c>
    </row>
    <row r="14" spans="1:10" ht="13" customHeight="1" x14ac:dyDescent="0.2">
      <c r="C14" s="490"/>
      <c r="D14" s="490"/>
      <c r="E14" s="490"/>
      <c r="F14" s="490"/>
      <c r="G14" s="490"/>
      <c r="H14" s="488"/>
      <c r="I14" s="488"/>
      <c r="J14" s="625"/>
    </row>
    <row r="15" spans="1:10" ht="13" customHeight="1" x14ac:dyDescent="0.2">
      <c r="F15" s="624" t="s">
        <v>1291</v>
      </c>
      <c r="G15" s="492"/>
      <c r="J15" s="484"/>
    </row>
    <row r="16" spans="1:10" ht="13" customHeight="1" x14ac:dyDescent="0.2">
      <c r="F16" s="623"/>
      <c r="G16" s="491"/>
      <c r="J16" s="484"/>
    </row>
    <row r="17" spans="2:10" ht="13" customHeight="1" thickBot="1" x14ac:dyDescent="0.25">
      <c r="J17" s="625" t="s">
        <v>1294</v>
      </c>
    </row>
    <row r="18" spans="2:10" ht="13" customHeight="1" x14ac:dyDescent="0.2">
      <c r="E18" s="490"/>
      <c r="F18" s="490"/>
      <c r="G18" s="490"/>
      <c r="H18" s="488"/>
      <c r="I18" s="488"/>
      <c r="J18" s="625"/>
    </row>
    <row r="19" spans="2:10" ht="13" customHeight="1" x14ac:dyDescent="0.2">
      <c r="J19" s="484"/>
    </row>
    <row r="20" spans="2:10" ht="13" customHeight="1" x14ac:dyDescent="0.2">
      <c r="D20" s="628" t="s">
        <v>1293</v>
      </c>
      <c r="F20" s="628" t="s">
        <v>1304</v>
      </c>
      <c r="G20" s="628"/>
      <c r="H20" s="628"/>
      <c r="J20" s="484"/>
    </row>
    <row r="21" spans="2:10" ht="13" customHeight="1" thickBot="1" x14ac:dyDescent="0.25">
      <c r="C21" s="496"/>
      <c r="D21" s="628"/>
      <c r="F21" s="628"/>
      <c r="G21" s="628"/>
      <c r="H21" s="628"/>
      <c r="J21" s="625" t="s">
        <v>1292</v>
      </c>
    </row>
    <row r="22" spans="2:10" ht="13" customHeight="1" x14ac:dyDescent="0.2">
      <c r="C22" s="496"/>
      <c r="D22" s="493"/>
      <c r="F22" s="496"/>
      <c r="G22" s="496"/>
      <c r="H22" s="488"/>
      <c r="I22" s="621">
        <v>2</v>
      </c>
      <c r="J22" s="625"/>
    </row>
    <row r="23" spans="2:10" ht="13" customHeight="1" thickBot="1" x14ac:dyDescent="0.25">
      <c r="I23" s="622"/>
      <c r="J23" s="625" t="s">
        <v>1303</v>
      </c>
    </row>
    <row r="24" spans="2:10" ht="13" customHeight="1" x14ac:dyDescent="0.2">
      <c r="F24" s="490"/>
      <c r="G24" s="490"/>
      <c r="H24" s="488"/>
      <c r="I24" s="488"/>
      <c r="J24" s="625"/>
    </row>
    <row r="25" spans="2:10" ht="13" customHeight="1" x14ac:dyDescent="0.2">
      <c r="B25" s="628" t="s">
        <v>1302</v>
      </c>
      <c r="C25" s="628"/>
      <c r="F25" s="624" t="s">
        <v>1291</v>
      </c>
      <c r="G25" s="492"/>
      <c r="J25" s="484"/>
    </row>
    <row r="26" spans="2:10" ht="13" customHeight="1" x14ac:dyDescent="0.2">
      <c r="B26" s="628"/>
      <c r="C26" s="628"/>
      <c r="F26" s="623"/>
      <c r="G26" s="491"/>
      <c r="J26" s="626" t="s">
        <v>1290</v>
      </c>
    </row>
    <row r="27" spans="2:10" ht="13" customHeight="1" thickBot="1" x14ac:dyDescent="0.25">
      <c r="C27" s="487"/>
      <c r="D27" s="487"/>
      <c r="E27" s="487"/>
      <c r="F27" s="487"/>
      <c r="G27" s="487"/>
      <c r="H27" s="627">
        <f>50/128/Clock_by_Rydberg!F4</f>
        <v>0.99999970527742921</v>
      </c>
      <c r="I27" s="627"/>
      <c r="J27" s="626"/>
    </row>
    <row r="28" spans="2:10" ht="13" customHeight="1" x14ac:dyDescent="0.2">
      <c r="J28" s="626"/>
    </row>
    <row r="29" spans="2:10" ht="13" customHeight="1" x14ac:dyDescent="0.2">
      <c r="J29" s="626"/>
    </row>
    <row r="30" spans="2:10" ht="13" customHeight="1" x14ac:dyDescent="0.2">
      <c r="F30" s="624" t="s">
        <v>1349</v>
      </c>
      <c r="J30" s="484"/>
    </row>
    <row r="31" spans="2:10" ht="13" customHeight="1" x14ac:dyDescent="0.2">
      <c r="F31" s="623"/>
      <c r="J31" s="494"/>
    </row>
    <row r="32" spans="2:10" ht="13" customHeight="1" x14ac:dyDescent="0.2">
      <c r="D32" s="624" t="s">
        <v>1289</v>
      </c>
      <c r="J32" s="626" t="s">
        <v>1299</v>
      </c>
    </row>
    <row r="33" spans="3:10" ht="13" customHeight="1" thickBot="1" x14ac:dyDescent="0.25">
      <c r="D33" s="623"/>
      <c r="H33" s="627">
        <f>1/Clock_by_Rydberg!K34</f>
        <v>0.99908455793784623</v>
      </c>
      <c r="I33" s="627"/>
      <c r="J33" s="626"/>
    </row>
    <row r="34" spans="3:10" ht="13" customHeight="1" x14ac:dyDescent="0.2">
      <c r="D34" s="491"/>
      <c r="E34" s="490"/>
      <c r="F34" s="490"/>
      <c r="G34" s="490"/>
      <c r="H34" s="488"/>
      <c r="I34" s="488"/>
      <c r="J34" s="626"/>
    </row>
    <row r="35" spans="3:10" ht="13" customHeight="1" x14ac:dyDescent="0.2">
      <c r="D35" s="491"/>
      <c r="F35" s="495" t="s">
        <v>1300</v>
      </c>
      <c r="J35" s="626"/>
    </row>
    <row r="36" spans="3:10" ht="13" customHeight="1" x14ac:dyDescent="0.2">
      <c r="D36" s="491"/>
      <c r="F36" s="495" t="s">
        <v>1301</v>
      </c>
      <c r="J36" s="626" t="s">
        <v>1358</v>
      </c>
    </row>
    <row r="37" spans="3:10" ht="13" customHeight="1" thickBot="1" x14ac:dyDescent="0.25">
      <c r="H37" s="627">
        <f>Clock_by_Rydberg!K40</f>
        <v>1.002539400859449</v>
      </c>
      <c r="I37" s="627"/>
      <c r="J37" s="626"/>
    </row>
    <row r="38" spans="3:10" ht="13" customHeight="1" x14ac:dyDescent="0.2">
      <c r="C38" s="490"/>
      <c r="D38" s="490"/>
      <c r="E38" s="490"/>
      <c r="F38" s="490"/>
      <c r="G38" s="490"/>
      <c r="H38" s="488"/>
      <c r="I38" s="488"/>
      <c r="J38" s="626"/>
    </row>
    <row r="39" spans="3:10" ht="13" customHeight="1" x14ac:dyDescent="0.2">
      <c r="J39" s="626"/>
    </row>
    <row r="40" spans="3:10" ht="13" customHeight="1" x14ac:dyDescent="0.2">
      <c r="D40" s="624" t="s">
        <v>1288</v>
      </c>
      <c r="J40" s="494"/>
    </row>
    <row r="41" spans="3:10" ht="13" customHeight="1" x14ac:dyDescent="0.2">
      <c r="D41" s="623"/>
      <c r="J41" s="484"/>
    </row>
    <row r="42" spans="3:10" ht="13" customHeight="1" x14ac:dyDescent="0.2">
      <c r="D42" s="491"/>
      <c r="J42" s="484"/>
    </row>
    <row r="43" spans="3:10" ht="13" customHeight="1" thickBot="1" x14ac:dyDescent="0.25">
      <c r="C43" s="487"/>
      <c r="D43" s="487"/>
      <c r="E43" s="487"/>
      <c r="F43" s="487"/>
      <c r="G43" s="487"/>
      <c r="H43" s="629">
        <f>Clock_by_Rydberg!K46</f>
        <v>1.0000728573540505</v>
      </c>
      <c r="I43" s="629"/>
      <c r="J43" s="625" t="s">
        <v>1287</v>
      </c>
    </row>
    <row r="44" spans="3:10" ht="13" customHeight="1" x14ac:dyDescent="0.2">
      <c r="J44" s="625"/>
    </row>
    <row r="45" spans="3:10" ht="13" customHeight="1" x14ac:dyDescent="0.2">
      <c r="F45" s="624"/>
      <c r="G45" s="492"/>
      <c r="J45" s="484"/>
    </row>
    <row r="46" spans="3:10" ht="13" customHeight="1" x14ac:dyDescent="0.2">
      <c r="D46" s="624" t="s">
        <v>1286</v>
      </c>
      <c r="F46" s="623"/>
      <c r="G46" s="491"/>
      <c r="J46" s="484"/>
    </row>
    <row r="47" spans="3:10" ht="13" customHeight="1" thickBot="1" x14ac:dyDescent="0.25">
      <c r="D47" s="623"/>
      <c r="H47" s="629">
        <f>Clock_by_Rydberg!K47/2</f>
        <v>1.0142589965175368</v>
      </c>
      <c r="I47" s="629"/>
      <c r="J47" s="625" t="s">
        <v>1346</v>
      </c>
    </row>
    <row r="48" spans="3:10" ht="13" customHeight="1" x14ac:dyDescent="0.2">
      <c r="E48" s="490"/>
      <c r="F48" s="621">
        <v>2</v>
      </c>
      <c r="G48" s="489"/>
      <c r="H48" s="488"/>
      <c r="I48" s="488"/>
      <c r="J48" s="625"/>
    </row>
    <row r="49" spans="1:10" ht="13" customHeight="1" thickBot="1" x14ac:dyDescent="0.25">
      <c r="A49" s="487"/>
      <c r="B49" s="487"/>
      <c r="C49" s="487"/>
      <c r="D49" s="487"/>
      <c r="E49" s="487"/>
      <c r="F49" s="622"/>
      <c r="G49" s="486"/>
      <c r="H49" s="485"/>
      <c r="I49" s="485"/>
      <c r="J49" s="484"/>
    </row>
    <row r="50" spans="1:10" ht="13" customHeight="1" x14ac:dyDescent="0.2"/>
  </sheetData>
  <mergeCells count="36">
    <mergeCell ref="B25:C26"/>
    <mergeCell ref="F25:F26"/>
    <mergeCell ref="D46:D47"/>
    <mergeCell ref="D40:D41"/>
    <mergeCell ref="D32:D33"/>
    <mergeCell ref="F30:F31"/>
    <mergeCell ref="F48:F49"/>
    <mergeCell ref="J43:J44"/>
    <mergeCell ref="J47:J48"/>
    <mergeCell ref="F45:F46"/>
    <mergeCell ref="J36:J39"/>
    <mergeCell ref="H47:I47"/>
    <mergeCell ref="H43:I43"/>
    <mergeCell ref="H37:I37"/>
    <mergeCell ref="J32:J35"/>
    <mergeCell ref="H33:I33"/>
    <mergeCell ref="D11:D12"/>
    <mergeCell ref="D5:D6"/>
    <mergeCell ref="J26:J29"/>
    <mergeCell ref="H27:I27"/>
    <mergeCell ref="H13:I13"/>
    <mergeCell ref="I22:I23"/>
    <mergeCell ref="J23:J24"/>
    <mergeCell ref="D20:D21"/>
    <mergeCell ref="F20:H21"/>
    <mergeCell ref="J3:J4"/>
    <mergeCell ref="J7:J8"/>
    <mergeCell ref="J13:J14"/>
    <mergeCell ref="J17:J18"/>
    <mergeCell ref="J21:J22"/>
    <mergeCell ref="H3:I3"/>
    <mergeCell ref="F2:F3"/>
    <mergeCell ref="F5:F6"/>
    <mergeCell ref="F8:F9"/>
    <mergeCell ref="F15:F16"/>
    <mergeCell ref="H7:I7"/>
  </mergeCells>
  <phoneticPr fontId="1"/>
  <printOptions horizontalCentered="1"/>
  <pageMargins left="0.74803149606299213" right="0.74803149606299213" top="0.98425196850393704" bottom="0.98425196850393704" header="0.51181102362204722" footer="0.51181102362204722"/>
  <pageSetup paperSize="9" orientation="portrait" horizontalDpi="300" verticalDpi="300" r:id="rId1"/>
  <headerFooter alignWithMargins="0">
    <oddHeader>&amp;C&amp;"ＭＳ Ｐゴシック,太字"&amp;16&amp;A</oddHeader>
  </headerFooter>
  <drawing r:id="rId2"/>
  <legacyDrawing r:id="rId3"/>
  <oleObjects>
    <mc:AlternateContent xmlns:mc="http://schemas.openxmlformats.org/markup-compatibility/2006">
      <mc:Choice Requires="x14">
        <oleObject progId="Equation.3" shapeId="2049" r:id="rId4">
          <objectPr defaultSize="0" autoPict="0" r:id="rId5">
            <anchor moveWithCells="1">
              <from>
                <xdr:col>5</xdr:col>
                <xdr:colOff>0</xdr:colOff>
                <xdr:row>44</xdr:row>
                <xdr:rowOff>50800</xdr:rowOff>
              </from>
              <to>
                <xdr:col>5</xdr:col>
                <xdr:colOff>393700</xdr:colOff>
                <xdr:row>46</xdr:row>
                <xdr:rowOff>25400</xdr:rowOff>
              </to>
            </anchor>
          </objectPr>
        </oleObject>
      </mc:Choice>
      <mc:Fallback>
        <oleObject progId="Equation.3" shapeId="2049" r:id="rId4"/>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K317"/>
  <sheetViews>
    <sheetView topLeftCell="D9" workbookViewId="0">
      <selection activeCell="I9" sqref="I9"/>
    </sheetView>
  </sheetViews>
  <sheetFormatPr defaultColWidth="9" defaultRowHeight="11.5" x14ac:dyDescent="0.2"/>
  <cols>
    <col min="1" max="1" width="9" style="14"/>
    <col min="2" max="4" width="11.6328125" style="14" customWidth="1"/>
    <col min="5" max="5" width="9" style="54"/>
    <col min="6" max="6" width="13.36328125" style="14" customWidth="1"/>
    <col min="7" max="7" width="3.453125" style="14" customWidth="1"/>
    <col min="8" max="8" width="13.81640625" style="14" customWidth="1"/>
    <col min="9" max="9" width="13.1796875" style="14" customWidth="1"/>
    <col min="10" max="10" width="3.6328125" style="14" customWidth="1"/>
    <col min="11" max="11" width="9.1796875" style="14" customWidth="1"/>
    <col min="12" max="12" width="14.63281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10" x14ac:dyDescent="0.2">
      <c r="A1" s="54" t="s">
        <v>350</v>
      </c>
      <c r="B1" s="54" t="s">
        <v>351</v>
      </c>
      <c r="C1" s="14" t="s">
        <v>529</v>
      </c>
      <c r="D1" s="14" t="s">
        <v>530</v>
      </c>
      <c r="F1" s="138"/>
      <c r="G1" s="640" t="s">
        <v>1356</v>
      </c>
      <c r="H1" s="640"/>
      <c r="I1" s="640"/>
      <c r="J1" s="640"/>
    </row>
    <row r="2" spans="1:10" x14ac:dyDescent="0.2">
      <c r="A2" s="54"/>
      <c r="B2" s="138">
        <f>B3/64</f>
        <v>1</v>
      </c>
      <c r="C2" s="138">
        <f t="shared" ref="C2:D2" si="0">C3/64</f>
        <v>0.99796795790464377</v>
      </c>
      <c r="D2" s="138">
        <f t="shared" si="0"/>
        <v>0.99796825202841266</v>
      </c>
      <c r="F2" s="138"/>
      <c r="G2" s="14">
        <v>1</v>
      </c>
      <c r="H2" s="14" t="s">
        <v>1789</v>
      </c>
      <c r="I2" s="14" t="s">
        <v>1355</v>
      </c>
    </row>
    <row r="3" spans="1:10" x14ac:dyDescent="0.2">
      <c r="A3" s="138">
        <v>1</v>
      </c>
      <c r="B3" s="139">
        <v>64</v>
      </c>
      <c r="C3" s="14">
        <f>B3/(365+31/128)*364.5</f>
        <v>63.869949305897201</v>
      </c>
      <c r="D3" s="14">
        <f>C3*Clock_by_Rydberg!F4/Clock!F4</f>
        <v>63.86996812981841</v>
      </c>
      <c r="F3" s="138"/>
    </row>
    <row r="4" spans="1:10" x14ac:dyDescent="0.2">
      <c r="A4" s="138" t="s">
        <v>341</v>
      </c>
      <c r="B4" s="139">
        <f>B3*12</f>
        <v>768</v>
      </c>
      <c r="C4" s="139">
        <f t="shared" ref="C4:C12" si="1">C3*12</f>
        <v>766.43939167076644</v>
      </c>
      <c r="D4" s="139">
        <f t="shared" ref="D4:D12" si="2">D3*12</f>
        <v>766.43961755782095</v>
      </c>
      <c r="F4" s="138"/>
    </row>
    <row r="5" spans="1:10" x14ac:dyDescent="0.2">
      <c r="A5" s="138" t="s">
        <v>342</v>
      </c>
      <c r="B5" s="139">
        <f t="shared" ref="B5:B12" si="3">B4*12</f>
        <v>9216</v>
      </c>
      <c r="C5" s="139">
        <f t="shared" si="1"/>
        <v>9197.2727000491977</v>
      </c>
      <c r="D5" s="139">
        <f t="shared" si="2"/>
        <v>9197.2754106938519</v>
      </c>
      <c r="F5" s="138"/>
    </row>
    <row r="6" spans="1:10" x14ac:dyDescent="0.2">
      <c r="A6" s="138"/>
      <c r="B6" s="139">
        <f>B3/64*POWER(12,4)</f>
        <v>20736</v>
      </c>
      <c r="C6" s="139">
        <f t="shared" ref="C6:D6" si="4">C3/64*POWER(12,4)</f>
        <v>20693.863575110692</v>
      </c>
      <c r="D6" s="139">
        <f t="shared" si="4"/>
        <v>20693.869674061167</v>
      </c>
      <c r="F6" s="138"/>
      <c r="G6" s="14">
        <v>1</v>
      </c>
      <c r="H6" s="14" t="s">
        <v>1752</v>
      </c>
      <c r="I6" s="14" t="s">
        <v>1445</v>
      </c>
    </row>
    <row r="7" spans="1:10" x14ac:dyDescent="0.2">
      <c r="A7" s="138" t="s">
        <v>343</v>
      </c>
      <c r="B7" s="139">
        <f>B5*12</f>
        <v>110592</v>
      </c>
      <c r="C7" s="139">
        <f>C5*12</f>
        <v>110367.27240059037</v>
      </c>
      <c r="D7" s="139">
        <f>D5*12</f>
        <v>110367.30492832622</v>
      </c>
      <c r="F7" s="138"/>
    </row>
    <row r="8" spans="1:10" x14ac:dyDescent="0.2">
      <c r="A8" s="138" t="s">
        <v>344</v>
      </c>
      <c r="B8" s="139">
        <f t="shared" si="3"/>
        <v>1327104</v>
      </c>
      <c r="C8" s="139">
        <f t="shared" si="1"/>
        <v>1324407.2688070845</v>
      </c>
      <c r="D8" s="139">
        <f t="shared" si="2"/>
        <v>1324407.6591399147</v>
      </c>
      <c r="F8" s="138"/>
    </row>
    <row r="9" spans="1:10" x14ac:dyDescent="0.2">
      <c r="A9" s="138"/>
      <c r="B9" s="139">
        <f>B8*2</f>
        <v>2654208</v>
      </c>
      <c r="C9" s="139">
        <f>C8*2</f>
        <v>2648814.5376141691</v>
      </c>
      <c r="D9" s="139">
        <f>D8*2</f>
        <v>2648815.3182798293</v>
      </c>
      <c r="F9" s="138"/>
      <c r="G9" s="14">
        <v>1</v>
      </c>
      <c r="H9" s="14" t="s">
        <v>1751</v>
      </c>
      <c r="I9" s="14" t="s">
        <v>1792</v>
      </c>
    </row>
    <row r="10" spans="1:10" x14ac:dyDescent="0.2">
      <c r="A10" s="138" t="s">
        <v>345</v>
      </c>
      <c r="B10" s="139">
        <f>B8*12</f>
        <v>15925248</v>
      </c>
      <c r="C10" s="139">
        <f>C8*12</f>
        <v>15892887.225685015</v>
      </c>
      <c r="D10" s="139">
        <f>D8*12</f>
        <v>15892891.909678977</v>
      </c>
      <c r="F10" s="138"/>
    </row>
    <row r="11" spans="1:10" x14ac:dyDescent="0.2">
      <c r="A11" s="138" t="s">
        <v>346</v>
      </c>
      <c r="B11" s="139">
        <f t="shared" si="3"/>
        <v>191102976</v>
      </c>
      <c r="C11" s="139">
        <f t="shared" si="1"/>
        <v>190714646.70822018</v>
      </c>
      <c r="D11" s="139">
        <f t="shared" si="2"/>
        <v>190714702.91614771</v>
      </c>
      <c r="F11" s="138"/>
      <c r="G11" s="14">
        <v>1</v>
      </c>
      <c r="H11" s="14" t="s">
        <v>1354</v>
      </c>
      <c r="I11" s="14" t="s">
        <v>1793</v>
      </c>
    </row>
    <row r="12" spans="1:10" x14ac:dyDescent="0.2">
      <c r="A12" s="138" t="s">
        <v>347</v>
      </c>
      <c r="B12" s="139">
        <f t="shared" si="3"/>
        <v>2293235712</v>
      </c>
      <c r="C12" s="139">
        <f t="shared" si="1"/>
        <v>2288575760.498642</v>
      </c>
      <c r="D12" s="139">
        <f t="shared" si="2"/>
        <v>2288576434.9937725</v>
      </c>
      <c r="F12" s="138"/>
      <c r="G12" s="14">
        <v>12</v>
      </c>
      <c r="H12" s="14" t="s">
        <v>1352</v>
      </c>
      <c r="I12" s="14" t="s">
        <v>1794</v>
      </c>
    </row>
    <row r="13" spans="1:10" x14ac:dyDescent="0.2">
      <c r="A13" s="138" t="s">
        <v>352</v>
      </c>
      <c r="B13" s="139">
        <f>B12*2</f>
        <v>4586471424</v>
      </c>
      <c r="C13" s="139">
        <f t="shared" ref="C13:D13" si="5">C12*2</f>
        <v>4577151520.9972839</v>
      </c>
      <c r="D13" s="139">
        <f t="shared" si="5"/>
        <v>4577152869.987545</v>
      </c>
      <c r="E13" s="209" t="s">
        <v>353</v>
      </c>
      <c r="G13" s="14">
        <v>24</v>
      </c>
      <c r="H13" s="209" t="s">
        <v>1353</v>
      </c>
      <c r="I13" s="14" t="s">
        <v>1795</v>
      </c>
    </row>
    <row r="14" spans="1:10" x14ac:dyDescent="0.2">
      <c r="A14" s="138" t="s">
        <v>349</v>
      </c>
      <c r="B14" s="139">
        <f>B12*6</f>
        <v>13759414272</v>
      </c>
      <c r="C14" s="139">
        <f t="shared" ref="C14:D14" si="6">C12*6</f>
        <v>13731454562.991852</v>
      </c>
      <c r="D14" s="139">
        <f t="shared" si="6"/>
        <v>13731458609.962635</v>
      </c>
      <c r="E14" s="209" t="s">
        <v>354</v>
      </c>
      <c r="H14" s="138" t="s">
        <v>532</v>
      </c>
    </row>
    <row r="15" spans="1:10" x14ac:dyDescent="0.2">
      <c r="A15" s="138" t="s">
        <v>348</v>
      </c>
      <c r="B15" s="139">
        <f>B12*12</f>
        <v>27518828544</v>
      </c>
      <c r="C15" s="139">
        <f t="shared" ref="C15:D15" si="7">C12*12</f>
        <v>27462909125.983704</v>
      </c>
      <c r="D15" s="139">
        <f t="shared" si="7"/>
        <v>27462917219.92527</v>
      </c>
      <c r="F15" s="138"/>
      <c r="H15" s="139">
        <f>B3</f>
        <v>64</v>
      </c>
      <c r="I15" s="14" t="s">
        <v>533</v>
      </c>
    </row>
    <row r="16" spans="1:10" ht="12" thickBot="1" x14ac:dyDescent="0.25">
      <c r="A16" s="138"/>
      <c r="B16" s="139"/>
      <c r="F16" s="138"/>
    </row>
    <row r="17" spans="1:37" x14ac:dyDescent="0.2">
      <c r="A17" s="90" t="s">
        <v>523</v>
      </c>
      <c r="B17" s="17" t="s">
        <v>524</v>
      </c>
      <c r="C17" s="17" t="s">
        <v>525</v>
      </c>
      <c r="D17" s="17" t="s">
        <v>526</v>
      </c>
      <c r="E17" s="17" t="s">
        <v>527</v>
      </c>
      <c r="F17" s="17" t="s">
        <v>643</v>
      </c>
      <c r="G17" s="18" t="s">
        <v>54</v>
      </c>
      <c r="H17" s="17" t="s">
        <v>531</v>
      </c>
      <c r="I17" s="17" t="s">
        <v>45</v>
      </c>
      <c r="J17" s="575" t="s">
        <v>80</v>
      </c>
      <c r="K17" s="609"/>
      <c r="L17" s="20" t="s">
        <v>213</v>
      </c>
      <c r="M17" s="121">
        <v>0</v>
      </c>
      <c r="N17" s="122"/>
      <c r="O17" s="122">
        <f>M17+1</f>
        <v>1</v>
      </c>
      <c r="P17" s="122"/>
      <c r="Q17" s="122">
        <f>O17+1</f>
        <v>2</v>
      </c>
      <c r="R17" s="122"/>
      <c r="S17" s="122">
        <f>Q17+1</f>
        <v>3</v>
      </c>
      <c r="T17" s="122"/>
      <c r="U17" s="122">
        <f>S17+1</f>
        <v>4</v>
      </c>
      <c r="V17" s="122"/>
      <c r="W17" s="122">
        <f>U17+1</f>
        <v>5</v>
      </c>
      <c r="X17" s="122"/>
      <c r="Y17" s="122">
        <f>W17+1</f>
        <v>6</v>
      </c>
      <c r="Z17" s="122"/>
      <c r="AA17" s="122">
        <f>Y17+1</f>
        <v>7</v>
      </c>
      <c r="AB17" s="122"/>
      <c r="AC17" s="122">
        <f>AA17+1</f>
        <v>8</v>
      </c>
      <c r="AD17" s="122"/>
      <c r="AE17" s="122">
        <f>AC17+1</f>
        <v>9</v>
      </c>
      <c r="AF17" s="122"/>
      <c r="AG17" s="122">
        <f>AE17+1</f>
        <v>10</v>
      </c>
      <c r="AH17" s="122"/>
      <c r="AI17" s="122">
        <f>AG17+1</f>
        <v>11</v>
      </c>
      <c r="AJ17" s="122"/>
      <c r="AK17" s="122">
        <f>AI17+1</f>
        <v>12</v>
      </c>
    </row>
    <row r="18" spans="1:37" x14ac:dyDescent="0.2">
      <c r="A18" s="638" t="s">
        <v>355</v>
      </c>
      <c r="B18" s="631"/>
      <c r="C18" s="631"/>
      <c r="D18" s="631"/>
      <c r="E18" s="632"/>
      <c r="F18" s="140">
        <v>-4600000000</v>
      </c>
      <c r="G18" s="8">
        <v>3</v>
      </c>
      <c r="H18" s="21">
        <f>-F18/H$15</f>
        <v>71875000</v>
      </c>
      <c r="I18" s="37" t="str">
        <f>M18&amp;";"&amp;O18&amp;Q18&amp;S18&amp;U18&amp;W18&amp;Y18&amp;AA18&amp;AC18&amp;AE18&amp;AG18&amp;AI18&amp;AK18</f>
        <v>2;00X</v>
      </c>
      <c r="J18" s="38">
        <v>7</v>
      </c>
      <c r="K18" s="128">
        <f>H18/POWER(12,J18)</f>
        <v>2.0058993394918838</v>
      </c>
      <c r="L18" s="39" t="str">
        <f>INDEX(powers!$H$2:$H$75,33+J18)</f>
        <v>unino cosmic</v>
      </c>
      <c r="M18" s="40" t="str">
        <f>IF($G18&gt;=M$17,MID($J$17,IF($G18&gt;M$17,INT(K18),ROUND(K18,0))+1,1),"")</f>
        <v>2</v>
      </c>
      <c r="N18" s="24">
        <f>(K18-INT(K18))*12</f>
        <v>7.0792073902605779E-2</v>
      </c>
      <c r="O18" s="41" t="str">
        <f>IF($G18&gt;=O$17,MID($J$17,IF($G18&gt;O$17,INT(N18),ROUND(N18,0))+1,1),"")</f>
        <v>0</v>
      </c>
      <c r="P18" s="24">
        <f>(N18-INT(N18))*12</f>
        <v>0.84950488683126935</v>
      </c>
      <c r="Q18" s="41" t="str">
        <f>IF($G18&gt;=Q$17,MID($J$17,IF($G18&gt;Q$17,INT(P18),ROUND(P18,0))+1,1),"")</f>
        <v>0</v>
      </c>
      <c r="R18" s="24">
        <f>(P18-INT(P18))*12</f>
        <v>10.194058641975232</v>
      </c>
      <c r="S18" s="41" t="str">
        <f>IF($G18&gt;=S$17,MID($J$17,IF($G18&gt;S$17,INT(R18),ROUND(R18,0))+1,1),"")</f>
        <v>X</v>
      </c>
      <c r="T18" s="24">
        <f>(R18-INT(R18))*12</f>
        <v>2.3287037037027858</v>
      </c>
      <c r="U18" s="41" t="str">
        <f>IF($G18&gt;=U$17,MID($J$17,IF($G18&gt;U$17,INT(T18),ROUND(T18,0))+1,1),"")</f>
        <v/>
      </c>
      <c r="V18" s="24">
        <f>(T18-INT(T18))*12</f>
        <v>3.9444444444334295</v>
      </c>
      <c r="W18" s="41" t="str">
        <f>IF($G18&gt;=W$17,MID($J$17,IF($G18&gt;W$17,INT(V18),ROUND(V18,0))+1,1),"")</f>
        <v/>
      </c>
      <c r="X18" s="24">
        <f>(V18-INT(V18))*12</f>
        <v>11.333333333201153</v>
      </c>
      <c r="Y18" s="41" t="str">
        <f>IF($G18&gt;=Y$17,MID($J$17,IF($G18&gt;Y$17,INT(X18),ROUND(X18,0))+1,1),"")</f>
        <v/>
      </c>
      <c r="Z18" s="24">
        <f>(X18-INT(X18))*12</f>
        <v>3.9999999984138412</v>
      </c>
      <c r="AA18" s="41" t="str">
        <f>IF($G18&gt;=AA$17,MID($J$17,IF($G18&gt;AA$17,INT(Z18),ROUND(Z18,0))+1,1),"")</f>
        <v/>
      </c>
      <c r="AB18" s="24">
        <f>(Z18-INT(Z18))*12</f>
        <v>11.999999980966095</v>
      </c>
      <c r="AC18" s="41" t="str">
        <f>IF($G18&gt;=AC$17,MID($J$17,IF($G18&gt;AC$17,INT(AB18),ROUND(AB18,0))+1,1),"")</f>
        <v/>
      </c>
      <c r="AD18" s="24">
        <f>(AB18-INT(AB18))*12</f>
        <v>11.999999771593139</v>
      </c>
      <c r="AE18" s="41" t="str">
        <f>IF($G18&gt;=AE$17,MID($J$17,IF($G18&gt;AE$17,INT(AD18),ROUND(AD18,0))+1,1),"")</f>
        <v/>
      </c>
      <c r="AF18" s="24">
        <f>(AD18-INT(AD18))*12</f>
        <v>11.999997259117663</v>
      </c>
      <c r="AG18" s="41" t="str">
        <f>IF($G18&gt;=AG$17,MID($J$17,IF($G18&gt;AG$17,INT(AF18),ROUND(AF18,0))+1,1),"")</f>
        <v/>
      </c>
      <c r="AH18" s="24">
        <f>(AF18-INT(AF18))*12</f>
        <v>11.999967109411955</v>
      </c>
      <c r="AI18" s="41" t="str">
        <f>IF($G18&gt;=AI$17,MID($J$17,IF($G18&gt;AI$17,INT(AH18),ROUND(AH18,0))+1,1),"")</f>
        <v/>
      </c>
      <c r="AJ18" s="24">
        <f>(AH18-INT(AH18))*12</f>
        <v>11.999605312943459</v>
      </c>
      <c r="AK18" s="41" t="str">
        <f>IF($G18&gt;=AK$17,MID($J$17,IF($G18&gt;AK$17,INT(AJ18),ROUND(AJ18,0))+1,1),"")</f>
        <v/>
      </c>
    </row>
    <row r="19" spans="1:37" x14ac:dyDescent="0.2">
      <c r="A19" s="641" t="s">
        <v>356</v>
      </c>
      <c r="B19" s="630" t="s">
        <v>357</v>
      </c>
      <c r="C19" s="631"/>
      <c r="D19" s="631"/>
      <c r="E19" s="632"/>
      <c r="F19" s="140">
        <v>-4000000000</v>
      </c>
      <c r="G19" s="8">
        <v>3</v>
      </c>
      <c r="H19" s="21">
        <f t="shared" ref="H19:H82" si="8">-F19/H$15</f>
        <v>62500000</v>
      </c>
      <c r="I19" s="37" t="str">
        <f t="shared" ref="I19:I82" si="9">M19&amp;";"&amp;O19&amp;Q19&amp;S19&amp;U19&amp;W19&amp;Y19&amp;AA19&amp;AC19&amp;AE19&amp;AG19&amp;AI19&amp;AK19</f>
        <v>1;8E2</v>
      </c>
      <c r="J19" s="38">
        <v>7</v>
      </c>
      <c r="K19" s="128">
        <f t="shared" ref="K19:K82" si="10">H19/POWER(12,J19)</f>
        <v>1.7442602952103339</v>
      </c>
      <c r="L19" s="39" t="str">
        <f>INDEX(powers!$H$2:$H$75,33+J19)</f>
        <v>unino cosmic</v>
      </c>
      <c r="M19" s="40" t="str">
        <f t="shared" ref="M19:M82" si="11">IF($G19&gt;=M$17,MID($J$17,IF($G19&gt;M$17,INT(K19),ROUND(K19,0))+1,1),"")</f>
        <v>1</v>
      </c>
      <c r="N19" s="24">
        <f t="shared" ref="N19:N82" si="12">(K19-INT(K19))*12</f>
        <v>8.9311235425240056</v>
      </c>
      <c r="O19" s="41" t="str">
        <f t="shared" ref="O19:O82" si="13">IF($G19&gt;=O$17,MID($J$17,IF($G19&gt;O$17,INT(N19),ROUND(N19,0))+1,1),"")</f>
        <v>8</v>
      </c>
      <c r="P19" s="24">
        <f t="shared" ref="P19:P82" si="14">(N19-INT(N19))*12</f>
        <v>11.173482510288068</v>
      </c>
      <c r="Q19" s="41" t="str">
        <f t="shared" ref="Q19:Q82" si="15">IF($G19&gt;=Q$17,MID($J$17,IF($G19&gt;Q$17,INT(P19),ROUND(P19,0))+1,1),"")</f>
        <v>E</v>
      </c>
      <c r="R19" s="24">
        <f t="shared" ref="R19:R82" si="16">(P19-INT(P19))*12</f>
        <v>2.0817901234568126</v>
      </c>
      <c r="S19" s="41" t="str">
        <f t="shared" ref="S19:S82" si="17">IF($G19&gt;=S$17,MID($J$17,IF($G19&gt;S$17,INT(R19),ROUND(R19,0))+1,1),"")</f>
        <v>2</v>
      </c>
      <c r="T19" s="24">
        <f t="shared" ref="T19:T82" si="18">(R19-INT(R19))*12</f>
        <v>0.98148148148175096</v>
      </c>
      <c r="U19" s="41" t="str">
        <f t="shared" ref="U19:U82" si="19">IF($G19&gt;=U$17,MID($J$17,IF($G19&gt;U$17,INT(T19),ROUND(T19,0))+1,1),"")</f>
        <v/>
      </c>
      <c r="V19" s="24">
        <f t="shared" ref="V19:V82" si="20">(T19-INT(T19))*12</f>
        <v>11.777777777781012</v>
      </c>
      <c r="W19" s="41" t="str">
        <f t="shared" ref="W19:W82" si="21">IF($G19&gt;=W$17,MID($J$17,IF($G19&gt;W$17,INT(V19),ROUND(V19,0))+1,1),"")</f>
        <v/>
      </c>
      <c r="X19" s="24">
        <f t="shared" ref="X19:X82" si="22">(V19-INT(V19))*12</f>
        <v>9.3333333333721384</v>
      </c>
      <c r="Y19" s="41" t="str">
        <f t="shared" ref="Y19:Y82" si="23">IF($G19&gt;=Y$17,MID($J$17,IF($G19&gt;Y$17,INT(X19),ROUND(X19,0))+1,1),"")</f>
        <v/>
      </c>
      <c r="Z19" s="24">
        <f t="shared" ref="Z19:Z82" si="24">(X19-INT(X19))*12</f>
        <v>4.0000000004656613</v>
      </c>
      <c r="AA19" s="41" t="str">
        <f t="shared" ref="AA19:AA82" si="25">IF($G19&gt;=AA$17,MID($J$17,IF($G19&gt;AA$17,INT(Z19),ROUND(Z19,0))+1,1),"")</f>
        <v/>
      </c>
      <c r="AB19" s="24">
        <f t="shared" ref="AB19:AB82" si="26">(Z19-INT(Z19))*12</f>
        <v>5.5879354476928711E-9</v>
      </c>
      <c r="AC19" s="41" t="str">
        <f t="shared" ref="AC19:AC82" si="27">IF($G19&gt;=AC$17,MID($J$17,IF($G19&gt;AC$17,INT(AB19),ROUND(AB19,0))+1,1),"")</f>
        <v/>
      </c>
      <c r="AD19" s="24">
        <f t="shared" ref="AD19:AD82" si="28">(AB19-INT(AB19))*12</f>
        <v>6.7055225372314453E-8</v>
      </c>
      <c r="AE19" s="41" t="str">
        <f t="shared" ref="AE19:AE82" si="29">IF($G19&gt;=AE$17,MID($J$17,IF($G19&gt;AE$17,INT(AD19),ROUND(AD19,0))+1,1),"")</f>
        <v/>
      </c>
      <c r="AF19" s="24">
        <f t="shared" ref="AF19:AF82" si="30">(AD19-INT(AD19))*12</f>
        <v>8.0466270446777344E-7</v>
      </c>
      <c r="AG19" s="41" t="str">
        <f t="shared" ref="AG19:AG82" si="31">IF($G19&gt;=AG$17,MID($J$17,IF($G19&gt;AG$17,INT(AF19),ROUND(AF19,0))+1,1),"")</f>
        <v/>
      </c>
      <c r="AH19" s="24">
        <f t="shared" ref="AH19:AH82" si="32">(AF19-INT(AF19))*12</f>
        <v>9.6559524536132813E-6</v>
      </c>
      <c r="AI19" s="41" t="str">
        <f t="shared" ref="AI19:AI82" si="33">IF($G19&gt;=AI$17,MID($J$17,IF($G19&gt;AI$17,INT(AH19),ROUND(AH19,0))+1,1),"")</f>
        <v/>
      </c>
      <c r="AJ19" s="24">
        <f t="shared" ref="AJ19:AJ82" si="34">(AH19-INT(AH19))*12</f>
        <v>1.1587142944335938E-4</v>
      </c>
      <c r="AK19" s="41" t="str">
        <f t="shared" ref="AK19:AK82" si="35">IF($G19&gt;=AK$17,MID($J$17,IF($G19&gt;AK$17,INT(AJ19),ROUND(AJ19,0))+1,1),"")</f>
        <v/>
      </c>
    </row>
    <row r="20" spans="1:37" ht="11.25" customHeight="1" x14ac:dyDescent="0.2">
      <c r="A20" s="642"/>
      <c r="B20" s="630" t="s">
        <v>358</v>
      </c>
      <c r="C20" s="631"/>
      <c r="D20" s="631"/>
      <c r="E20" s="632"/>
      <c r="F20" s="140">
        <v>-3600000000</v>
      </c>
      <c r="G20" s="8">
        <v>3</v>
      </c>
      <c r="H20" s="21">
        <f t="shared" si="8"/>
        <v>56250000</v>
      </c>
      <c r="I20" s="37" t="str">
        <f t="shared" si="9"/>
        <v>1;6X1</v>
      </c>
      <c r="J20" s="38">
        <v>7</v>
      </c>
      <c r="K20" s="128">
        <f t="shared" si="10"/>
        <v>1.5698342656893005</v>
      </c>
      <c r="L20" s="39" t="str">
        <f>INDEX(powers!$H$2:$H$75,33+J20)</f>
        <v>unino cosmic</v>
      </c>
      <c r="M20" s="40" t="str">
        <f t="shared" si="11"/>
        <v>1</v>
      </c>
      <c r="N20" s="24">
        <f t="shared" si="12"/>
        <v>6.8380111882716061</v>
      </c>
      <c r="O20" s="41" t="str">
        <f t="shared" si="13"/>
        <v>6</v>
      </c>
      <c r="P20" s="24">
        <f t="shared" si="14"/>
        <v>10.056134259259274</v>
      </c>
      <c r="Q20" s="41" t="str">
        <f t="shared" si="15"/>
        <v>X</v>
      </c>
      <c r="R20" s="24">
        <f t="shared" si="16"/>
        <v>0.6736111111112848</v>
      </c>
      <c r="S20" s="41" t="str">
        <f t="shared" si="17"/>
        <v>1</v>
      </c>
      <c r="T20" s="24">
        <f t="shared" si="18"/>
        <v>8.0833333333354176</v>
      </c>
      <c r="U20" s="41" t="str">
        <f t="shared" si="19"/>
        <v/>
      </c>
      <c r="V20" s="24">
        <f t="shared" si="20"/>
        <v>1.0000000000250111</v>
      </c>
      <c r="W20" s="41" t="str">
        <f t="shared" si="21"/>
        <v/>
      </c>
      <c r="X20" s="24">
        <f t="shared" si="22"/>
        <v>3.0013325158506632E-10</v>
      </c>
      <c r="Y20" s="41" t="str">
        <f t="shared" si="23"/>
        <v/>
      </c>
      <c r="Z20" s="24">
        <f t="shared" si="24"/>
        <v>3.6015990190207958E-9</v>
      </c>
      <c r="AA20" s="41" t="str">
        <f t="shared" si="25"/>
        <v/>
      </c>
      <c r="AB20" s="24">
        <f t="shared" si="26"/>
        <v>4.321918822824955E-8</v>
      </c>
      <c r="AC20" s="41" t="str">
        <f t="shared" si="27"/>
        <v/>
      </c>
      <c r="AD20" s="24">
        <f t="shared" si="28"/>
        <v>5.186302587389946E-7</v>
      </c>
      <c r="AE20" s="41" t="str">
        <f t="shared" si="29"/>
        <v/>
      </c>
      <c r="AF20" s="24">
        <f t="shared" si="30"/>
        <v>6.2235631048679352E-6</v>
      </c>
      <c r="AG20" s="41" t="str">
        <f t="shared" si="31"/>
        <v/>
      </c>
      <c r="AH20" s="24">
        <f t="shared" si="32"/>
        <v>7.4682757258415222E-5</v>
      </c>
      <c r="AI20" s="41" t="str">
        <f t="shared" si="33"/>
        <v/>
      </c>
      <c r="AJ20" s="24">
        <f t="shared" si="34"/>
        <v>8.9619308710098267E-4</v>
      </c>
      <c r="AK20" s="41" t="str">
        <f t="shared" si="35"/>
        <v/>
      </c>
    </row>
    <row r="21" spans="1:37" ht="14.25" customHeight="1" x14ac:dyDescent="0.2">
      <c r="A21" s="642"/>
      <c r="B21" s="630" t="s">
        <v>359</v>
      </c>
      <c r="C21" s="631"/>
      <c r="D21" s="631"/>
      <c r="E21" s="632"/>
      <c r="F21" s="140">
        <v>-3200000000</v>
      </c>
      <c r="G21" s="8">
        <v>3</v>
      </c>
      <c r="H21" s="21">
        <f t="shared" si="8"/>
        <v>50000000</v>
      </c>
      <c r="I21" s="37" t="str">
        <f t="shared" si="9"/>
        <v>1;48E</v>
      </c>
      <c r="J21" s="38">
        <v>7</v>
      </c>
      <c r="K21" s="128">
        <f t="shared" si="10"/>
        <v>1.3954082361682669</v>
      </c>
      <c r="L21" s="39" t="str">
        <f>INDEX(powers!$H$2:$H$75,33+J21)</f>
        <v>unino cosmic</v>
      </c>
      <c r="M21" s="40" t="str">
        <f t="shared" si="11"/>
        <v>1</v>
      </c>
      <c r="N21" s="24">
        <f t="shared" si="12"/>
        <v>4.7448988340192031</v>
      </c>
      <c r="O21" s="41" t="str">
        <f t="shared" si="13"/>
        <v>4</v>
      </c>
      <c r="P21" s="24">
        <f t="shared" si="14"/>
        <v>8.9387860082304371</v>
      </c>
      <c r="Q21" s="41" t="str">
        <f t="shared" si="15"/>
        <v>8</v>
      </c>
      <c r="R21" s="24">
        <f t="shared" si="16"/>
        <v>11.265432098765245</v>
      </c>
      <c r="S21" s="41" t="str">
        <f t="shared" si="17"/>
        <v>E</v>
      </c>
      <c r="T21" s="24">
        <f t="shared" si="18"/>
        <v>3.1851851851829451</v>
      </c>
      <c r="U21" s="41" t="str">
        <f t="shared" si="19"/>
        <v/>
      </c>
      <c r="V21" s="24">
        <f t="shared" si="20"/>
        <v>2.2222222221953416</v>
      </c>
      <c r="W21" s="41" t="str">
        <f t="shared" si="21"/>
        <v/>
      </c>
      <c r="X21" s="24">
        <f t="shared" si="22"/>
        <v>2.6666666663440992</v>
      </c>
      <c r="Y21" s="41" t="str">
        <f t="shared" si="23"/>
        <v/>
      </c>
      <c r="Z21" s="24">
        <f t="shared" si="24"/>
        <v>7.9999999961291905</v>
      </c>
      <c r="AA21" s="41" t="str">
        <f t="shared" si="25"/>
        <v/>
      </c>
      <c r="AB21" s="24">
        <f t="shared" si="26"/>
        <v>11.999999953550287</v>
      </c>
      <c r="AC21" s="41" t="str">
        <f t="shared" si="27"/>
        <v/>
      </c>
      <c r="AD21" s="24">
        <f t="shared" si="28"/>
        <v>11.999999442603439</v>
      </c>
      <c r="AE21" s="41" t="str">
        <f t="shared" si="29"/>
        <v/>
      </c>
      <c r="AF21" s="24">
        <f t="shared" si="30"/>
        <v>11.999993311241269</v>
      </c>
      <c r="AG21" s="41" t="str">
        <f t="shared" si="31"/>
        <v/>
      </c>
      <c r="AH21" s="24">
        <f t="shared" si="32"/>
        <v>11.999919734895229</v>
      </c>
      <c r="AI21" s="41" t="str">
        <f t="shared" si="33"/>
        <v/>
      </c>
      <c r="AJ21" s="24">
        <f t="shared" si="34"/>
        <v>11.999036818742752</v>
      </c>
      <c r="AK21" s="41" t="str">
        <f t="shared" si="35"/>
        <v/>
      </c>
    </row>
    <row r="22" spans="1:37" x14ac:dyDescent="0.2">
      <c r="A22" s="643"/>
      <c r="B22" s="630" t="s">
        <v>360</v>
      </c>
      <c r="C22" s="631"/>
      <c r="D22" s="631"/>
      <c r="E22" s="632"/>
      <c r="F22" s="140">
        <v>-2800000000</v>
      </c>
      <c r="G22" s="8">
        <v>3</v>
      </c>
      <c r="H22" s="21">
        <f t="shared" si="8"/>
        <v>43750000</v>
      </c>
      <c r="I22" s="37" t="str">
        <f t="shared" si="9"/>
        <v>1;27X</v>
      </c>
      <c r="J22" s="38">
        <v>7</v>
      </c>
      <c r="K22" s="128">
        <f t="shared" si="10"/>
        <v>1.2209822066472336</v>
      </c>
      <c r="L22" s="39" t="str">
        <f>INDEX(powers!$H$2:$H$75,33+J22)</f>
        <v>unino cosmic</v>
      </c>
      <c r="M22" s="40" t="str">
        <f t="shared" si="11"/>
        <v>1</v>
      </c>
      <c r="N22" s="24">
        <f t="shared" si="12"/>
        <v>2.6517864797668027</v>
      </c>
      <c r="O22" s="41" t="str">
        <f t="shared" si="13"/>
        <v>2</v>
      </c>
      <c r="P22" s="24">
        <f t="shared" si="14"/>
        <v>7.8214377572016325</v>
      </c>
      <c r="Q22" s="41" t="str">
        <f t="shared" si="15"/>
        <v>7</v>
      </c>
      <c r="R22" s="24">
        <f t="shared" si="16"/>
        <v>9.8572530864195897</v>
      </c>
      <c r="S22" s="41" t="str">
        <f t="shared" si="17"/>
        <v>X</v>
      </c>
      <c r="T22" s="24">
        <f t="shared" si="18"/>
        <v>10.287037037035077</v>
      </c>
      <c r="U22" s="41" t="str">
        <f t="shared" si="19"/>
        <v/>
      </c>
      <c r="V22" s="24">
        <f t="shared" si="20"/>
        <v>3.4444444444209239</v>
      </c>
      <c r="W22" s="41" t="str">
        <f t="shared" si="21"/>
        <v/>
      </c>
      <c r="X22" s="24">
        <f t="shared" si="22"/>
        <v>5.3333333330510868</v>
      </c>
      <c r="Y22" s="41" t="str">
        <f t="shared" si="23"/>
        <v/>
      </c>
      <c r="Z22" s="24">
        <f t="shared" si="24"/>
        <v>3.9999999966130417</v>
      </c>
      <c r="AA22" s="41" t="str">
        <f t="shared" si="25"/>
        <v/>
      </c>
      <c r="AB22" s="24">
        <f t="shared" si="26"/>
        <v>11.999999959356501</v>
      </c>
      <c r="AC22" s="41" t="str">
        <f t="shared" si="27"/>
        <v/>
      </c>
      <c r="AD22" s="24">
        <f t="shared" si="28"/>
        <v>11.999999512278009</v>
      </c>
      <c r="AE22" s="41" t="str">
        <f t="shared" si="29"/>
        <v/>
      </c>
      <c r="AF22" s="24">
        <f t="shared" si="30"/>
        <v>11.99999414733611</v>
      </c>
      <c r="AG22" s="41" t="str">
        <f t="shared" si="31"/>
        <v/>
      </c>
      <c r="AH22" s="24">
        <f t="shared" si="32"/>
        <v>11.999929768033326</v>
      </c>
      <c r="AI22" s="41" t="str">
        <f t="shared" si="33"/>
        <v/>
      </c>
      <c r="AJ22" s="24">
        <f t="shared" si="34"/>
        <v>11.999157216399908</v>
      </c>
      <c r="AK22" s="41" t="str">
        <f t="shared" si="35"/>
        <v/>
      </c>
    </row>
    <row r="23" spans="1:37" x14ac:dyDescent="0.2">
      <c r="A23" s="641" t="s">
        <v>361</v>
      </c>
      <c r="B23" s="635" t="s">
        <v>362</v>
      </c>
      <c r="C23" s="630" t="s">
        <v>363</v>
      </c>
      <c r="D23" s="631"/>
      <c r="E23" s="632"/>
      <c r="F23" s="140">
        <v>-2500000000</v>
      </c>
      <c r="G23" s="8">
        <v>3</v>
      </c>
      <c r="H23" s="21">
        <f t="shared" si="8"/>
        <v>39062500</v>
      </c>
      <c r="I23" s="37" t="str">
        <f t="shared" si="9"/>
        <v>1;10</v>
      </c>
      <c r="J23" s="38">
        <v>7</v>
      </c>
      <c r="K23" s="128">
        <f t="shared" si="10"/>
        <v>1.0901626845064587</v>
      </c>
      <c r="L23" s="39" t="str">
        <f>INDEX(powers!$H$2:$H$75,33+J23)</f>
        <v>unino cosmic</v>
      </c>
      <c r="M23" s="40" t="str">
        <f t="shared" si="11"/>
        <v>1</v>
      </c>
      <c r="N23" s="24">
        <f t="shared" si="12"/>
        <v>1.0819522140775044</v>
      </c>
      <c r="O23" s="41" t="str">
        <f t="shared" si="13"/>
        <v>1</v>
      </c>
      <c r="P23" s="24">
        <f t="shared" si="14"/>
        <v>0.98342656893005298</v>
      </c>
      <c r="Q23" s="41" t="str">
        <f t="shared" si="15"/>
        <v>0</v>
      </c>
      <c r="R23" s="24">
        <f t="shared" si="16"/>
        <v>11.801118827160636</v>
      </c>
      <c r="S23" s="41" t="str">
        <f t="shared" si="17"/>
        <v/>
      </c>
      <c r="T23" s="24">
        <f t="shared" si="18"/>
        <v>9.6134259259276291</v>
      </c>
      <c r="U23" s="41" t="str">
        <f t="shared" si="19"/>
        <v/>
      </c>
      <c r="V23" s="24">
        <f t="shared" si="20"/>
        <v>7.3611111111315495</v>
      </c>
      <c r="W23" s="41" t="str">
        <f t="shared" si="21"/>
        <v/>
      </c>
      <c r="X23" s="24">
        <f t="shared" si="22"/>
        <v>4.3333333335785937</v>
      </c>
      <c r="Y23" s="41" t="str">
        <f t="shared" si="23"/>
        <v/>
      </c>
      <c r="Z23" s="24">
        <f t="shared" si="24"/>
        <v>4.0000000029431249</v>
      </c>
      <c r="AA23" s="41" t="str">
        <f t="shared" si="25"/>
        <v/>
      </c>
      <c r="AB23" s="24">
        <f t="shared" si="26"/>
        <v>3.5317498259246349E-8</v>
      </c>
      <c r="AC23" s="41" t="str">
        <f t="shared" si="27"/>
        <v/>
      </c>
      <c r="AD23" s="24">
        <f t="shared" si="28"/>
        <v>4.2380997911095619E-7</v>
      </c>
      <c r="AE23" s="41" t="str">
        <f t="shared" si="29"/>
        <v/>
      </c>
      <c r="AF23" s="24">
        <f t="shared" si="30"/>
        <v>5.0857197493314743E-6</v>
      </c>
      <c r="AG23" s="41" t="str">
        <f t="shared" si="31"/>
        <v/>
      </c>
      <c r="AH23" s="24">
        <f t="shared" si="32"/>
        <v>6.1028636991977692E-5</v>
      </c>
      <c r="AI23" s="41" t="str">
        <f t="shared" si="33"/>
        <v/>
      </c>
      <c r="AJ23" s="24">
        <f t="shared" si="34"/>
        <v>7.323436439037323E-4</v>
      </c>
      <c r="AK23" s="41" t="str">
        <f t="shared" si="35"/>
        <v/>
      </c>
    </row>
    <row r="24" spans="1:37" x14ac:dyDescent="0.2">
      <c r="A24" s="642"/>
      <c r="B24" s="636"/>
      <c r="C24" s="630" t="s">
        <v>364</v>
      </c>
      <c r="D24" s="631"/>
      <c r="E24" s="632"/>
      <c r="F24" s="140">
        <v>-2300000000</v>
      </c>
      <c r="G24" s="8">
        <v>3</v>
      </c>
      <c r="H24" s="21">
        <f t="shared" si="8"/>
        <v>35937500</v>
      </c>
      <c r="I24" s="37" t="str">
        <f t="shared" si="9"/>
        <v>1;005</v>
      </c>
      <c r="J24" s="38">
        <v>7</v>
      </c>
      <c r="K24" s="128">
        <f t="shared" si="10"/>
        <v>1.0029496697459419</v>
      </c>
      <c r="L24" s="39" t="str">
        <f>INDEX(powers!$H$2:$H$75,33+J24)</f>
        <v>unino cosmic</v>
      </c>
      <c r="M24" s="40" t="str">
        <f t="shared" si="11"/>
        <v>1</v>
      </c>
      <c r="N24" s="24">
        <f t="shared" si="12"/>
        <v>3.5396036951302889E-2</v>
      </c>
      <c r="O24" s="41" t="str">
        <f t="shared" si="13"/>
        <v>0</v>
      </c>
      <c r="P24" s="24">
        <f t="shared" si="14"/>
        <v>0.42475244341563467</v>
      </c>
      <c r="Q24" s="41" t="str">
        <f t="shared" si="15"/>
        <v>0</v>
      </c>
      <c r="R24" s="24">
        <f t="shared" si="16"/>
        <v>5.0970293209876161</v>
      </c>
      <c r="S24" s="41" t="str">
        <f t="shared" si="17"/>
        <v>5</v>
      </c>
      <c r="T24" s="24">
        <f t="shared" si="18"/>
        <v>1.1643518518513929</v>
      </c>
      <c r="U24" s="41" t="str">
        <f t="shared" si="19"/>
        <v/>
      </c>
      <c r="V24" s="24">
        <f t="shared" si="20"/>
        <v>1.9722222222167147</v>
      </c>
      <c r="W24" s="41" t="str">
        <f t="shared" si="21"/>
        <v/>
      </c>
      <c r="X24" s="24">
        <f t="shared" si="22"/>
        <v>11.666666666600577</v>
      </c>
      <c r="Y24" s="41" t="str">
        <f t="shared" si="23"/>
        <v/>
      </c>
      <c r="Z24" s="24">
        <f t="shared" si="24"/>
        <v>7.9999999992069206</v>
      </c>
      <c r="AA24" s="41" t="str">
        <f t="shared" si="25"/>
        <v/>
      </c>
      <c r="AB24" s="24">
        <f t="shared" si="26"/>
        <v>11.999999990483047</v>
      </c>
      <c r="AC24" s="41" t="str">
        <f t="shared" si="27"/>
        <v/>
      </c>
      <c r="AD24" s="24">
        <f t="shared" si="28"/>
        <v>11.999999885796569</v>
      </c>
      <c r="AE24" s="41" t="str">
        <f t="shared" si="29"/>
        <v/>
      </c>
      <c r="AF24" s="24">
        <f t="shared" si="30"/>
        <v>11.999998629558831</v>
      </c>
      <c r="AG24" s="41" t="str">
        <f t="shared" si="31"/>
        <v/>
      </c>
      <c r="AH24" s="24">
        <f t="shared" si="32"/>
        <v>11.999983554705977</v>
      </c>
      <c r="AI24" s="41" t="str">
        <f t="shared" si="33"/>
        <v/>
      </c>
      <c r="AJ24" s="24">
        <f t="shared" si="34"/>
        <v>11.999802656471729</v>
      </c>
      <c r="AK24" s="41" t="str">
        <f t="shared" si="35"/>
        <v/>
      </c>
    </row>
    <row r="25" spans="1:37" x14ac:dyDescent="0.2">
      <c r="A25" s="642"/>
      <c r="B25" s="636"/>
      <c r="C25" s="630" t="s">
        <v>365</v>
      </c>
      <c r="D25" s="631"/>
      <c r="E25" s="632"/>
      <c r="F25" s="140">
        <v>-2050000000</v>
      </c>
      <c r="G25" s="8">
        <v>3</v>
      </c>
      <c r="H25" s="21">
        <f t="shared" si="8"/>
        <v>32031250</v>
      </c>
      <c r="I25" s="37" t="str">
        <f t="shared" si="9"/>
        <v>X;889</v>
      </c>
      <c r="J25" s="38">
        <v>6</v>
      </c>
      <c r="K25" s="128">
        <f t="shared" si="10"/>
        <v>10.727200815543553</v>
      </c>
      <c r="L25" s="39" t="str">
        <f>INDEX(powers!$H$2:$H$75,33+J25)</f>
        <v>dino cosmic</v>
      </c>
      <c r="M25" s="40" t="str">
        <f t="shared" si="11"/>
        <v>X</v>
      </c>
      <c r="N25" s="24">
        <f t="shared" si="12"/>
        <v>8.7264097865226304</v>
      </c>
      <c r="O25" s="41" t="str">
        <f t="shared" si="13"/>
        <v>8</v>
      </c>
      <c r="P25" s="24">
        <f t="shared" si="14"/>
        <v>8.7169174382715653</v>
      </c>
      <c r="Q25" s="41" t="str">
        <f t="shared" si="15"/>
        <v>8</v>
      </c>
      <c r="R25" s="24">
        <f t="shared" si="16"/>
        <v>8.6030092592587835</v>
      </c>
      <c r="S25" s="41" t="str">
        <f t="shared" si="17"/>
        <v>9</v>
      </c>
      <c r="T25" s="24">
        <f t="shared" si="18"/>
        <v>7.2361111111054015</v>
      </c>
      <c r="U25" s="41" t="str">
        <f t="shared" si="19"/>
        <v/>
      </c>
      <c r="V25" s="24">
        <f t="shared" si="20"/>
        <v>2.8333333332648181</v>
      </c>
      <c r="W25" s="41" t="str">
        <f t="shared" si="21"/>
        <v/>
      </c>
      <c r="X25" s="24">
        <f t="shared" si="22"/>
        <v>9.9999999991778168</v>
      </c>
      <c r="Y25" s="41" t="str">
        <f t="shared" si="23"/>
        <v/>
      </c>
      <c r="Z25" s="24">
        <f t="shared" si="24"/>
        <v>11.999999990133801</v>
      </c>
      <c r="AA25" s="41" t="str">
        <f t="shared" si="25"/>
        <v/>
      </c>
      <c r="AB25" s="24">
        <f t="shared" si="26"/>
        <v>11.999999881605618</v>
      </c>
      <c r="AC25" s="41" t="str">
        <f t="shared" si="27"/>
        <v/>
      </c>
      <c r="AD25" s="24">
        <f t="shared" si="28"/>
        <v>11.999998579267412</v>
      </c>
      <c r="AE25" s="41" t="str">
        <f t="shared" si="29"/>
        <v/>
      </c>
      <c r="AF25" s="24">
        <f t="shared" si="30"/>
        <v>11.999982951208949</v>
      </c>
      <c r="AG25" s="41" t="str">
        <f t="shared" si="31"/>
        <v/>
      </c>
      <c r="AH25" s="24">
        <f t="shared" si="32"/>
        <v>11.999795414507389</v>
      </c>
      <c r="AI25" s="41" t="str">
        <f t="shared" si="33"/>
        <v/>
      </c>
      <c r="AJ25" s="24">
        <f t="shared" si="34"/>
        <v>11.997544974088669</v>
      </c>
      <c r="AK25" s="41" t="str">
        <f t="shared" si="35"/>
        <v/>
      </c>
    </row>
    <row r="26" spans="1:37" x14ac:dyDescent="0.2">
      <c r="A26" s="642"/>
      <c r="B26" s="637"/>
      <c r="C26" s="630" t="s">
        <v>366</v>
      </c>
      <c r="D26" s="631"/>
      <c r="E26" s="632"/>
      <c r="F26" s="140">
        <v>-1800000000</v>
      </c>
      <c r="G26" s="8">
        <v>3</v>
      </c>
      <c r="H26" s="21">
        <f t="shared" si="8"/>
        <v>28125000</v>
      </c>
      <c r="I26" s="37" t="str">
        <f t="shared" si="9"/>
        <v>9;504</v>
      </c>
      <c r="J26" s="38">
        <v>6</v>
      </c>
      <c r="K26" s="128">
        <f t="shared" si="10"/>
        <v>9.4190055941358022</v>
      </c>
      <c r="L26" s="39" t="str">
        <f>INDEX(powers!$H$2:$H$75,33+J26)</f>
        <v>dino cosmic</v>
      </c>
      <c r="M26" s="40" t="str">
        <f t="shared" si="11"/>
        <v>9</v>
      </c>
      <c r="N26" s="24">
        <f t="shared" si="12"/>
        <v>5.0280671296296262</v>
      </c>
      <c r="O26" s="41" t="str">
        <f t="shared" si="13"/>
        <v>5</v>
      </c>
      <c r="P26" s="24">
        <f t="shared" si="14"/>
        <v>0.3368055555555145</v>
      </c>
      <c r="Q26" s="41" t="str">
        <f t="shared" si="15"/>
        <v>0</v>
      </c>
      <c r="R26" s="24">
        <f t="shared" si="16"/>
        <v>4.041666666666174</v>
      </c>
      <c r="S26" s="41" t="str">
        <f t="shared" si="17"/>
        <v>4</v>
      </c>
      <c r="T26" s="24">
        <f t="shared" si="18"/>
        <v>0.49999999999408828</v>
      </c>
      <c r="U26" s="41" t="str">
        <f t="shared" si="19"/>
        <v/>
      </c>
      <c r="V26" s="24">
        <f t="shared" si="20"/>
        <v>5.9999999999290594</v>
      </c>
      <c r="W26" s="41" t="str">
        <f t="shared" si="21"/>
        <v/>
      </c>
      <c r="X26" s="24">
        <f t="shared" si="22"/>
        <v>11.999999999148713</v>
      </c>
      <c r="Y26" s="41" t="str">
        <f t="shared" si="23"/>
        <v/>
      </c>
      <c r="Z26" s="24">
        <f t="shared" si="24"/>
        <v>11.999999989784556</v>
      </c>
      <c r="AA26" s="41" t="str">
        <f t="shared" si="25"/>
        <v/>
      </c>
      <c r="AB26" s="24">
        <f t="shared" si="26"/>
        <v>11.999999877414666</v>
      </c>
      <c r="AC26" s="41" t="str">
        <f t="shared" si="27"/>
        <v/>
      </c>
      <c r="AD26" s="24">
        <f t="shared" si="28"/>
        <v>11.999998528975993</v>
      </c>
      <c r="AE26" s="41" t="str">
        <f t="shared" si="29"/>
        <v/>
      </c>
      <c r="AF26" s="24">
        <f t="shared" si="30"/>
        <v>11.999982347711921</v>
      </c>
      <c r="AG26" s="41" t="str">
        <f t="shared" si="31"/>
        <v/>
      </c>
      <c r="AH26" s="24">
        <f t="shared" si="32"/>
        <v>11.999788172543049</v>
      </c>
      <c r="AI26" s="41" t="str">
        <f t="shared" si="33"/>
        <v/>
      </c>
      <c r="AJ26" s="24">
        <f t="shared" si="34"/>
        <v>11.997458070516586</v>
      </c>
      <c r="AK26" s="41" t="str">
        <f t="shared" si="35"/>
        <v/>
      </c>
    </row>
    <row r="27" spans="1:37" x14ac:dyDescent="0.2">
      <c r="A27" s="642"/>
      <c r="B27" s="635" t="s">
        <v>367</v>
      </c>
      <c r="C27" s="630" t="s">
        <v>368</v>
      </c>
      <c r="D27" s="631"/>
      <c r="E27" s="632"/>
      <c r="F27" s="140">
        <v>-1600000000</v>
      </c>
      <c r="G27" s="8">
        <v>3</v>
      </c>
      <c r="H27" s="21">
        <f t="shared" si="8"/>
        <v>25000000</v>
      </c>
      <c r="I27" s="37" t="str">
        <f t="shared" si="9"/>
        <v>8;458</v>
      </c>
      <c r="J27" s="38">
        <v>6</v>
      </c>
      <c r="K27" s="128">
        <f t="shared" si="10"/>
        <v>8.3724494170096015</v>
      </c>
      <c r="L27" s="39" t="str">
        <f>INDEX(powers!$H$2:$H$75,33+J27)</f>
        <v>dino cosmic</v>
      </c>
      <c r="M27" s="40" t="str">
        <f t="shared" si="11"/>
        <v>8</v>
      </c>
      <c r="N27" s="24">
        <f t="shared" si="12"/>
        <v>4.4693930041152186</v>
      </c>
      <c r="O27" s="41" t="str">
        <f t="shared" si="13"/>
        <v>4</v>
      </c>
      <c r="P27" s="24">
        <f t="shared" si="14"/>
        <v>5.6327160493826227</v>
      </c>
      <c r="Q27" s="41" t="str">
        <f t="shared" si="15"/>
        <v>5</v>
      </c>
      <c r="R27" s="24">
        <f t="shared" si="16"/>
        <v>7.5925925925914726</v>
      </c>
      <c r="S27" s="41" t="str">
        <f t="shared" si="17"/>
        <v>8</v>
      </c>
      <c r="T27" s="24">
        <f t="shared" si="18"/>
        <v>7.1111111110976708</v>
      </c>
      <c r="U27" s="41" t="str">
        <f t="shared" si="19"/>
        <v/>
      </c>
      <c r="V27" s="24">
        <f t="shared" si="20"/>
        <v>1.3333333331720496</v>
      </c>
      <c r="W27" s="41" t="str">
        <f t="shared" si="21"/>
        <v/>
      </c>
      <c r="X27" s="24">
        <f t="shared" si="22"/>
        <v>3.9999999980645953</v>
      </c>
      <c r="Y27" s="41" t="str">
        <f t="shared" si="23"/>
        <v/>
      </c>
      <c r="Z27" s="24">
        <f t="shared" si="24"/>
        <v>11.999999976775143</v>
      </c>
      <c r="AA27" s="41" t="str">
        <f t="shared" si="25"/>
        <v/>
      </c>
      <c r="AB27" s="24">
        <f t="shared" si="26"/>
        <v>11.99999972130172</v>
      </c>
      <c r="AC27" s="41" t="str">
        <f t="shared" si="27"/>
        <v/>
      </c>
      <c r="AD27" s="24">
        <f t="shared" si="28"/>
        <v>11.999996655620635</v>
      </c>
      <c r="AE27" s="41" t="str">
        <f t="shared" si="29"/>
        <v/>
      </c>
      <c r="AF27" s="24">
        <f t="shared" si="30"/>
        <v>11.999959867447615</v>
      </c>
      <c r="AG27" s="41" t="str">
        <f t="shared" si="31"/>
        <v/>
      </c>
      <c r="AH27" s="24">
        <f t="shared" si="32"/>
        <v>11.999518409371376</v>
      </c>
      <c r="AI27" s="41" t="str">
        <f t="shared" si="33"/>
        <v/>
      </c>
      <c r="AJ27" s="24">
        <f t="shared" si="34"/>
        <v>11.994220912456512</v>
      </c>
      <c r="AK27" s="41" t="str">
        <f t="shared" si="35"/>
        <v/>
      </c>
    </row>
    <row r="28" spans="1:37" x14ac:dyDescent="0.2">
      <c r="A28" s="642"/>
      <c r="B28" s="636"/>
      <c r="C28" s="630" t="s">
        <v>369</v>
      </c>
      <c r="D28" s="631"/>
      <c r="E28" s="632"/>
      <c r="F28" s="140">
        <v>-1400000000</v>
      </c>
      <c r="G28" s="8">
        <v>3</v>
      </c>
      <c r="H28" s="21">
        <f t="shared" si="8"/>
        <v>21875000</v>
      </c>
      <c r="I28" s="37" t="str">
        <f t="shared" si="9"/>
        <v>7;3XE</v>
      </c>
      <c r="J28" s="38">
        <v>6</v>
      </c>
      <c r="K28" s="128">
        <f t="shared" si="10"/>
        <v>7.3258932398834018</v>
      </c>
      <c r="L28" s="39" t="str">
        <f>INDEX(powers!$H$2:$H$75,33+J28)</f>
        <v>dino cosmic</v>
      </c>
      <c r="M28" s="40" t="str">
        <f t="shared" si="11"/>
        <v>7</v>
      </c>
      <c r="N28" s="24">
        <f t="shared" si="12"/>
        <v>3.9107188786008216</v>
      </c>
      <c r="O28" s="41" t="str">
        <f t="shared" si="13"/>
        <v>3</v>
      </c>
      <c r="P28" s="24">
        <f t="shared" si="14"/>
        <v>10.928626543209859</v>
      </c>
      <c r="Q28" s="41" t="str">
        <f t="shared" si="15"/>
        <v>X</v>
      </c>
      <c r="R28" s="24">
        <f t="shared" si="16"/>
        <v>11.143518518518306</v>
      </c>
      <c r="S28" s="41" t="str">
        <f t="shared" si="17"/>
        <v>E</v>
      </c>
      <c r="T28" s="24">
        <f t="shared" si="18"/>
        <v>1.7222222222196706</v>
      </c>
      <c r="U28" s="41" t="str">
        <f t="shared" si="19"/>
        <v/>
      </c>
      <c r="V28" s="24">
        <f t="shared" si="20"/>
        <v>8.666666666636047</v>
      </c>
      <c r="W28" s="41" t="str">
        <f t="shared" si="21"/>
        <v/>
      </c>
      <c r="X28" s="24">
        <f t="shared" si="22"/>
        <v>7.9999999996325641</v>
      </c>
      <c r="Y28" s="41" t="str">
        <f t="shared" si="23"/>
        <v/>
      </c>
      <c r="Z28" s="24">
        <f t="shared" si="24"/>
        <v>11.99999999559077</v>
      </c>
      <c r="AA28" s="41" t="str">
        <f t="shared" si="25"/>
        <v/>
      </c>
      <c r="AB28" s="24">
        <f t="shared" si="26"/>
        <v>11.999999947089236</v>
      </c>
      <c r="AC28" s="41" t="str">
        <f t="shared" si="27"/>
        <v/>
      </c>
      <c r="AD28" s="24">
        <f t="shared" si="28"/>
        <v>11.999999365070835</v>
      </c>
      <c r="AE28" s="41" t="str">
        <f t="shared" si="29"/>
        <v/>
      </c>
      <c r="AF28" s="24">
        <f t="shared" si="30"/>
        <v>11.999992380850017</v>
      </c>
      <c r="AG28" s="41" t="str">
        <f t="shared" si="31"/>
        <v/>
      </c>
      <c r="AH28" s="24">
        <f t="shared" si="32"/>
        <v>11.999908570200205</v>
      </c>
      <c r="AI28" s="41" t="str">
        <f t="shared" si="33"/>
        <v/>
      </c>
      <c r="AJ28" s="24">
        <f t="shared" si="34"/>
        <v>11.998902842402458</v>
      </c>
      <c r="AK28" s="41" t="str">
        <f t="shared" si="35"/>
        <v/>
      </c>
    </row>
    <row r="29" spans="1:37" x14ac:dyDescent="0.2">
      <c r="A29" s="642"/>
      <c r="B29" s="637"/>
      <c r="C29" s="630" t="s">
        <v>370</v>
      </c>
      <c r="D29" s="631"/>
      <c r="E29" s="632"/>
      <c r="F29" s="140">
        <v>-1200000000</v>
      </c>
      <c r="G29" s="8">
        <v>3</v>
      </c>
      <c r="H29" s="21">
        <f t="shared" si="8"/>
        <v>18750000</v>
      </c>
      <c r="I29" s="37" t="str">
        <f t="shared" si="9"/>
        <v>6;343</v>
      </c>
      <c r="J29" s="38">
        <v>6</v>
      </c>
      <c r="K29" s="128">
        <f t="shared" si="10"/>
        <v>6.279337062757202</v>
      </c>
      <c r="L29" s="39" t="str">
        <f>INDEX(powers!$H$2:$H$75,33+J29)</f>
        <v>dino cosmic</v>
      </c>
      <c r="M29" s="40" t="str">
        <f t="shared" si="11"/>
        <v>6</v>
      </c>
      <c r="N29" s="24">
        <f t="shared" si="12"/>
        <v>3.3520447530864246</v>
      </c>
      <c r="O29" s="41" t="str">
        <f t="shared" si="13"/>
        <v>3</v>
      </c>
      <c r="P29" s="24">
        <f t="shared" si="14"/>
        <v>4.2245370370370949</v>
      </c>
      <c r="Q29" s="41" t="str">
        <f t="shared" si="15"/>
        <v>4</v>
      </c>
      <c r="R29" s="24">
        <f t="shared" si="16"/>
        <v>2.6944444444451392</v>
      </c>
      <c r="S29" s="41" t="str">
        <f t="shared" si="17"/>
        <v>3</v>
      </c>
      <c r="T29" s="24">
        <f t="shared" si="18"/>
        <v>8.3333333333416704</v>
      </c>
      <c r="U29" s="41" t="str">
        <f t="shared" si="19"/>
        <v/>
      </c>
      <c r="V29" s="24">
        <f t="shared" si="20"/>
        <v>4.0000000001000444</v>
      </c>
      <c r="W29" s="41" t="str">
        <f t="shared" si="21"/>
        <v/>
      </c>
      <c r="X29" s="24">
        <f t="shared" si="22"/>
        <v>1.2005330063402653E-9</v>
      </c>
      <c r="Y29" s="41" t="str">
        <f t="shared" si="23"/>
        <v/>
      </c>
      <c r="Z29" s="24">
        <f t="shared" si="24"/>
        <v>1.4406396076083183E-8</v>
      </c>
      <c r="AA29" s="41" t="str">
        <f t="shared" si="25"/>
        <v/>
      </c>
      <c r="AB29" s="24">
        <f t="shared" si="26"/>
        <v>1.728767529129982E-7</v>
      </c>
      <c r="AC29" s="41" t="str">
        <f t="shared" si="27"/>
        <v/>
      </c>
      <c r="AD29" s="24">
        <f t="shared" si="28"/>
        <v>2.0745210349559784E-6</v>
      </c>
      <c r="AE29" s="41" t="str">
        <f t="shared" si="29"/>
        <v/>
      </c>
      <c r="AF29" s="24">
        <f t="shared" si="30"/>
        <v>2.4894252419471741E-5</v>
      </c>
      <c r="AG29" s="41" t="str">
        <f t="shared" si="31"/>
        <v/>
      </c>
      <c r="AH29" s="24">
        <f t="shared" si="32"/>
        <v>2.9873102903366089E-4</v>
      </c>
      <c r="AI29" s="41" t="str">
        <f t="shared" si="33"/>
        <v/>
      </c>
      <c r="AJ29" s="24">
        <f t="shared" si="34"/>
        <v>3.5847723484039307E-3</v>
      </c>
      <c r="AK29" s="41" t="str">
        <f t="shared" si="35"/>
        <v/>
      </c>
    </row>
    <row r="30" spans="1:37" x14ac:dyDescent="0.2">
      <c r="A30" s="642"/>
      <c r="B30" s="635" t="s">
        <v>371</v>
      </c>
      <c r="C30" s="630" t="s">
        <v>372</v>
      </c>
      <c r="D30" s="631"/>
      <c r="E30" s="632"/>
      <c r="F30" s="140">
        <v>-1000000000</v>
      </c>
      <c r="G30" s="8">
        <v>3</v>
      </c>
      <c r="H30" s="21">
        <f t="shared" si="8"/>
        <v>15625000</v>
      </c>
      <c r="I30" s="37" t="str">
        <f t="shared" si="9"/>
        <v>5;296</v>
      </c>
      <c r="J30" s="38">
        <v>6</v>
      </c>
      <c r="K30" s="128">
        <f t="shared" si="10"/>
        <v>5.2327808856310014</v>
      </c>
      <c r="L30" s="39" t="str">
        <f>INDEX(powers!$H$2:$H$75,33+J30)</f>
        <v>dino cosmic</v>
      </c>
      <c r="M30" s="40" t="str">
        <f t="shared" si="11"/>
        <v>5</v>
      </c>
      <c r="N30" s="24">
        <f t="shared" si="12"/>
        <v>2.7933706275720169</v>
      </c>
      <c r="O30" s="41" t="str">
        <f t="shared" si="13"/>
        <v>2</v>
      </c>
      <c r="P30" s="24">
        <f t="shared" si="14"/>
        <v>9.5204475308642031</v>
      </c>
      <c r="Q30" s="41" t="str">
        <f t="shared" si="15"/>
        <v>9</v>
      </c>
      <c r="R30" s="24">
        <f t="shared" si="16"/>
        <v>6.2453703703704377</v>
      </c>
      <c r="S30" s="41" t="str">
        <f t="shared" si="17"/>
        <v>6</v>
      </c>
      <c r="T30" s="24">
        <f t="shared" si="18"/>
        <v>2.9444444444452529</v>
      </c>
      <c r="U30" s="41" t="str">
        <f t="shared" si="19"/>
        <v/>
      </c>
      <c r="V30" s="24">
        <f t="shared" si="20"/>
        <v>11.333333333343035</v>
      </c>
      <c r="W30" s="41" t="str">
        <f t="shared" si="21"/>
        <v/>
      </c>
      <c r="X30" s="24">
        <f t="shared" si="22"/>
        <v>4.0000000001164153</v>
      </c>
      <c r="Y30" s="41" t="str">
        <f t="shared" si="23"/>
        <v/>
      </c>
      <c r="Z30" s="24">
        <f t="shared" si="24"/>
        <v>1.3969838619232178E-9</v>
      </c>
      <c r="AA30" s="41" t="str">
        <f t="shared" si="25"/>
        <v/>
      </c>
      <c r="AB30" s="24">
        <f t="shared" si="26"/>
        <v>1.6763806343078613E-8</v>
      </c>
      <c r="AC30" s="41" t="str">
        <f t="shared" si="27"/>
        <v/>
      </c>
      <c r="AD30" s="24">
        <f t="shared" si="28"/>
        <v>2.0116567611694336E-7</v>
      </c>
      <c r="AE30" s="41" t="str">
        <f t="shared" si="29"/>
        <v/>
      </c>
      <c r="AF30" s="24">
        <f t="shared" si="30"/>
        <v>2.4139881134033203E-6</v>
      </c>
      <c r="AG30" s="41" t="str">
        <f t="shared" si="31"/>
        <v/>
      </c>
      <c r="AH30" s="24">
        <f t="shared" si="32"/>
        <v>2.8967857360839844E-5</v>
      </c>
      <c r="AI30" s="41" t="str">
        <f t="shared" si="33"/>
        <v/>
      </c>
      <c r="AJ30" s="24">
        <f t="shared" si="34"/>
        <v>3.4761428833007813E-4</v>
      </c>
      <c r="AK30" s="41" t="str">
        <f t="shared" si="35"/>
        <v/>
      </c>
    </row>
    <row r="31" spans="1:37" x14ac:dyDescent="0.2">
      <c r="A31" s="642"/>
      <c r="B31" s="636"/>
      <c r="C31" s="630" t="s">
        <v>374</v>
      </c>
      <c r="D31" s="631"/>
      <c r="E31" s="632"/>
      <c r="F31" s="140">
        <v>-850000000</v>
      </c>
      <c r="G31" s="8">
        <v>3</v>
      </c>
      <c r="H31" s="21">
        <f t="shared" si="8"/>
        <v>13281250</v>
      </c>
      <c r="I31" s="37" t="str">
        <f t="shared" si="9"/>
        <v>4;546</v>
      </c>
      <c r="J31" s="38">
        <v>6</v>
      </c>
      <c r="K31" s="128">
        <f t="shared" si="10"/>
        <v>4.4478637527863514</v>
      </c>
      <c r="L31" s="39" t="str">
        <f>INDEX(powers!$H$2:$H$75,33+J31)</f>
        <v>dino cosmic</v>
      </c>
      <c r="M31" s="40" t="str">
        <f t="shared" si="11"/>
        <v>4</v>
      </c>
      <c r="N31" s="24">
        <f t="shared" si="12"/>
        <v>5.3743650334362165</v>
      </c>
      <c r="O31" s="41" t="str">
        <f t="shared" si="13"/>
        <v>5</v>
      </c>
      <c r="P31" s="24">
        <f t="shared" si="14"/>
        <v>4.4923804012345983</v>
      </c>
      <c r="Q31" s="41" t="str">
        <f t="shared" si="15"/>
        <v>4</v>
      </c>
      <c r="R31" s="24">
        <f t="shared" si="16"/>
        <v>5.908564814815179</v>
      </c>
      <c r="S31" s="41" t="str">
        <f t="shared" si="17"/>
        <v>6</v>
      </c>
      <c r="T31" s="24">
        <f t="shared" si="18"/>
        <v>10.902777777782148</v>
      </c>
      <c r="U31" s="41" t="str">
        <f t="shared" si="19"/>
        <v/>
      </c>
      <c r="V31" s="24">
        <f t="shared" si="20"/>
        <v>10.833333333385781</v>
      </c>
      <c r="W31" s="41" t="str">
        <f t="shared" si="21"/>
        <v/>
      </c>
      <c r="X31" s="24">
        <f t="shared" si="22"/>
        <v>10.00000000062937</v>
      </c>
      <c r="Y31" s="41" t="str">
        <f t="shared" si="23"/>
        <v/>
      </c>
      <c r="Z31" s="24">
        <f t="shared" si="24"/>
        <v>7.5524440035223961E-9</v>
      </c>
      <c r="AA31" s="41" t="str">
        <f t="shared" si="25"/>
        <v/>
      </c>
      <c r="AB31" s="24">
        <f t="shared" si="26"/>
        <v>9.0629328042268753E-8</v>
      </c>
      <c r="AC31" s="41" t="str">
        <f t="shared" si="27"/>
        <v/>
      </c>
      <c r="AD31" s="24">
        <f t="shared" si="28"/>
        <v>1.087551936507225E-6</v>
      </c>
      <c r="AE31" s="41" t="str">
        <f t="shared" si="29"/>
        <v/>
      </c>
      <c r="AF31" s="24">
        <f t="shared" si="30"/>
        <v>1.30506232380867E-5</v>
      </c>
      <c r="AG31" s="41" t="str">
        <f t="shared" si="31"/>
        <v/>
      </c>
      <c r="AH31" s="24">
        <f t="shared" si="32"/>
        <v>1.5660747885704041E-4</v>
      </c>
      <c r="AI31" s="41" t="str">
        <f t="shared" si="33"/>
        <v/>
      </c>
      <c r="AJ31" s="24">
        <f t="shared" si="34"/>
        <v>1.8792897462844849E-3</v>
      </c>
      <c r="AK31" s="41" t="str">
        <f t="shared" si="35"/>
        <v/>
      </c>
    </row>
    <row r="32" spans="1:37" x14ac:dyDescent="0.2">
      <c r="A32" s="643"/>
      <c r="B32" s="637"/>
      <c r="C32" s="630" t="s">
        <v>373</v>
      </c>
      <c r="D32" s="631"/>
      <c r="E32" s="632"/>
      <c r="F32" s="140">
        <v>-635000000</v>
      </c>
      <c r="G32" s="8">
        <v>3</v>
      </c>
      <c r="H32" s="21">
        <f t="shared" si="8"/>
        <v>9921875</v>
      </c>
      <c r="I32" s="37" t="str">
        <f t="shared" si="9"/>
        <v>3;3X6</v>
      </c>
      <c r="J32" s="38">
        <v>6</v>
      </c>
      <c r="K32" s="128">
        <f t="shared" si="10"/>
        <v>3.3228158623756858</v>
      </c>
      <c r="L32" s="39" t="str">
        <f>INDEX(powers!$H$2:$H$75,33+J32)</f>
        <v>dino cosmic</v>
      </c>
      <c r="M32" s="40" t="str">
        <f t="shared" si="11"/>
        <v>3</v>
      </c>
      <c r="N32" s="24">
        <f t="shared" si="12"/>
        <v>3.8737903485082299</v>
      </c>
      <c r="O32" s="41" t="str">
        <f t="shared" si="13"/>
        <v>3</v>
      </c>
      <c r="P32" s="24">
        <f t="shared" si="14"/>
        <v>10.485484182098759</v>
      </c>
      <c r="Q32" s="41" t="str">
        <f t="shared" si="15"/>
        <v>X</v>
      </c>
      <c r="R32" s="24">
        <f t="shared" si="16"/>
        <v>5.8258101851851052</v>
      </c>
      <c r="S32" s="41" t="str">
        <f t="shared" si="17"/>
        <v>6</v>
      </c>
      <c r="T32" s="24">
        <f t="shared" si="18"/>
        <v>9.9097222222212622</v>
      </c>
      <c r="U32" s="41" t="str">
        <f t="shared" si="19"/>
        <v/>
      </c>
      <c r="V32" s="24">
        <f t="shared" si="20"/>
        <v>10.916666666655146</v>
      </c>
      <c r="W32" s="41" t="str">
        <f t="shared" si="21"/>
        <v/>
      </c>
      <c r="X32" s="24">
        <f t="shared" si="22"/>
        <v>10.999999999861757</v>
      </c>
      <c r="Y32" s="41" t="str">
        <f t="shared" si="23"/>
        <v/>
      </c>
      <c r="Z32" s="24">
        <f t="shared" si="24"/>
        <v>11.999999998341082</v>
      </c>
      <c r="AA32" s="41" t="str">
        <f t="shared" si="25"/>
        <v/>
      </c>
      <c r="AB32" s="24">
        <f t="shared" si="26"/>
        <v>11.99999998009298</v>
      </c>
      <c r="AC32" s="41" t="str">
        <f t="shared" si="27"/>
        <v/>
      </c>
      <c r="AD32" s="24">
        <f t="shared" si="28"/>
        <v>11.99999976111576</v>
      </c>
      <c r="AE32" s="41" t="str">
        <f t="shared" si="29"/>
        <v/>
      </c>
      <c r="AF32" s="24">
        <f t="shared" si="30"/>
        <v>11.999997133389115</v>
      </c>
      <c r="AG32" s="41" t="str">
        <f t="shared" si="31"/>
        <v/>
      </c>
      <c r="AH32" s="24">
        <f t="shared" si="32"/>
        <v>11.999965600669384</v>
      </c>
      <c r="AI32" s="41" t="str">
        <f t="shared" si="33"/>
        <v/>
      </c>
      <c r="AJ32" s="24">
        <f t="shared" si="34"/>
        <v>11.999587208032608</v>
      </c>
      <c r="AK32" s="41" t="str">
        <f t="shared" si="35"/>
        <v/>
      </c>
    </row>
    <row r="33" spans="1:37" x14ac:dyDescent="0.2">
      <c r="A33" s="641" t="s">
        <v>375</v>
      </c>
      <c r="B33" s="635" t="s">
        <v>376</v>
      </c>
      <c r="C33" s="635" t="s">
        <v>377</v>
      </c>
      <c r="D33" s="635" t="s">
        <v>378</v>
      </c>
      <c r="E33" s="497" t="s">
        <v>379</v>
      </c>
      <c r="F33" s="140">
        <v>-542000000</v>
      </c>
      <c r="G33" s="8">
        <v>4</v>
      </c>
      <c r="H33" s="21">
        <f t="shared" si="8"/>
        <v>8468750</v>
      </c>
      <c r="I33" s="37" t="str">
        <f t="shared" si="9"/>
        <v>2;X04E</v>
      </c>
      <c r="J33" s="38">
        <v>6</v>
      </c>
      <c r="K33" s="128">
        <f t="shared" si="10"/>
        <v>2.8361672400120028</v>
      </c>
      <c r="L33" s="39" t="str">
        <f>INDEX(powers!$H$2:$H$75,33+J33)</f>
        <v>dino cosmic</v>
      </c>
      <c r="M33" s="40" t="str">
        <f t="shared" si="11"/>
        <v>2</v>
      </c>
      <c r="N33" s="24">
        <f t="shared" si="12"/>
        <v>10.034006880144034</v>
      </c>
      <c r="O33" s="41" t="str">
        <f t="shared" si="13"/>
        <v>X</v>
      </c>
      <c r="P33" s="24">
        <f t="shared" si="14"/>
        <v>0.40808256172840629</v>
      </c>
      <c r="Q33" s="41" t="str">
        <f t="shared" si="15"/>
        <v>0</v>
      </c>
      <c r="R33" s="24">
        <f t="shared" si="16"/>
        <v>4.8969907407408755</v>
      </c>
      <c r="S33" s="41" t="str">
        <f t="shared" si="17"/>
        <v>4</v>
      </c>
      <c r="T33" s="24">
        <f t="shared" si="18"/>
        <v>10.763888888890506</v>
      </c>
      <c r="U33" s="41" t="str">
        <f t="shared" si="19"/>
        <v>E</v>
      </c>
      <c r="V33" s="24">
        <f t="shared" si="20"/>
        <v>9.1666666666860692</v>
      </c>
      <c r="W33" s="41" t="str">
        <f t="shared" si="21"/>
        <v/>
      </c>
      <c r="X33" s="24">
        <f t="shared" si="22"/>
        <v>2.0000000002328306</v>
      </c>
      <c r="Y33" s="41" t="str">
        <f t="shared" si="23"/>
        <v/>
      </c>
      <c r="Z33" s="24">
        <f t="shared" si="24"/>
        <v>2.7939677238464355E-9</v>
      </c>
      <c r="AA33" s="41" t="str">
        <f t="shared" si="25"/>
        <v/>
      </c>
      <c r="AB33" s="24">
        <f t="shared" si="26"/>
        <v>3.3527612686157227E-8</v>
      </c>
      <c r="AC33" s="41" t="str">
        <f t="shared" si="27"/>
        <v/>
      </c>
      <c r="AD33" s="24">
        <f t="shared" si="28"/>
        <v>4.0233135223388672E-7</v>
      </c>
      <c r="AE33" s="41" t="str">
        <f t="shared" si="29"/>
        <v/>
      </c>
      <c r="AF33" s="24">
        <f t="shared" si="30"/>
        <v>4.8279762268066406E-6</v>
      </c>
      <c r="AG33" s="41" t="str">
        <f t="shared" si="31"/>
        <v/>
      </c>
      <c r="AH33" s="24">
        <f t="shared" si="32"/>
        <v>5.7935714721679688E-5</v>
      </c>
      <c r="AI33" s="41" t="str">
        <f t="shared" si="33"/>
        <v/>
      </c>
      <c r="AJ33" s="24">
        <f t="shared" si="34"/>
        <v>6.9522857666015625E-4</v>
      </c>
      <c r="AK33" s="41" t="str">
        <f t="shared" si="35"/>
        <v/>
      </c>
    </row>
    <row r="34" spans="1:37" ht="13.5" customHeight="1" x14ac:dyDescent="0.2">
      <c r="A34" s="642"/>
      <c r="B34" s="636"/>
      <c r="C34" s="636"/>
      <c r="D34" s="637"/>
      <c r="E34" s="497" t="s">
        <v>380</v>
      </c>
      <c r="F34" s="140">
        <v>-528000000</v>
      </c>
      <c r="G34" s="8">
        <v>4</v>
      </c>
      <c r="H34" s="21">
        <f t="shared" si="8"/>
        <v>8250000</v>
      </c>
      <c r="I34" s="37" t="str">
        <f t="shared" si="9"/>
        <v>2;91X4</v>
      </c>
      <c r="J34" s="38">
        <v>6</v>
      </c>
      <c r="K34" s="128">
        <f t="shared" si="10"/>
        <v>2.7629083076131686</v>
      </c>
      <c r="L34" s="39" t="str">
        <f>INDEX(powers!$H$2:$H$75,33+J34)</f>
        <v>dino cosmic</v>
      </c>
      <c r="M34" s="40" t="str">
        <f t="shared" si="11"/>
        <v>2</v>
      </c>
      <c r="N34" s="24">
        <f t="shared" si="12"/>
        <v>9.1548996913580236</v>
      </c>
      <c r="O34" s="41" t="str">
        <f t="shared" si="13"/>
        <v>9</v>
      </c>
      <c r="P34" s="24">
        <f t="shared" si="14"/>
        <v>1.8587962962962834</v>
      </c>
      <c r="Q34" s="41" t="str">
        <f t="shared" si="15"/>
        <v>1</v>
      </c>
      <c r="R34" s="24">
        <f t="shared" si="16"/>
        <v>10.305555555555401</v>
      </c>
      <c r="S34" s="41" t="str">
        <f t="shared" si="17"/>
        <v>X</v>
      </c>
      <c r="T34" s="24">
        <f t="shared" si="18"/>
        <v>3.6666666666648098</v>
      </c>
      <c r="U34" s="41" t="str">
        <f t="shared" si="19"/>
        <v>4</v>
      </c>
      <c r="V34" s="24">
        <f t="shared" si="20"/>
        <v>7.9999999999777174</v>
      </c>
      <c r="W34" s="41" t="str">
        <f t="shared" si="21"/>
        <v/>
      </c>
      <c r="X34" s="24">
        <f t="shared" si="22"/>
        <v>11.999999999732609</v>
      </c>
      <c r="Y34" s="41" t="str">
        <f t="shared" si="23"/>
        <v/>
      </c>
      <c r="Z34" s="24">
        <f t="shared" si="24"/>
        <v>11.999999996791303</v>
      </c>
      <c r="AA34" s="41" t="str">
        <f t="shared" si="25"/>
        <v/>
      </c>
      <c r="AB34" s="24">
        <f t="shared" si="26"/>
        <v>11.999999961495632</v>
      </c>
      <c r="AC34" s="41" t="str">
        <f t="shared" si="27"/>
        <v/>
      </c>
      <c r="AD34" s="24">
        <f t="shared" si="28"/>
        <v>11.999999537947588</v>
      </c>
      <c r="AE34" s="41" t="str">
        <f t="shared" si="29"/>
        <v/>
      </c>
      <c r="AF34" s="24">
        <f t="shared" si="30"/>
        <v>11.999994455371052</v>
      </c>
      <c r="AG34" s="41" t="str">
        <f t="shared" si="31"/>
        <v/>
      </c>
      <c r="AH34" s="24">
        <f t="shared" si="32"/>
        <v>11.999933464452624</v>
      </c>
      <c r="AI34" s="41" t="str">
        <f t="shared" si="33"/>
        <v/>
      </c>
      <c r="AJ34" s="24">
        <f t="shared" si="34"/>
        <v>11.999201573431492</v>
      </c>
      <c r="AK34" s="41" t="str">
        <f t="shared" si="35"/>
        <v/>
      </c>
    </row>
    <row r="35" spans="1:37" ht="13.5" customHeight="1" x14ac:dyDescent="0.2">
      <c r="A35" s="642"/>
      <c r="B35" s="636"/>
      <c r="C35" s="636"/>
      <c r="D35" s="635" t="s">
        <v>381</v>
      </c>
      <c r="E35" s="497" t="s">
        <v>382</v>
      </c>
      <c r="F35" s="140">
        <v>-521000000</v>
      </c>
      <c r="G35" s="8">
        <v>4</v>
      </c>
      <c r="H35" s="21">
        <f t="shared" si="8"/>
        <v>8140625</v>
      </c>
      <c r="I35" s="37" t="str">
        <f t="shared" si="9"/>
        <v>2;8870</v>
      </c>
      <c r="J35" s="38">
        <v>6</v>
      </c>
      <c r="K35" s="128">
        <f t="shared" si="10"/>
        <v>2.7262788414137518</v>
      </c>
      <c r="L35" s="39" t="str">
        <f>INDEX(powers!$H$2:$H$75,33+J35)</f>
        <v>dino cosmic</v>
      </c>
      <c r="M35" s="40" t="str">
        <f t="shared" si="11"/>
        <v>2</v>
      </c>
      <c r="N35" s="24">
        <f t="shared" si="12"/>
        <v>8.7153460969650212</v>
      </c>
      <c r="O35" s="41" t="str">
        <f t="shared" si="13"/>
        <v>8</v>
      </c>
      <c r="P35" s="24">
        <f t="shared" si="14"/>
        <v>8.5841531635802539</v>
      </c>
      <c r="Q35" s="41" t="str">
        <f t="shared" si="15"/>
        <v>8</v>
      </c>
      <c r="R35" s="24">
        <f t="shared" si="16"/>
        <v>7.0098379629630472</v>
      </c>
      <c r="S35" s="41" t="str">
        <f t="shared" si="17"/>
        <v>7</v>
      </c>
      <c r="T35" s="24">
        <f t="shared" si="18"/>
        <v>0.11805555555656611</v>
      </c>
      <c r="U35" s="41" t="str">
        <f t="shared" si="19"/>
        <v>0</v>
      </c>
      <c r="V35" s="24">
        <f t="shared" si="20"/>
        <v>1.4166666666787933</v>
      </c>
      <c r="W35" s="41" t="str">
        <f t="shared" si="21"/>
        <v/>
      </c>
      <c r="X35" s="24">
        <f t="shared" si="22"/>
        <v>5.0000000001455192</v>
      </c>
      <c r="Y35" s="41" t="str">
        <f t="shared" si="23"/>
        <v/>
      </c>
      <c r="Z35" s="24">
        <f t="shared" si="24"/>
        <v>1.7462298274040222E-9</v>
      </c>
      <c r="AA35" s="41" t="str">
        <f t="shared" si="25"/>
        <v/>
      </c>
      <c r="AB35" s="24">
        <f t="shared" si="26"/>
        <v>2.0954757928848267E-8</v>
      </c>
      <c r="AC35" s="41" t="str">
        <f t="shared" si="27"/>
        <v/>
      </c>
      <c r="AD35" s="24">
        <f t="shared" si="28"/>
        <v>2.514570951461792E-7</v>
      </c>
      <c r="AE35" s="41" t="str">
        <f t="shared" si="29"/>
        <v/>
      </c>
      <c r="AF35" s="24">
        <f t="shared" si="30"/>
        <v>3.0174851417541504E-6</v>
      </c>
      <c r="AG35" s="41" t="str">
        <f t="shared" si="31"/>
        <v/>
      </c>
      <c r="AH35" s="24">
        <f t="shared" si="32"/>
        <v>3.6209821701049805E-5</v>
      </c>
      <c r="AI35" s="41" t="str">
        <f t="shared" si="33"/>
        <v/>
      </c>
      <c r="AJ35" s="24">
        <f t="shared" si="34"/>
        <v>4.3451786041259766E-4</v>
      </c>
      <c r="AK35" s="41" t="str">
        <f t="shared" si="35"/>
        <v/>
      </c>
    </row>
    <row r="36" spans="1:37" ht="13.5" customHeight="1" x14ac:dyDescent="0.2">
      <c r="A36" s="642"/>
      <c r="B36" s="636"/>
      <c r="C36" s="636"/>
      <c r="D36" s="637"/>
      <c r="E36" s="497" t="s">
        <v>383</v>
      </c>
      <c r="F36" s="140">
        <v>-515000000</v>
      </c>
      <c r="G36" s="8">
        <v>4</v>
      </c>
      <c r="H36" s="21">
        <f t="shared" si="8"/>
        <v>8046875</v>
      </c>
      <c r="I36" s="37" t="str">
        <f t="shared" si="9"/>
        <v>2;8409</v>
      </c>
      <c r="J36" s="38">
        <v>6</v>
      </c>
      <c r="K36" s="128">
        <f t="shared" si="10"/>
        <v>2.6948821560999656</v>
      </c>
      <c r="L36" s="39" t="str">
        <f>INDEX(powers!$H$2:$H$75,33+J36)</f>
        <v>dino cosmic</v>
      </c>
      <c r="M36" s="40" t="str">
        <f t="shared" si="11"/>
        <v>2</v>
      </c>
      <c r="N36" s="24">
        <f t="shared" si="12"/>
        <v>8.3385858731995874</v>
      </c>
      <c r="O36" s="41" t="str">
        <f t="shared" si="13"/>
        <v>8</v>
      </c>
      <c r="P36" s="24">
        <f t="shared" si="14"/>
        <v>4.0630304783950493</v>
      </c>
      <c r="Q36" s="41" t="str">
        <f t="shared" si="15"/>
        <v>4</v>
      </c>
      <c r="R36" s="24">
        <f t="shared" si="16"/>
        <v>0.75636574074059126</v>
      </c>
      <c r="S36" s="41" t="str">
        <f t="shared" si="17"/>
        <v>0</v>
      </c>
      <c r="T36" s="24">
        <f t="shared" si="18"/>
        <v>9.0763888888870952</v>
      </c>
      <c r="U36" s="41" t="str">
        <f t="shared" si="19"/>
        <v>9</v>
      </c>
      <c r="V36" s="24">
        <f t="shared" si="20"/>
        <v>0.91666666664514196</v>
      </c>
      <c r="W36" s="41" t="str">
        <f t="shared" si="21"/>
        <v/>
      </c>
      <c r="X36" s="24">
        <f t="shared" si="22"/>
        <v>10.999999999741704</v>
      </c>
      <c r="Y36" s="41" t="str">
        <f t="shared" si="23"/>
        <v/>
      </c>
      <c r="Z36" s="24">
        <f t="shared" si="24"/>
        <v>11.999999996900442</v>
      </c>
      <c r="AA36" s="41" t="str">
        <f t="shared" si="25"/>
        <v/>
      </c>
      <c r="AB36" s="24">
        <f t="shared" si="26"/>
        <v>11.999999962805305</v>
      </c>
      <c r="AC36" s="41" t="str">
        <f t="shared" si="27"/>
        <v/>
      </c>
      <c r="AD36" s="24">
        <f t="shared" si="28"/>
        <v>11.999999553663656</v>
      </c>
      <c r="AE36" s="41" t="str">
        <f t="shared" si="29"/>
        <v/>
      </c>
      <c r="AF36" s="24">
        <f t="shared" si="30"/>
        <v>11.999994643963873</v>
      </c>
      <c r="AG36" s="41" t="str">
        <f t="shared" si="31"/>
        <v/>
      </c>
      <c r="AH36" s="24">
        <f t="shared" si="32"/>
        <v>11.999935727566481</v>
      </c>
      <c r="AI36" s="41" t="str">
        <f t="shared" si="33"/>
        <v/>
      </c>
      <c r="AJ36" s="24">
        <f t="shared" si="34"/>
        <v>11.999228730797768</v>
      </c>
      <c r="AK36" s="41" t="str">
        <f t="shared" si="35"/>
        <v/>
      </c>
    </row>
    <row r="37" spans="1:37" ht="13.5" customHeight="1" x14ac:dyDescent="0.2">
      <c r="A37" s="642"/>
      <c r="B37" s="636"/>
      <c r="C37" s="636"/>
      <c r="D37" s="635" t="s">
        <v>384</v>
      </c>
      <c r="E37" s="497" t="s">
        <v>385</v>
      </c>
      <c r="F37" s="140">
        <v>-510000000</v>
      </c>
      <c r="G37" s="8">
        <v>4</v>
      </c>
      <c r="H37" s="21">
        <f t="shared" si="8"/>
        <v>7968750</v>
      </c>
      <c r="I37" s="37" t="str">
        <f t="shared" si="9"/>
        <v>2;8037</v>
      </c>
      <c r="J37" s="38">
        <v>6</v>
      </c>
      <c r="K37" s="128">
        <f t="shared" si="10"/>
        <v>2.6687182516718106</v>
      </c>
      <c r="L37" s="39" t="str">
        <f>INDEX(powers!$H$2:$H$75,33+J37)</f>
        <v>dino cosmic</v>
      </c>
      <c r="M37" s="40" t="str">
        <f t="shared" si="11"/>
        <v>2</v>
      </c>
      <c r="N37" s="24">
        <f t="shared" si="12"/>
        <v>8.0246190200617278</v>
      </c>
      <c r="O37" s="41" t="str">
        <f t="shared" si="13"/>
        <v>8</v>
      </c>
      <c r="P37" s="24">
        <f t="shared" si="14"/>
        <v>0.29542824074073337</v>
      </c>
      <c r="Q37" s="41" t="str">
        <f t="shared" si="15"/>
        <v>0</v>
      </c>
      <c r="R37" s="24">
        <f t="shared" si="16"/>
        <v>3.5451388888888005</v>
      </c>
      <c r="S37" s="41" t="str">
        <f t="shared" si="17"/>
        <v>3</v>
      </c>
      <c r="T37" s="24">
        <f t="shared" si="18"/>
        <v>6.5416666666656056</v>
      </c>
      <c r="U37" s="41" t="str">
        <f t="shared" si="19"/>
        <v>7</v>
      </c>
      <c r="V37" s="24">
        <f t="shared" si="20"/>
        <v>6.4999999999872671</v>
      </c>
      <c r="W37" s="41" t="str">
        <f t="shared" si="21"/>
        <v/>
      </c>
      <c r="X37" s="24">
        <f t="shared" si="22"/>
        <v>5.9999999998472049</v>
      </c>
      <c r="Y37" s="41" t="str">
        <f t="shared" si="23"/>
        <v/>
      </c>
      <c r="Z37" s="24">
        <f t="shared" si="24"/>
        <v>11.999999998166459</v>
      </c>
      <c r="AA37" s="41" t="str">
        <f t="shared" si="25"/>
        <v/>
      </c>
      <c r="AB37" s="24">
        <f t="shared" si="26"/>
        <v>11.999999977997504</v>
      </c>
      <c r="AC37" s="41" t="str">
        <f t="shared" si="27"/>
        <v/>
      </c>
      <c r="AD37" s="24">
        <f t="shared" si="28"/>
        <v>11.99999973597005</v>
      </c>
      <c r="AE37" s="41" t="str">
        <f t="shared" si="29"/>
        <v/>
      </c>
      <c r="AF37" s="24">
        <f t="shared" si="30"/>
        <v>11.999996831640601</v>
      </c>
      <c r="AG37" s="41" t="str">
        <f t="shared" si="31"/>
        <v/>
      </c>
      <c r="AH37" s="24">
        <f t="shared" si="32"/>
        <v>11.999961979687214</v>
      </c>
      <c r="AI37" s="41" t="str">
        <f t="shared" si="33"/>
        <v/>
      </c>
      <c r="AJ37" s="24">
        <f t="shared" si="34"/>
        <v>11.999543756246567</v>
      </c>
      <c r="AK37" s="41" t="str">
        <f t="shared" si="35"/>
        <v/>
      </c>
    </row>
    <row r="38" spans="1:37" ht="13.5" customHeight="1" x14ac:dyDescent="0.2">
      <c r="A38" s="642"/>
      <c r="B38" s="636"/>
      <c r="C38" s="636"/>
      <c r="D38" s="636"/>
      <c r="E38" s="497" t="s">
        <v>386</v>
      </c>
      <c r="F38" s="140">
        <v>-506500000</v>
      </c>
      <c r="G38" s="8">
        <v>4</v>
      </c>
      <c r="H38" s="21">
        <f t="shared" si="8"/>
        <v>7914062.5</v>
      </c>
      <c r="I38" s="37" t="str">
        <f t="shared" si="9"/>
        <v>2;797E</v>
      </c>
      <c r="J38" s="38">
        <v>6</v>
      </c>
      <c r="K38" s="128">
        <f t="shared" si="10"/>
        <v>2.650403518572102</v>
      </c>
      <c r="L38" s="39" t="str">
        <f>INDEX(powers!$H$2:$H$75,33+J38)</f>
        <v>dino cosmic</v>
      </c>
      <c r="M38" s="40" t="str">
        <f t="shared" si="11"/>
        <v>2</v>
      </c>
      <c r="N38" s="24">
        <f t="shared" si="12"/>
        <v>7.8048422228652239</v>
      </c>
      <c r="O38" s="41" t="str">
        <f t="shared" si="13"/>
        <v>7</v>
      </c>
      <c r="P38" s="24">
        <f t="shared" si="14"/>
        <v>9.6581066743826867</v>
      </c>
      <c r="Q38" s="41" t="str">
        <f t="shared" si="15"/>
        <v>9</v>
      </c>
      <c r="R38" s="24">
        <f t="shared" si="16"/>
        <v>7.89728009259224</v>
      </c>
      <c r="S38" s="41" t="str">
        <f t="shared" si="17"/>
        <v>7</v>
      </c>
      <c r="T38" s="24">
        <f t="shared" si="18"/>
        <v>10.767361111106879</v>
      </c>
      <c r="U38" s="41" t="str">
        <f t="shared" si="19"/>
        <v>E</v>
      </c>
      <c r="V38" s="24">
        <f t="shared" si="20"/>
        <v>9.2083333332825532</v>
      </c>
      <c r="W38" s="41" t="str">
        <f t="shared" si="21"/>
        <v/>
      </c>
      <c r="X38" s="24">
        <f t="shared" si="22"/>
        <v>2.4999999993906385</v>
      </c>
      <c r="Y38" s="41" t="str">
        <f t="shared" si="23"/>
        <v/>
      </c>
      <c r="Z38" s="24">
        <f t="shared" si="24"/>
        <v>5.9999999926876626</v>
      </c>
      <c r="AA38" s="41" t="str">
        <f t="shared" si="25"/>
        <v/>
      </c>
      <c r="AB38" s="24">
        <f t="shared" si="26"/>
        <v>11.999999912251951</v>
      </c>
      <c r="AC38" s="41" t="str">
        <f t="shared" si="27"/>
        <v/>
      </c>
      <c r="AD38" s="24">
        <f t="shared" si="28"/>
        <v>11.999998947023414</v>
      </c>
      <c r="AE38" s="41" t="str">
        <f t="shared" si="29"/>
        <v/>
      </c>
      <c r="AF38" s="24">
        <f t="shared" si="30"/>
        <v>11.999987364280969</v>
      </c>
      <c r="AG38" s="41" t="str">
        <f t="shared" si="31"/>
        <v/>
      </c>
      <c r="AH38" s="24">
        <f t="shared" si="32"/>
        <v>11.999848371371627</v>
      </c>
      <c r="AI38" s="41" t="str">
        <f t="shared" si="33"/>
        <v/>
      </c>
      <c r="AJ38" s="24">
        <f t="shared" si="34"/>
        <v>11.998180456459522</v>
      </c>
      <c r="AK38" s="41" t="str">
        <f t="shared" si="35"/>
        <v/>
      </c>
    </row>
    <row r="39" spans="1:37" ht="13.5" customHeight="1" x14ac:dyDescent="0.2">
      <c r="A39" s="642"/>
      <c r="B39" s="636"/>
      <c r="C39" s="636"/>
      <c r="D39" s="637"/>
      <c r="E39" s="497" t="s">
        <v>387</v>
      </c>
      <c r="F39" s="140">
        <v>-500300000</v>
      </c>
      <c r="G39" s="8">
        <v>4</v>
      </c>
      <c r="H39" s="21">
        <f t="shared" si="8"/>
        <v>7817187.5</v>
      </c>
      <c r="I39" s="37" t="str">
        <f t="shared" si="9"/>
        <v>2;74EX</v>
      </c>
      <c r="J39" s="38">
        <v>6</v>
      </c>
      <c r="K39" s="128">
        <f t="shared" si="10"/>
        <v>2.6179602770811901</v>
      </c>
      <c r="L39" s="39" t="str">
        <f>INDEX(powers!$H$2:$H$75,33+J39)</f>
        <v>dino cosmic</v>
      </c>
      <c r="M39" s="40" t="str">
        <f t="shared" si="11"/>
        <v>2</v>
      </c>
      <c r="N39" s="24">
        <f t="shared" si="12"/>
        <v>7.4155233249742807</v>
      </c>
      <c r="O39" s="41" t="str">
        <f t="shared" si="13"/>
        <v>7</v>
      </c>
      <c r="P39" s="24">
        <f t="shared" si="14"/>
        <v>4.9862798996913682</v>
      </c>
      <c r="Q39" s="41" t="str">
        <f t="shared" si="15"/>
        <v>4</v>
      </c>
      <c r="R39" s="24">
        <f t="shared" si="16"/>
        <v>11.835358796296418</v>
      </c>
      <c r="S39" s="41" t="str">
        <f t="shared" si="17"/>
        <v>E</v>
      </c>
      <c r="T39" s="24">
        <f t="shared" si="18"/>
        <v>10.024305555557021</v>
      </c>
      <c r="U39" s="41" t="str">
        <f t="shared" si="19"/>
        <v>X</v>
      </c>
      <c r="V39" s="24">
        <f t="shared" si="20"/>
        <v>0.29166666668425023</v>
      </c>
      <c r="W39" s="41" t="str">
        <f t="shared" si="21"/>
        <v/>
      </c>
      <c r="X39" s="24">
        <f t="shared" si="22"/>
        <v>3.5000000002110028</v>
      </c>
      <c r="Y39" s="41" t="str">
        <f t="shared" si="23"/>
        <v/>
      </c>
      <c r="Z39" s="24">
        <f t="shared" si="24"/>
        <v>6.0000000025320332</v>
      </c>
      <c r="AA39" s="41" t="str">
        <f t="shared" si="25"/>
        <v/>
      </c>
      <c r="AB39" s="24">
        <f t="shared" si="26"/>
        <v>3.0384398996829987E-8</v>
      </c>
      <c r="AC39" s="41" t="str">
        <f t="shared" si="27"/>
        <v/>
      </c>
      <c r="AD39" s="24">
        <f t="shared" si="28"/>
        <v>3.6461278796195984E-7</v>
      </c>
      <c r="AE39" s="41" t="str">
        <f t="shared" si="29"/>
        <v/>
      </c>
      <c r="AF39" s="24">
        <f t="shared" si="30"/>
        <v>4.3753534555435181E-6</v>
      </c>
      <c r="AG39" s="41" t="str">
        <f t="shared" si="31"/>
        <v/>
      </c>
      <c r="AH39" s="24">
        <f t="shared" si="32"/>
        <v>5.2504241466522217E-5</v>
      </c>
      <c r="AI39" s="41" t="str">
        <f t="shared" si="33"/>
        <v/>
      </c>
      <c r="AJ39" s="24">
        <f t="shared" si="34"/>
        <v>6.300508975982666E-4</v>
      </c>
      <c r="AK39" s="41" t="str">
        <f t="shared" si="35"/>
        <v/>
      </c>
    </row>
    <row r="40" spans="1:37" ht="13.5" customHeight="1" x14ac:dyDescent="0.2">
      <c r="A40" s="642"/>
      <c r="B40" s="636"/>
      <c r="C40" s="636"/>
      <c r="D40" s="635" t="s">
        <v>388</v>
      </c>
      <c r="E40" s="497" t="s">
        <v>389</v>
      </c>
      <c r="F40" s="140">
        <v>-499000000</v>
      </c>
      <c r="G40" s="8">
        <v>4</v>
      </c>
      <c r="H40" s="21">
        <f t="shared" si="8"/>
        <v>7796875</v>
      </c>
      <c r="I40" s="37" t="str">
        <f t="shared" si="9"/>
        <v>2;7401</v>
      </c>
      <c r="J40" s="38">
        <v>6</v>
      </c>
      <c r="K40" s="128">
        <f t="shared" si="10"/>
        <v>2.6111576619298695</v>
      </c>
      <c r="L40" s="39" t="str">
        <f>INDEX(powers!$H$2:$H$75,33+J40)</f>
        <v>dino cosmic</v>
      </c>
      <c r="M40" s="40" t="str">
        <f t="shared" si="11"/>
        <v>2</v>
      </c>
      <c r="N40" s="24">
        <f t="shared" si="12"/>
        <v>7.3338919431584344</v>
      </c>
      <c r="O40" s="41" t="str">
        <f t="shared" si="13"/>
        <v>7</v>
      </c>
      <c r="P40" s="24">
        <f t="shared" si="14"/>
        <v>4.0067033179012128</v>
      </c>
      <c r="Q40" s="41" t="str">
        <f t="shared" si="15"/>
        <v>4</v>
      </c>
      <c r="R40" s="24">
        <f t="shared" si="16"/>
        <v>8.0439814814553756E-2</v>
      </c>
      <c r="S40" s="41" t="str">
        <f t="shared" si="17"/>
        <v>0</v>
      </c>
      <c r="T40" s="24">
        <f t="shared" si="18"/>
        <v>0.96527777777464507</v>
      </c>
      <c r="U40" s="41" t="str">
        <f t="shared" si="19"/>
        <v>1</v>
      </c>
      <c r="V40" s="24">
        <f t="shared" si="20"/>
        <v>11.583333333295741</v>
      </c>
      <c r="W40" s="41" t="str">
        <f t="shared" si="21"/>
        <v/>
      </c>
      <c r="X40" s="24">
        <f t="shared" si="22"/>
        <v>6.9999999995488906</v>
      </c>
      <c r="Y40" s="41" t="str">
        <f t="shared" si="23"/>
        <v/>
      </c>
      <c r="Z40" s="24">
        <f t="shared" si="24"/>
        <v>11.999999994586688</v>
      </c>
      <c r="AA40" s="41" t="str">
        <f t="shared" si="25"/>
        <v/>
      </c>
      <c r="AB40" s="24">
        <f t="shared" si="26"/>
        <v>11.99999993504025</v>
      </c>
      <c r="AC40" s="41" t="str">
        <f t="shared" si="27"/>
        <v/>
      </c>
      <c r="AD40" s="24">
        <f t="shared" si="28"/>
        <v>11.999999220483005</v>
      </c>
      <c r="AE40" s="41" t="str">
        <f t="shared" si="29"/>
        <v/>
      </c>
      <c r="AF40" s="24">
        <f t="shared" si="30"/>
        <v>11.999990645796061</v>
      </c>
      <c r="AG40" s="41" t="str">
        <f t="shared" si="31"/>
        <v/>
      </c>
      <c r="AH40" s="24">
        <f t="shared" si="32"/>
        <v>11.999887749552727</v>
      </c>
      <c r="AI40" s="41" t="str">
        <f t="shared" si="33"/>
        <v/>
      </c>
      <c r="AJ40" s="24">
        <f t="shared" si="34"/>
        <v>11.998652994632721</v>
      </c>
      <c r="AK40" s="41" t="str">
        <f t="shared" si="35"/>
        <v/>
      </c>
    </row>
    <row r="41" spans="1:37" ht="13.5" customHeight="1" x14ac:dyDescent="0.2">
      <c r="A41" s="642"/>
      <c r="B41" s="636"/>
      <c r="C41" s="636"/>
      <c r="D41" s="636"/>
      <c r="E41" s="497" t="s">
        <v>390</v>
      </c>
      <c r="F41" s="140">
        <v>-496000000</v>
      </c>
      <c r="G41" s="8">
        <v>4</v>
      </c>
      <c r="H41" s="21">
        <f t="shared" si="8"/>
        <v>7750000</v>
      </c>
      <c r="I41" s="37" t="str">
        <f t="shared" si="9"/>
        <v>2;718E</v>
      </c>
      <c r="J41" s="38">
        <v>6</v>
      </c>
      <c r="K41" s="128">
        <f t="shared" si="10"/>
        <v>2.5954593192729765</v>
      </c>
      <c r="L41" s="39" t="str">
        <f>INDEX(powers!$H$2:$H$75,33+J41)</f>
        <v>dino cosmic</v>
      </c>
      <c r="M41" s="40" t="str">
        <f t="shared" si="11"/>
        <v>2</v>
      </c>
      <c r="N41" s="24">
        <f t="shared" si="12"/>
        <v>7.1455118312757175</v>
      </c>
      <c r="O41" s="41" t="str">
        <f t="shared" si="13"/>
        <v>7</v>
      </c>
      <c r="P41" s="24">
        <f t="shared" si="14"/>
        <v>1.7461419753086105</v>
      </c>
      <c r="Q41" s="41" t="str">
        <f t="shared" si="15"/>
        <v>1</v>
      </c>
      <c r="R41" s="24">
        <f t="shared" si="16"/>
        <v>8.9537037037033258</v>
      </c>
      <c r="S41" s="41" t="str">
        <f t="shared" si="17"/>
        <v>8</v>
      </c>
      <c r="T41" s="24">
        <f t="shared" si="18"/>
        <v>11.44444444443991</v>
      </c>
      <c r="U41" s="41" t="str">
        <f t="shared" si="19"/>
        <v>E</v>
      </c>
      <c r="V41" s="24">
        <f t="shared" si="20"/>
        <v>5.3333333332789152</v>
      </c>
      <c r="W41" s="41" t="str">
        <f t="shared" si="21"/>
        <v/>
      </c>
      <c r="X41" s="24">
        <f t="shared" si="22"/>
        <v>3.9999999993469828</v>
      </c>
      <c r="Y41" s="41" t="str">
        <f t="shared" si="23"/>
        <v/>
      </c>
      <c r="Z41" s="24">
        <f t="shared" si="24"/>
        <v>11.999999992163794</v>
      </c>
      <c r="AA41" s="41" t="str">
        <f t="shared" si="25"/>
        <v/>
      </c>
      <c r="AB41" s="24">
        <f t="shared" si="26"/>
        <v>11.999999905965524</v>
      </c>
      <c r="AC41" s="41" t="str">
        <f t="shared" si="27"/>
        <v/>
      </c>
      <c r="AD41" s="24">
        <f t="shared" si="28"/>
        <v>11.999998871586286</v>
      </c>
      <c r="AE41" s="41" t="str">
        <f t="shared" si="29"/>
        <v/>
      </c>
      <c r="AF41" s="24">
        <f t="shared" si="30"/>
        <v>11.999986459035426</v>
      </c>
      <c r="AG41" s="41" t="str">
        <f t="shared" si="31"/>
        <v/>
      </c>
      <c r="AH41" s="24">
        <f t="shared" si="32"/>
        <v>11.999837508425117</v>
      </c>
      <c r="AI41" s="41" t="str">
        <f t="shared" si="33"/>
        <v/>
      </c>
      <c r="AJ41" s="24">
        <f t="shared" si="34"/>
        <v>11.998050101101398</v>
      </c>
      <c r="AK41" s="41" t="str">
        <f t="shared" si="35"/>
        <v/>
      </c>
    </row>
    <row r="42" spans="1:37" ht="13.5" customHeight="1" x14ac:dyDescent="0.2">
      <c r="A42" s="642"/>
      <c r="B42" s="636"/>
      <c r="C42" s="637"/>
      <c r="D42" s="637"/>
      <c r="E42" s="497" t="s">
        <v>391</v>
      </c>
      <c r="F42" s="140">
        <v>-492000000</v>
      </c>
      <c r="G42" s="8">
        <v>4</v>
      </c>
      <c r="H42" s="21">
        <f t="shared" si="8"/>
        <v>7687500</v>
      </c>
      <c r="I42" s="37" t="str">
        <f t="shared" si="9"/>
        <v>2;6X89</v>
      </c>
      <c r="J42" s="38">
        <v>6</v>
      </c>
      <c r="K42" s="128">
        <f t="shared" si="10"/>
        <v>2.5745281957304527</v>
      </c>
      <c r="L42" s="39" t="str">
        <f>INDEX(powers!$H$2:$H$75,33+J42)</f>
        <v>dino cosmic</v>
      </c>
      <c r="M42" s="40" t="str">
        <f t="shared" si="11"/>
        <v>2</v>
      </c>
      <c r="N42" s="24">
        <f t="shared" si="12"/>
        <v>6.8943383487654319</v>
      </c>
      <c r="O42" s="41" t="str">
        <f t="shared" si="13"/>
        <v>6</v>
      </c>
      <c r="P42" s="24">
        <f t="shared" si="14"/>
        <v>10.732060185185183</v>
      </c>
      <c r="Q42" s="41" t="str">
        <f t="shared" si="15"/>
        <v>X</v>
      </c>
      <c r="R42" s="24">
        <f t="shared" si="16"/>
        <v>8.7847222222222001</v>
      </c>
      <c r="S42" s="41" t="str">
        <f t="shared" si="17"/>
        <v>8</v>
      </c>
      <c r="T42" s="24">
        <f t="shared" si="18"/>
        <v>9.4166666666664014</v>
      </c>
      <c r="U42" s="41" t="str">
        <f t="shared" si="19"/>
        <v>9</v>
      </c>
      <c r="V42" s="24">
        <f t="shared" si="20"/>
        <v>4.9999999999968168</v>
      </c>
      <c r="W42" s="41" t="str">
        <f t="shared" si="21"/>
        <v/>
      </c>
      <c r="X42" s="24">
        <f t="shared" si="22"/>
        <v>11.999999999961801</v>
      </c>
      <c r="Y42" s="41" t="str">
        <f t="shared" si="23"/>
        <v/>
      </c>
      <c r="Z42" s="24">
        <f t="shared" si="24"/>
        <v>11.999999999541615</v>
      </c>
      <c r="AA42" s="41" t="str">
        <f t="shared" si="25"/>
        <v/>
      </c>
      <c r="AB42" s="24">
        <f t="shared" si="26"/>
        <v>11.999999994499376</v>
      </c>
      <c r="AC42" s="41" t="str">
        <f t="shared" si="27"/>
        <v/>
      </c>
      <c r="AD42" s="24">
        <f t="shared" si="28"/>
        <v>11.999999933992513</v>
      </c>
      <c r="AE42" s="41" t="str">
        <f t="shared" si="29"/>
        <v/>
      </c>
      <c r="AF42" s="24">
        <f t="shared" si="30"/>
        <v>11.99999920791015</v>
      </c>
      <c r="AG42" s="41" t="str">
        <f t="shared" si="31"/>
        <v/>
      </c>
      <c r="AH42" s="24">
        <f t="shared" si="32"/>
        <v>11.999990494921803</v>
      </c>
      <c r="AI42" s="41" t="str">
        <f t="shared" si="33"/>
        <v/>
      </c>
      <c r="AJ42" s="24">
        <f t="shared" si="34"/>
        <v>11.999885939061642</v>
      </c>
      <c r="AK42" s="41" t="str">
        <f t="shared" si="35"/>
        <v/>
      </c>
    </row>
    <row r="43" spans="1:37" ht="13.5" customHeight="1" x14ac:dyDescent="0.2">
      <c r="A43" s="642"/>
      <c r="B43" s="636"/>
      <c r="C43" s="635" t="s">
        <v>392</v>
      </c>
      <c r="D43" s="635" t="s">
        <v>393</v>
      </c>
      <c r="E43" s="497" t="s">
        <v>394</v>
      </c>
      <c r="F43" s="140">
        <v>-488300000</v>
      </c>
      <c r="G43" s="8">
        <v>4</v>
      </c>
      <c r="H43" s="21">
        <f t="shared" si="8"/>
        <v>7629687.5</v>
      </c>
      <c r="I43" s="37" t="str">
        <f t="shared" si="9"/>
        <v>2;67E4</v>
      </c>
      <c r="J43" s="38">
        <v>6</v>
      </c>
      <c r="K43" s="128">
        <f t="shared" si="10"/>
        <v>2.5551669064536178</v>
      </c>
      <c r="L43" s="39" t="str">
        <f>INDEX(powers!$H$2:$H$75,33+J43)</f>
        <v>dino cosmic</v>
      </c>
      <c r="M43" s="40" t="str">
        <f t="shared" si="11"/>
        <v>2</v>
      </c>
      <c r="N43" s="24">
        <f t="shared" si="12"/>
        <v>6.6620028774434132</v>
      </c>
      <c r="O43" s="41" t="str">
        <f t="shared" si="13"/>
        <v>6</v>
      </c>
      <c r="P43" s="24">
        <f t="shared" si="14"/>
        <v>7.9440345293209589</v>
      </c>
      <c r="Q43" s="41" t="str">
        <f t="shared" si="15"/>
        <v>7</v>
      </c>
      <c r="R43" s="24">
        <f t="shared" si="16"/>
        <v>11.328414351851507</v>
      </c>
      <c r="S43" s="41" t="str">
        <f t="shared" si="17"/>
        <v>E</v>
      </c>
      <c r="T43" s="24">
        <f t="shared" si="18"/>
        <v>3.940972222218079</v>
      </c>
      <c r="U43" s="41" t="str">
        <f t="shared" si="19"/>
        <v>4</v>
      </c>
      <c r="V43" s="24">
        <f t="shared" si="20"/>
        <v>11.291666666616948</v>
      </c>
      <c r="W43" s="41" t="str">
        <f t="shared" si="21"/>
        <v/>
      </c>
      <c r="X43" s="24">
        <f t="shared" si="22"/>
        <v>3.4999999994033715</v>
      </c>
      <c r="Y43" s="41" t="str">
        <f t="shared" si="23"/>
        <v/>
      </c>
      <c r="Z43" s="24">
        <f t="shared" si="24"/>
        <v>5.9999999928404577</v>
      </c>
      <c r="AA43" s="41" t="str">
        <f t="shared" si="25"/>
        <v/>
      </c>
      <c r="AB43" s="24">
        <f t="shared" si="26"/>
        <v>11.999999914085492</v>
      </c>
      <c r="AC43" s="41" t="str">
        <f t="shared" si="27"/>
        <v/>
      </c>
      <c r="AD43" s="24">
        <f t="shared" si="28"/>
        <v>11.99999896902591</v>
      </c>
      <c r="AE43" s="41" t="str">
        <f t="shared" si="29"/>
        <v/>
      </c>
      <c r="AF43" s="24">
        <f t="shared" si="30"/>
        <v>11.999987628310919</v>
      </c>
      <c r="AG43" s="41" t="str">
        <f t="shared" si="31"/>
        <v/>
      </c>
      <c r="AH43" s="24">
        <f t="shared" si="32"/>
        <v>11.999851539731026</v>
      </c>
      <c r="AI43" s="41" t="str">
        <f t="shared" si="33"/>
        <v/>
      </c>
      <c r="AJ43" s="24">
        <f t="shared" si="34"/>
        <v>11.998218476772308</v>
      </c>
      <c r="AK43" s="41" t="str">
        <f t="shared" si="35"/>
        <v/>
      </c>
    </row>
    <row r="44" spans="1:37" ht="13.5" customHeight="1" x14ac:dyDescent="0.2">
      <c r="A44" s="642"/>
      <c r="B44" s="636"/>
      <c r="C44" s="636"/>
      <c r="D44" s="637"/>
      <c r="E44" s="497" t="s">
        <v>395</v>
      </c>
      <c r="F44" s="140">
        <v>-478600000</v>
      </c>
      <c r="G44" s="8">
        <v>4</v>
      </c>
      <c r="H44" s="21">
        <f t="shared" si="8"/>
        <v>7478125</v>
      </c>
      <c r="I44" s="37" t="str">
        <f t="shared" si="9"/>
        <v>2;6077</v>
      </c>
      <c r="J44" s="38">
        <v>6</v>
      </c>
      <c r="K44" s="128">
        <f t="shared" si="10"/>
        <v>2.5044089318629972</v>
      </c>
      <c r="L44" s="39" t="str">
        <f>INDEX(powers!$H$2:$H$75,33+J44)</f>
        <v>dino cosmic</v>
      </c>
      <c r="M44" s="40" t="str">
        <f t="shared" si="11"/>
        <v>2</v>
      </c>
      <c r="N44" s="24">
        <f t="shared" si="12"/>
        <v>6.0529071823559661</v>
      </c>
      <c r="O44" s="41" t="str">
        <f t="shared" si="13"/>
        <v>6</v>
      </c>
      <c r="P44" s="24">
        <f t="shared" si="14"/>
        <v>0.63488618827159371</v>
      </c>
      <c r="Q44" s="41" t="str">
        <f t="shared" si="15"/>
        <v>0</v>
      </c>
      <c r="R44" s="24">
        <f t="shared" si="16"/>
        <v>7.6186342592591245</v>
      </c>
      <c r="S44" s="41" t="str">
        <f t="shared" si="17"/>
        <v>7</v>
      </c>
      <c r="T44" s="24">
        <f t="shared" si="18"/>
        <v>7.4236111111094942</v>
      </c>
      <c r="U44" s="41" t="str">
        <f t="shared" si="19"/>
        <v>7</v>
      </c>
      <c r="V44" s="24">
        <f t="shared" si="20"/>
        <v>5.0833333333139308</v>
      </c>
      <c r="W44" s="41" t="str">
        <f t="shared" si="21"/>
        <v/>
      </c>
      <c r="X44" s="24">
        <f t="shared" si="22"/>
        <v>0.99999999976716936</v>
      </c>
      <c r="Y44" s="41" t="str">
        <f t="shared" si="23"/>
        <v/>
      </c>
      <c r="Z44" s="24">
        <f t="shared" si="24"/>
        <v>11.999999997206032</v>
      </c>
      <c r="AA44" s="41" t="str">
        <f t="shared" si="25"/>
        <v/>
      </c>
      <c r="AB44" s="24">
        <f t="shared" si="26"/>
        <v>11.999999966472387</v>
      </c>
      <c r="AC44" s="41" t="str">
        <f t="shared" si="27"/>
        <v/>
      </c>
      <c r="AD44" s="24">
        <f t="shared" si="28"/>
        <v>11.999999597668648</v>
      </c>
      <c r="AE44" s="41" t="str">
        <f t="shared" si="29"/>
        <v/>
      </c>
      <c r="AF44" s="24">
        <f t="shared" si="30"/>
        <v>11.999995172023773</v>
      </c>
      <c r="AG44" s="41" t="str">
        <f t="shared" si="31"/>
        <v/>
      </c>
      <c r="AH44" s="24">
        <f t="shared" si="32"/>
        <v>11.999942064285278</v>
      </c>
      <c r="AI44" s="41" t="str">
        <f t="shared" si="33"/>
        <v/>
      </c>
      <c r="AJ44" s="24">
        <f t="shared" si="34"/>
        <v>11.99930477142334</v>
      </c>
      <c r="AK44" s="41" t="str">
        <f t="shared" si="35"/>
        <v/>
      </c>
    </row>
    <row r="45" spans="1:37" ht="13.5" customHeight="1" x14ac:dyDescent="0.2">
      <c r="A45" s="642"/>
      <c r="B45" s="636"/>
      <c r="C45" s="636"/>
      <c r="D45" s="635" t="s">
        <v>396</v>
      </c>
      <c r="E45" s="497" t="s">
        <v>397</v>
      </c>
      <c r="F45" s="140">
        <v>-471800000</v>
      </c>
      <c r="G45" s="8">
        <v>4</v>
      </c>
      <c r="H45" s="21">
        <f t="shared" si="8"/>
        <v>7371875</v>
      </c>
      <c r="I45" s="37" t="str">
        <f t="shared" si="9"/>
        <v>2;5762</v>
      </c>
      <c r="J45" s="38">
        <v>6</v>
      </c>
      <c r="K45" s="128">
        <f t="shared" si="10"/>
        <v>2.4688260218407065</v>
      </c>
      <c r="L45" s="39" t="str">
        <f>INDEX(powers!$H$2:$H$75,33+J45)</f>
        <v>dino cosmic</v>
      </c>
      <c r="M45" s="40" t="str">
        <f t="shared" si="11"/>
        <v>2</v>
      </c>
      <c r="N45" s="24">
        <f t="shared" si="12"/>
        <v>5.6259122620884785</v>
      </c>
      <c r="O45" s="41" t="str">
        <f t="shared" si="13"/>
        <v>5</v>
      </c>
      <c r="P45" s="24">
        <f t="shared" si="14"/>
        <v>7.510947145061742</v>
      </c>
      <c r="Q45" s="41" t="str">
        <f t="shared" si="15"/>
        <v>7</v>
      </c>
      <c r="R45" s="24">
        <f t="shared" si="16"/>
        <v>6.1313657407409039</v>
      </c>
      <c r="S45" s="41" t="str">
        <f t="shared" si="17"/>
        <v>6</v>
      </c>
      <c r="T45" s="24">
        <f t="shared" si="18"/>
        <v>1.5763888888908468</v>
      </c>
      <c r="U45" s="41" t="str">
        <f t="shared" si="19"/>
        <v>2</v>
      </c>
      <c r="V45" s="24">
        <f t="shared" si="20"/>
        <v>6.9166666666901619</v>
      </c>
      <c r="W45" s="41" t="str">
        <f t="shared" si="21"/>
        <v/>
      </c>
      <c r="X45" s="24">
        <f t="shared" si="22"/>
        <v>11.000000000281943</v>
      </c>
      <c r="Y45" s="41" t="str">
        <f t="shared" si="23"/>
        <v/>
      </c>
      <c r="Z45" s="24">
        <f t="shared" si="24"/>
        <v>3.383320290595293E-9</v>
      </c>
      <c r="AA45" s="41" t="str">
        <f t="shared" si="25"/>
        <v/>
      </c>
      <c r="AB45" s="24">
        <f t="shared" si="26"/>
        <v>4.0599843487143517E-8</v>
      </c>
      <c r="AC45" s="41" t="str">
        <f t="shared" si="27"/>
        <v/>
      </c>
      <c r="AD45" s="24">
        <f t="shared" si="28"/>
        <v>4.871981218457222E-7</v>
      </c>
      <c r="AE45" s="41" t="str">
        <f t="shared" si="29"/>
        <v/>
      </c>
      <c r="AF45" s="24">
        <f t="shared" si="30"/>
        <v>5.8463774621486664E-6</v>
      </c>
      <c r="AG45" s="41" t="str">
        <f t="shared" si="31"/>
        <v/>
      </c>
      <c r="AH45" s="24">
        <f t="shared" si="32"/>
        <v>7.0156529545783997E-5</v>
      </c>
      <c r="AI45" s="41" t="str">
        <f t="shared" si="33"/>
        <v/>
      </c>
      <c r="AJ45" s="24">
        <f t="shared" si="34"/>
        <v>8.4187835454940796E-4</v>
      </c>
      <c r="AK45" s="41" t="str">
        <f t="shared" si="35"/>
        <v/>
      </c>
    </row>
    <row r="46" spans="1:37" ht="13.5" customHeight="1" x14ac:dyDescent="0.2">
      <c r="A46" s="642"/>
      <c r="B46" s="636"/>
      <c r="C46" s="636"/>
      <c r="D46" s="637"/>
      <c r="E46" s="497" t="s">
        <v>398</v>
      </c>
      <c r="F46" s="140">
        <v>-468100000</v>
      </c>
      <c r="G46" s="8">
        <v>4</v>
      </c>
      <c r="H46" s="21">
        <f t="shared" si="8"/>
        <v>7314062.5</v>
      </c>
      <c r="I46" s="37" t="str">
        <f t="shared" si="9"/>
        <v>2;5488</v>
      </c>
      <c r="J46" s="38">
        <v>6</v>
      </c>
      <c r="K46" s="128">
        <f t="shared" si="10"/>
        <v>2.4494647325638716</v>
      </c>
      <c r="L46" s="39" t="str">
        <f>INDEX(powers!$H$2:$H$75,33+J46)</f>
        <v>dino cosmic</v>
      </c>
      <c r="M46" s="40" t="str">
        <f t="shared" si="11"/>
        <v>2</v>
      </c>
      <c r="N46" s="24">
        <f t="shared" si="12"/>
        <v>5.3935767907664598</v>
      </c>
      <c r="O46" s="41" t="str">
        <f t="shared" si="13"/>
        <v>5</v>
      </c>
      <c r="P46" s="24">
        <f t="shared" si="14"/>
        <v>4.7229214891975175</v>
      </c>
      <c r="Q46" s="41" t="str">
        <f t="shared" si="15"/>
        <v>4</v>
      </c>
      <c r="R46" s="24">
        <f t="shared" si="16"/>
        <v>8.6750578703702104</v>
      </c>
      <c r="S46" s="41" t="str">
        <f t="shared" si="17"/>
        <v>8</v>
      </c>
      <c r="T46" s="24">
        <f t="shared" si="18"/>
        <v>8.1006944444425244</v>
      </c>
      <c r="U46" s="41" t="str">
        <f t="shared" si="19"/>
        <v>8</v>
      </c>
      <c r="V46" s="24">
        <f t="shared" si="20"/>
        <v>1.2083333333102928</v>
      </c>
      <c r="W46" s="41" t="str">
        <f t="shared" si="21"/>
        <v/>
      </c>
      <c r="X46" s="24">
        <f t="shared" si="22"/>
        <v>2.4999999997235136</v>
      </c>
      <c r="Y46" s="41" t="str">
        <f t="shared" si="23"/>
        <v/>
      </c>
      <c r="Z46" s="24">
        <f t="shared" si="24"/>
        <v>5.9999999966821633</v>
      </c>
      <c r="AA46" s="41" t="str">
        <f t="shared" si="25"/>
        <v/>
      </c>
      <c r="AB46" s="24">
        <f t="shared" si="26"/>
        <v>11.99999996018596</v>
      </c>
      <c r="AC46" s="41" t="str">
        <f t="shared" si="27"/>
        <v/>
      </c>
      <c r="AD46" s="24">
        <f t="shared" si="28"/>
        <v>11.999999522231519</v>
      </c>
      <c r="AE46" s="41" t="str">
        <f t="shared" si="29"/>
        <v/>
      </c>
      <c r="AF46" s="24">
        <f t="shared" si="30"/>
        <v>11.999994266778231</v>
      </c>
      <c r="AG46" s="41" t="str">
        <f t="shared" si="31"/>
        <v/>
      </c>
      <c r="AH46" s="24">
        <f t="shared" si="32"/>
        <v>11.999931201338768</v>
      </c>
      <c r="AI46" s="41" t="str">
        <f t="shared" si="33"/>
        <v/>
      </c>
      <c r="AJ46" s="24">
        <f t="shared" si="34"/>
        <v>11.999174416065216</v>
      </c>
      <c r="AK46" s="41" t="str">
        <f t="shared" si="35"/>
        <v/>
      </c>
    </row>
    <row r="47" spans="1:37" ht="13.5" customHeight="1" x14ac:dyDescent="0.2">
      <c r="A47" s="642"/>
      <c r="B47" s="636"/>
      <c r="C47" s="636"/>
      <c r="D47" s="635" t="s">
        <v>399</v>
      </c>
      <c r="E47" s="497" t="s">
        <v>400</v>
      </c>
      <c r="F47" s="140">
        <v>-460900000</v>
      </c>
      <c r="G47" s="8">
        <v>4</v>
      </c>
      <c r="H47" s="21">
        <f t="shared" si="8"/>
        <v>7201562.5</v>
      </c>
      <c r="I47" s="37" t="str">
        <f t="shared" si="9"/>
        <v>2;4E37</v>
      </c>
      <c r="J47" s="38">
        <v>6</v>
      </c>
      <c r="K47" s="128">
        <f t="shared" si="10"/>
        <v>2.4117887101873285</v>
      </c>
      <c r="L47" s="39" t="str">
        <f>INDEX(powers!$H$2:$H$75,33+J47)</f>
        <v>dino cosmic</v>
      </c>
      <c r="M47" s="40" t="str">
        <f t="shared" si="11"/>
        <v>2</v>
      </c>
      <c r="N47" s="24">
        <f t="shared" si="12"/>
        <v>4.9414645222479425</v>
      </c>
      <c r="O47" s="41" t="str">
        <f t="shared" si="13"/>
        <v>4</v>
      </c>
      <c r="P47" s="24">
        <f t="shared" si="14"/>
        <v>11.29757426697531</v>
      </c>
      <c r="Q47" s="41" t="str">
        <f t="shared" si="15"/>
        <v>E</v>
      </c>
      <c r="R47" s="24">
        <f t="shared" si="16"/>
        <v>3.5708912037037237</v>
      </c>
      <c r="S47" s="41" t="str">
        <f t="shared" si="17"/>
        <v>3</v>
      </c>
      <c r="T47" s="24">
        <f t="shared" si="18"/>
        <v>6.8506944444446844</v>
      </c>
      <c r="U47" s="41" t="str">
        <f t="shared" si="19"/>
        <v>7</v>
      </c>
      <c r="V47" s="24">
        <f t="shared" si="20"/>
        <v>10.208333333336213</v>
      </c>
      <c r="W47" s="41" t="str">
        <f t="shared" si="21"/>
        <v/>
      </c>
      <c r="X47" s="24">
        <f t="shared" si="22"/>
        <v>2.5000000000345608</v>
      </c>
      <c r="Y47" s="41" t="str">
        <f t="shared" si="23"/>
        <v/>
      </c>
      <c r="Z47" s="24">
        <f t="shared" si="24"/>
        <v>6.0000000004147296</v>
      </c>
      <c r="AA47" s="41" t="str">
        <f t="shared" si="25"/>
        <v/>
      </c>
      <c r="AB47" s="24">
        <f t="shared" si="26"/>
        <v>4.9767550081014633E-9</v>
      </c>
      <c r="AC47" s="41" t="str">
        <f t="shared" si="27"/>
        <v/>
      </c>
      <c r="AD47" s="24">
        <f t="shared" si="28"/>
        <v>5.972106009721756E-8</v>
      </c>
      <c r="AE47" s="41" t="str">
        <f t="shared" si="29"/>
        <v/>
      </c>
      <c r="AF47" s="24">
        <f t="shared" si="30"/>
        <v>7.1665272116661072E-7</v>
      </c>
      <c r="AG47" s="41" t="str">
        <f t="shared" si="31"/>
        <v/>
      </c>
      <c r="AH47" s="24">
        <f t="shared" si="32"/>
        <v>8.5998326539993286E-6</v>
      </c>
      <c r="AI47" s="41" t="str">
        <f t="shared" si="33"/>
        <v/>
      </c>
      <c r="AJ47" s="24">
        <f t="shared" si="34"/>
        <v>1.0319799184799194E-4</v>
      </c>
      <c r="AK47" s="41" t="str">
        <f t="shared" si="35"/>
        <v/>
      </c>
    </row>
    <row r="48" spans="1:37" ht="13.5" customHeight="1" x14ac:dyDescent="0.2">
      <c r="A48" s="642"/>
      <c r="B48" s="636"/>
      <c r="C48" s="636"/>
      <c r="D48" s="636"/>
      <c r="E48" s="497" t="s">
        <v>401</v>
      </c>
      <c r="F48" s="140">
        <v>-455800000</v>
      </c>
      <c r="G48" s="8">
        <v>4</v>
      </c>
      <c r="H48" s="21">
        <f t="shared" si="8"/>
        <v>7121875</v>
      </c>
      <c r="I48" s="37" t="str">
        <f t="shared" si="9"/>
        <v>2;4755</v>
      </c>
      <c r="J48" s="38">
        <v>6</v>
      </c>
      <c r="K48" s="128">
        <f t="shared" si="10"/>
        <v>2.3851015276706105</v>
      </c>
      <c r="L48" s="39" t="str">
        <f>INDEX(powers!$H$2:$H$75,33+J48)</f>
        <v>dino cosmic</v>
      </c>
      <c r="M48" s="40" t="str">
        <f t="shared" si="11"/>
        <v>2</v>
      </c>
      <c r="N48" s="24">
        <f t="shared" si="12"/>
        <v>4.6212183320473255</v>
      </c>
      <c r="O48" s="41" t="str">
        <f t="shared" si="13"/>
        <v>4</v>
      </c>
      <c r="P48" s="24">
        <f t="shared" si="14"/>
        <v>7.4546199845679055</v>
      </c>
      <c r="Q48" s="41" t="str">
        <f t="shared" si="15"/>
        <v>7</v>
      </c>
      <c r="R48" s="24">
        <f t="shared" si="16"/>
        <v>5.4554398148148664</v>
      </c>
      <c r="S48" s="41" t="str">
        <f t="shared" si="17"/>
        <v>5</v>
      </c>
      <c r="T48" s="24">
        <f t="shared" si="18"/>
        <v>5.4652777777783967</v>
      </c>
      <c r="U48" s="41" t="str">
        <f t="shared" si="19"/>
        <v>5</v>
      </c>
      <c r="V48" s="24">
        <f t="shared" si="20"/>
        <v>5.5833333333407609</v>
      </c>
      <c r="W48" s="41" t="str">
        <f t="shared" si="21"/>
        <v/>
      </c>
      <c r="X48" s="24">
        <f t="shared" si="22"/>
        <v>7.0000000000891305</v>
      </c>
      <c r="Y48" s="41" t="str">
        <f t="shared" si="23"/>
        <v/>
      </c>
      <c r="Z48" s="24">
        <f t="shared" si="24"/>
        <v>1.0695657692849636E-9</v>
      </c>
      <c r="AA48" s="41" t="str">
        <f t="shared" si="25"/>
        <v/>
      </c>
      <c r="AB48" s="24">
        <f t="shared" si="26"/>
        <v>1.2834789231419563E-8</v>
      </c>
      <c r="AC48" s="41" t="str">
        <f t="shared" si="27"/>
        <v/>
      </c>
      <c r="AD48" s="24">
        <f t="shared" si="28"/>
        <v>1.5401747077703476E-7</v>
      </c>
      <c r="AE48" s="41" t="str">
        <f t="shared" si="29"/>
        <v/>
      </c>
      <c r="AF48" s="24">
        <f t="shared" si="30"/>
        <v>1.8482096493244171E-6</v>
      </c>
      <c r="AG48" s="41" t="str">
        <f t="shared" si="31"/>
        <v/>
      </c>
      <c r="AH48" s="24">
        <f t="shared" si="32"/>
        <v>2.2178515791893005E-5</v>
      </c>
      <c r="AI48" s="41" t="str">
        <f t="shared" si="33"/>
        <v/>
      </c>
      <c r="AJ48" s="24">
        <f t="shared" si="34"/>
        <v>2.6614218950271606E-4</v>
      </c>
      <c r="AK48" s="41" t="str">
        <f t="shared" si="35"/>
        <v/>
      </c>
    </row>
    <row r="49" spans="1:37" ht="13.5" customHeight="1" x14ac:dyDescent="0.2">
      <c r="A49" s="642"/>
      <c r="B49" s="636"/>
      <c r="C49" s="637"/>
      <c r="D49" s="637"/>
      <c r="E49" s="497" t="s">
        <v>402</v>
      </c>
      <c r="F49" s="140">
        <v>-445600000</v>
      </c>
      <c r="G49" s="8">
        <v>4</v>
      </c>
      <c r="H49" s="21">
        <f t="shared" si="8"/>
        <v>6962500</v>
      </c>
      <c r="I49" s="37" t="str">
        <f t="shared" si="9"/>
        <v>2;3E93</v>
      </c>
      <c r="J49" s="38">
        <v>6</v>
      </c>
      <c r="K49" s="128">
        <f t="shared" si="10"/>
        <v>2.3317271626371743</v>
      </c>
      <c r="L49" s="39" t="str">
        <f>INDEX(powers!$H$2:$H$75,33+J49)</f>
        <v>dino cosmic</v>
      </c>
      <c r="M49" s="40" t="str">
        <f t="shared" si="11"/>
        <v>2</v>
      </c>
      <c r="N49" s="24">
        <f t="shared" si="12"/>
        <v>3.9807259516460913</v>
      </c>
      <c r="O49" s="41" t="str">
        <f t="shared" si="13"/>
        <v>3</v>
      </c>
      <c r="P49" s="24">
        <f t="shared" si="14"/>
        <v>11.768711419753096</v>
      </c>
      <c r="Q49" s="41" t="str">
        <f t="shared" si="15"/>
        <v>E</v>
      </c>
      <c r="R49" s="24">
        <f t="shared" si="16"/>
        <v>9.2245370370371518</v>
      </c>
      <c r="S49" s="41" t="str">
        <f t="shared" si="17"/>
        <v>9</v>
      </c>
      <c r="T49" s="24">
        <f t="shared" si="18"/>
        <v>2.6944444444458213</v>
      </c>
      <c r="U49" s="41" t="str">
        <f t="shared" si="19"/>
        <v>3</v>
      </c>
      <c r="V49" s="24">
        <f t="shared" si="20"/>
        <v>8.3333333333498558</v>
      </c>
      <c r="W49" s="41" t="str">
        <f t="shared" si="21"/>
        <v/>
      </c>
      <c r="X49" s="24">
        <f t="shared" si="22"/>
        <v>4.0000000001982698</v>
      </c>
      <c r="Y49" s="41" t="str">
        <f t="shared" si="23"/>
        <v/>
      </c>
      <c r="Z49" s="24">
        <f t="shared" si="24"/>
        <v>2.3792381398379803E-9</v>
      </c>
      <c r="AA49" s="41" t="str">
        <f t="shared" si="25"/>
        <v/>
      </c>
      <c r="AB49" s="24">
        <f t="shared" si="26"/>
        <v>2.8550857678055763E-8</v>
      </c>
      <c r="AC49" s="41" t="str">
        <f t="shared" si="27"/>
        <v/>
      </c>
      <c r="AD49" s="24">
        <f t="shared" si="28"/>
        <v>3.4261029213666916E-7</v>
      </c>
      <c r="AE49" s="41" t="str">
        <f t="shared" si="29"/>
        <v/>
      </c>
      <c r="AF49" s="24">
        <f t="shared" si="30"/>
        <v>4.1113235056400299E-6</v>
      </c>
      <c r="AG49" s="41" t="str">
        <f t="shared" si="31"/>
        <v/>
      </c>
      <c r="AH49" s="24">
        <f t="shared" si="32"/>
        <v>4.9335882067680359E-5</v>
      </c>
      <c r="AI49" s="41" t="str">
        <f t="shared" si="33"/>
        <v/>
      </c>
      <c r="AJ49" s="24">
        <f t="shared" si="34"/>
        <v>5.9203058481216431E-4</v>
      </c>
      <c r="AK49" s="41" t="str">
        <f t="shared" si="35"/>
        <v/>
      </c>
    </row>
    <row r="50" spans="1:37" ht="13.5" customHeight="1" x14ac:dyDescent="0.2">
      <c r="A50" s="642"/>
      <c r="B50" s="636"/>
      <c r="C50" s="635" t="s">
        <v>403</v>
      </c>
      <c r="D50" s="635" t="s">
        <v>404</v>
      </c>
      <c r="E50" s="497" t="s">
        <v>405</v>
      </c>
      <c r="F50" s="140">
        <v>-443700000</v>
      </c>
      <c r="G50" s="8">
        <v>4</v>
      </c>
      <c r="H50" s="21">
        <f t="shared" si="8"/>
        <v>6932812.5</v>
      </c>
      <c r="I50" s="37" t="str">
        <f t="shared" si="9"/>
        <v>2;3X41</v>
      </c>
      <c r="J50" s="38">
        <v>6</v>
      </c>
      <c r="K50" s="128">
        <f t="shared" si="10"/>
        <v>2.3217848789544755</v>
      </c>
      <c r="L50" s="39" t="str">
        <f>INDEX(powers!$H$2:$H$75,33+J50)</f>
        <v>dino cosmic</v>
      </c>
      <c r="M50" s="40" t="str">
        <f t="shared" si="11"/>
        <v>2</v>
      </c>
      <c r="N50" s="24">
        <f t="shared" si="12"/>
        <v>3.8614185474537059</v>
      </c>
      <c r="O50" s="41" t="str">
        <f t="shared" si="13"/>
        <v>3</v>
      </c>
      <c r="P50" s="24">
        <f t="shared" si="14"/>
        <v>10.337022569444471</v>
      </c>
      <c r="Q50" s="41" t="str">
        <f t="shared" si="15"/>
        <v>X</v>
      </c>
      <c r="R50" s="24">
        <f t="shared" si="16"/>
        <v>4.0442708333336554</v>
      </c>
      <c r="S50" s="41" t="str">
        <f t="shared" si="17"/>
        <v>4</v>
      </c>
      <c r="T50" s="24">
        <f t="shared" si="18"/>
        <v>0.53125000000386535</v>
      </c>
      <c r="U50" s="41" t="str">
        <f t="shared" si="19"/>
        <v>1</v>
      </c>
      <c r="V50" s="24">
        <f t="shared" si="20"/>
        <v>6.3750000000463842</v>
      </c>
      <c r="W50" s="41" t="str">
        <f t="shared" si="21"/>
        <v/>
      </c>
      <c r="X50" s="24">
        <f t="shared" si="22"/>
        <v>4.5000000005566108</v>
      </c>
      <c r="Y50" s="41" t="str">
        <f t="shared" si="23"/>
        <v/>
      </c>
      <c r="Z50" s="24">
        <f t="shared" si="24"/>
        <v>6.0000000066793291</v>
      </c>
      <c r="AA50" s="41" t="str">
        <f t="shared" si="25"/>
        <v/>
      </c>
      <c r="AB50" s="24">
        <f t="shared" si="26"/>
        <v>8.015194907784462E-8</v>
      </c>
      <c r="AC50" s="41" t="str">
        <f t="shared" si="27"/>
        <v/>
      </c>
      <c r="AD50" s="24">
        <f t="shared" si="28"/>
        <v>9.6182338893413544E-7</v>
      </c>
      <c r="AE50" s="41" t="str">
        <f t="shared" si="29"/>
        <v/>
      </c>
      <c r="AF50" s="24">
        <f t="shared" si="30"/>
        <v>1.1541880667209625E-5</v>
      </c>
      <c r="AG50" s="41" t="str">
        <f t="shared" si="31"/>
        <v/>
      </c>
      <c r="AH50" s="24">
        <f t="shared" si="32"/>
        <v>1.385025680065155E-4</v>
      </c>
      <c r="AI50" s="41" t="str">
        <f t="shared" si="33"/>
        <v/>
      </c>
      <c r="AJ50" s="24">
        <f t="shared" si="34"/>
        <v>1.662030816078186E-3</v>
      </c>
      <c r="AK50" s="41" t="str">
        <f t="shared" si="35"/>
        <v/>
      </c>
    </row>
    <row r="51" spans="1:37" ht="13.5" customHeight="1" x14ac:dyDescent="0.2">
      <c r="A51" s="642"/>
      <c r="B51" s="636"/>
      <c r="C51" s="636"/>
      <c r="D51" s="636"/>
      <c r="E51" s="497" t="s">
        <v>406</v>
      </c>
      <c r="F51" s="140">
        <v>-439000000</v>
      </c>
      <c r="G51" s="8">
        <v>4</v>
      </c>
      <c r="H51" s="21">
        <f t="shared" si="8"/>
        <v>6859375</v>
      </c>
      <c r="I51" s="37" t="str">
        <f t="shared" si="9"/>
        <v>2;3697</v>
      </c>
      <c r="J51" s="38">
        <v>6</v>
      </c>
      <c r="K51" s="128">
        <f t="shared" si="10"/>
        <v>2.2971908087920094</v>
      </c>
      <c r="L51" s="39" t="str">
        <f>INDEX(powers!$H$2:$H$75,33+J51)</f>
        <v>dino cosmic</v>
      </c>
      <c r="M51" s="40" t="str">
        <f t="shared" si="11"/>
        <v>2</v>
      </c>
      <c r="N51" s="24">
        <f t="shared" si="12"/>
        <v>3.5662897055041132</v>
      </c>
      <c r="O51" s="41" t="str">
        <f t="shared" si="13"/>
        <v>3</v>
      </c>
      <c r="P51" s="24">
        <f t="shared" si="14"/>
        <v>6.7954764660493581</v>
      </c>
      <c r="Q51" s="41" t="str">
        <f t="shared" si="15"/>
        <v>6</v>
      </c>
      <c r="R51" s="24">
        <f t="shared" si="16"/>
        <v>9.5457175925922968</v>
      </c>
      <c r="S51" s="41" t="str">
        <f t="shared" si="17"/>
        <v>9</v>
      </c>
      <c r="T51" s="24">
        <f t="shared" si="18"/>
        <v>6.5486111111075616</v>
      </c>
      <c r="U51" s="41" t="str">
        <f t="shared" si="19"/>
        <v>7</v>
      </c>
      <c r="V51" s="24">
        <f t="shared" si="20"/>
        <v>6.5833333332907387</v>
      </c>
      <c r="W51" s="41" t="str">
        <f t="shared" si="21"/>
        <v/>
      </c>
      <c r="X51" s="24">
        <f t="shared" si="22"/>
        <v>6.999999999488864</v>
      </c>
      <c r="Y51" s="41" t="str">
        <f t="shared" si="23"/>
        <v/>
      </c>
      <c r="Z51" s="24">
        <f t="shared" si="24"/>
        <v>11.999999993866368</v>
      </c>
      <c r="AA51" s="41" t="str">
        <f t="shared" si="25"/>
        <v/>
      </c>
      <c r="AB51" s="24">
        <f t="shared" si="26"/>
        <v>11.999999926396413</v>
      </c>
      <c r="AC51" s="41" t="str">
        <f t="shared" si="27"/>
        <v/>
      </c>
      <c r="AD51" s="24">
        <f t="shared" si="28"/>
        <v>11.999999116756953</v>
      </c>
      <c r="AE51" s="41" t="str">
        <f t="shared" si="29"/>
        <v/>
      </c>
      <c r="AF51" s="24">
        <f t="shared" si="30"/>
        <v>11.99998940108344</v>
      </c>
      <c r="AG51" s="41" t="str">
        <f t="shared" si="31"/>
        <v/>
      </c>
      <c r="AH51" s="24">
        <f t="shared" si="32"/>
        <v>11.999872813001275</v>
      </c>
      <c r="AI51" s="41" t="str">
        <f t="shared" si="33"/>
        <v/>
      </c>
      <c r="AJ51" s="24">
        <f t="shared" si="34"/>
        <v>11.998473756015301</v>
      </c>
      <c r="AK51" s="41" t="str">
        <f t="shared" si="35"/>
        <v/>
      </c>
    </row>
    <row r="52" spans="1:37" ht="13.5" customHeight="1" x14ac:dyDescent="0.2">
      <c r="A52" s="642"/>
      <c r="B52" s="636"/>
      <c r="C52" s="636"/>
      <c r="D52" s="637"/>
      <c r="E52" s="497" t="s">
        <v>407</v>
      </c>
      <c r="F52" s="140">
        <v>-436000000</v>
      </c>
      <c r="G52" s="8">
        <v>4</v>
      </c>
      <c r="H52" s="21">
        <f t="shared" si="8"/>
        <v>6812500</v>
      </c>
      <c r="I52" s="37" t="str">
        <f t="shared" si="9"/>
        <v>2;3465</v>
      </c>
      <c r="J52" s="38">
        <v>6</v>
      </c>
      <c r="K52" s="128">
        <f t="shared" si="10"/>
        <v>2.2814924661351168</v>
      </c>
      <c r="L52" s="39" t="str">
        <f>INDEX(powers!$H$2:$H$75,33+J52)</f>
        <v>dino cosmic</v>
      </c>
      <c r="M52" s="40" t="str">
        <f t="shared" si="11"/>
        <v>2</v>
      </c>
      <c r="N52" s="24">
        <f t="shared" si="12"/>
        <v>3.3779095936214016</v>
      </c>
      <c r="O52" s="41" t="str">
        <f t="shared" si="13"/>
        <v>3</v>
      </c>
      <c r="P52" s="24">
        <f t="shared" si="14"/>
        <v>4.5349151234568197</v>
      </c>
      <c r="Q52" s="41" t="str">
        <f t="shared" si="15"/>
        <v>4</v>
      </c>
      <c r="R52" s="24">
        <f t="shared" si="16"/>
        <v>6.4189814814818362</v>
      </c>
      <c r="S52" s="41" t="str">
        <f t="shared" si="17"/>
        <v>6</v>
      </c>
      <c r="T52" s="24">
        <f t="shared" si="18"/>
        <v>5.0277777777820347</v>
      </c>
      <c r="U52" s="41" t="str">
        <f t="shared" si="19"/>
        <v>5</v>
      </c>
      <c r="V52" s="24">
        <f t="shared" si="20"/>
        <v>0.33333333338441662</v>
      </c>
      <c r="W52" s="41" t="str">
        <f t="shared" si="21"/>
        <v/>
      </c>
      <c r="X52" s="24">
        <f t="shared" si="22"/>
        <v>4.0000000006129994</v>
      </c>
      <c r="Y52" s="41" t="str">
        <f t="shared" si="23"/>
        <v/>
      </c>
      <c r="Z52" s="24">
        <f t="shared" si="24"/>
        <v>7.3559931479394436E-9</v>
      </c>
      <c r="AA52" s="41" t="str">
        <f t="shared" si="25"/>
        <v/>
      </c>
      <c r="AB52" s="24">
        <f t="shared" si="26"/>
        <v>8.8271917775273323E-8</v>
      </c>
      <c r="AC52" s="41" t="str">
        <f t="shared" si="27"/>
        <v/>
      </c>
      <c r="AD52" s="24">
        <f t="shared" si="28"/>
        <v>1.0592630133032799E-6</v>
      </c>
      <c r="AE52" s="41" t="str">
        <f t="shared" si="29"/>
        <v/>
      </c>
      <c r="AF52" s="24">
        <f t="shared" si="30"/>
        <v>1.2711156159639359E-5</v>
      </c>
      <c r="AG52" s="41" t="str">
        <f t="shared" si="31"/>
        <v/>
      </c>
      <c r="AH52" s="24">
        <f t="shared" si="32"/>
        <v>1.525338739156723E-4</v>
      </c>
      <c r="AI52" s="41" t="str">
        <f t="shared" si="33"/>
        <v/>
      </c>
      <c r="AJ52" s="24">
        <f t="shared" si="34"/>
        <v>1.8304064869880676E-3</v>
      </c>
      <c r="AK52" s="41" t="str">
        <f t="shared" si="35"/>
        <v/>
      </c>
    </row>
    <row r="53" spans="1:37" ht="13.5" customHeight="1" x14ac:dyDescent="0.2">
      <c r="A53" s="642"/>
      <c r="B53" s="636"/>
      <c r="C53" s="636"/>
      <c r="D53" s="635" t="s">
        <v>408</v>
      </c>
      <c r="E53" s="497" t="s">
        <v>409</v>
      </c>
      <c r="F53" s="140">
        <v>-428200000</v>
      </c>
      <c r="G53" s="8">
        <v>4</v>
      </c>
      <c r="H53" s="21">
        <f t="shared" si="8"/>
        <v>6690625</v>
      </c>
      <c r="I53" s="37" t="str">
        <f t="shared" si="9"/>
        <v>2;2X7E</v>
      </c>
      <c r="J53" s="38">
        <v>6</v>
      </c>
      <c r="K53" s="128">
        <f t="shared" si="10"/>
        <v>2.240676775227195</v>
      </c>
      <c r="L53" s="39" t="str">
        <f>INDEX(powers!$H$2:$H$75,33+J53)</f>
        <v>dino cosmic</v>
      </c>
      <c r="M53" s="40" t="str">
        <f t="shared" si="11"/>
        <v>2</v>
      </c>
      <c r="N53" s="24">
        <f t="shared" si="12"/>
        <v>2.8881213027263399</v>
      </c>
      <c r="O53" s="41" t="str">
        <f t="shared" si="13"/>
        <v>2</v>
      </c>
      <c r="P53" s="24">
        <f t="shared" si="14"/>
        <v>10.657455632716079</v>
      </c>
      <c r="Q53" s="41" t="str">
        <f t="shared" si="15"/>
        <v>X</v>
      </c>
      <c r="R53" s="24">
        <f t="shared" si="16"/>
        <v>7.8894675925929505</v>
      </c>
      <c r="S53" s="41" t="str">
        <f t="shared" si="17"/>
        <v>7</v>
      </c>
      <c r="T53" s="24">
        <f t="shared" si="18"/>
        <v>10.673611111115406</v>
      </c>
      <c r="U53" s="41" t="str">
        <f t="shared" si="19"/>
        <v>E</v>
      </c>
      <c r="V53" s="24">
        <f t="shared" si="20"/>
        <v>8.0833333333848714</v>
      </c>
      <c r="W53" s="41" t="str">
        <f t="shared" si="21"/>
        <v/>
      </c>
      <c r="X53" s="24">
        <f t="shared" si="22"/>
        <v>1.0000000006184564</v>
      </c>
      <c r="Y53" s="41" t="str">
        <f t="shared" si="23"/>
        <v/>
      </c>
      <c r="Z53" s="24">
        <f t="shared" si="24"/>
        <v>7.4214767664670944E-9</v>
      </c>
      <c r="AA53" s="41" t="str">
        <f t="shared" si="25"/>
        <v/>
      </c>
      <c r="AB53" s="24">
        <f t="shared" si="26"/>
        <v>8.9057721197605133E-8</v>
      </c>
      <c r="AC53" s="41" t="str">
        <f t="shared" si="27"/>
        <v/>
      </c>
      <c r="AD53" s="24">
        <f t="shared" si="28"/>
        <v>1.0686926543712616E-6</v>
      </c>
      <c r="AE53" s="41" t="str">
        <f t="shared" si="29"/>
        <v/>
      </c>
      <c r="AF53" s="24">
        <f t="shared" si="30"/>
        <v>1.2824311852455139E-5</v>
      </c>
      <c r="AG53" s="41" t="str">
        <f t="shared" si="31"/>
        <v/>
      </c>
      <c r="AH53" s="24">
        <f t="shared" si="32"/>
        <v>1.5389174222946167E-4</v>
      </c>
      <c r="AI53" s="41" t="str">
        <f t="shared" si="33"/>
        <v/>
      </c>
      <c r="AJ53" s="24">
        <f t="shared" si="34"/>
        <v>1.84670090675354E-3</v>
      </c>
      <c r="AK53" s="41" t="str">
        <f t="shared" si="35"/>
        <v/>
      </c>
    </row>
    <row r="54" spans="1:37" ht="13.5" customHeight="1" x14ac:dyDescent="0.2">
      <c r="A54" s="642"/>
      <c r="B54" s="636"/>
      <c r="C54" s="636"/>
      <c r="D54" s="637"/>
      <c r="E54" s="497" t="s">
        <v>410</v>
      </c>
      <c r="F54" s="140">
        <v>-432620000</v>
      </c>
      <c r="G54" s="8">
        <v>4</v>
      </c>
      <c r="H54" s="21">
        <f t="shared" si="8"/>
        <v>6759687.5</v>
      </c>
      <c r="I54" s="37" t="str">
        <f t="shared" si="9"/>
        <v>2;31EX</v>
      </c>
      <c r="J54" s="38">
        <v>6</v>
      </c>
      <c r="K54" s="128">
        <f t="shared" si="10"/>
        <v>2.2638056667416837</v>
      </c>
      <c r="L54" s="39" t="str">
        <f>INDEX(powers!$H$2:$H$75,33+J54)</f>
        <v>dino cosmic</v>
      </c>
      <c r="M54" s="40" t="str">
        <f t="shared" si="11"/>
        <v>2</v>
      </c>
      <c r="N54" s="24">
        <f t="shared" si="12"/>
        <v>3.1656680009002045</v>
      </c>
      <c r="O54" s="41" t="str">
        <f t="shared" si="13"/>
        <v>3</v>
      </c>
      <c r="P54" s="24">
        <f t="shared" si="14"/>
        <v>1.988016010802454</v>
      </c>
      <c r="Q54" s="41" t="str">
        <f t="shared" si="15"/>
        <v>1</v>
      </c>
      <c r="R54" s="24">
        <f t="shared" si="16"/>
        <v>11.856192129629449</v>
      </c>
      <c r="S54" s="41" t="str">
        <f t="shared" si="17"/>
        <v>E</v>
      </c>
      <c r="T54" s="24">
        <f t="shared" si="18"/>
        <v>10.274305555553383</v>
      </c>
      <c r="U54" s="41" t="str">
        <f t="shared" si="19"/>
        <v>X</v>
      </c>
      <c r="V54" s="24">
        <f t="shared" si="20"/>
        <v>3.2916666666405945</v>
      </c>
      <c r="W54" s="41" t="str">
        <f t="shared" si="21"/>
        <v/>
      </c>
      <c r="X54" s="24">
        <f t="shared" si="22"/>
        <v>3.4999999996871338</v>
      </c>
      <c r="Y54" s="41" t="str">
        <f t="shared" si="23"/>
        <v/>
      </c>
      <c r="Z54" s="24">
        <f t="shared" si="24"/>
        <v>5.9999999962456059</v>
      </c>
      <c r="AA54" s="41" t="str">
        <f t="shared" si="25"/>
        <v/>
      </c>
      <c r="AB54" s="24">
        <f t="shared" si="26"/>
        <v>11.99999995494727</v>
      </c>
      <c r="AC54" s="41" t="str">
        <f t="shared" si="27"/>
        <v/>
      </c>
      <c r="AD54" s="24">
        <f t="shared" si="28"/>
        <v>11.999999459367245</v>
      </c>
      <c r="AE54" s="41" t="str">
        <f t="shared" si="29"/>
        <v/>
      </c>
      <c r="AF54" s="24">
        <f t="shared" si="30"/>
        <v>11.999993512406945</v>
      </c>
      <c r="AG54" s="41" t="str">
        <f t="shared" si="31"/>
        <v/>
      </c>
      <c r="AH54" s="24">
        <f t="shared" si="32"/>
        <v>11.999922148883343</v>
      </c>
      <c r="AI54" s="41" t="str">
        <f t="shared" si="33"/>
        <v/>
      </c>
      <c r="AJ54" s="24">
        <f t="shared" si="34"/>
        <v>11.999065786600113</v>
      </c>
      <c r="AK54" s="41" t="str">
        <f t="shared" si="35"/>
        <v/>
      </c>
    </row>
    <row r="55" spans="1:37" ht="13.5" customHeight="1" x14ac:dyDescent="0.2">
      <c r="A55" s="642"/>
      <c r="B55" s="636"/>
      <c r="C55" s="636"/>
      <c r="D55" s="635" t="s">
        <v>411</v>
      </c>
      <c r="E55" s="497" t="s">
        <v>412</v>
      </c>
      <c r="F55" s="140">
        <v>-422900000</v>
      </c>
      <c r="G55" s="8">
        <v>4</v>
      </c>
      <c r="H55" s="21">
        <f t="shared" si="8"/>
        <v>6607812.5</v>
      </c>
      <c r="I55" s="37" t="str">
        <f t="shared" si="9"/>
        <v>2;267</v>
      </c>
      <c r="J55" s="38">
        <v>6</v>
      </c>
      <c r="K55" s="128">
        <f t="shared" si="10"/>
        <v>2.2129430365333507</v>
      </c>
      <c r="L55" s="39" t="str">
        <f>INDEX(powers!$H$2:$H$75,33+J55)</f>
        <v>dino cosmic</v>
      </c>
      <c r="M55" s="40" t="str">
        <f t="shared" si="11"/>
        <v>2</v>
      </c>
      <c r="N55" s="24">
        <f t="shared" si="12"/>
        <v>2.5553164384002081</v>
      </c>
      <c r="O55" s="41" t="str">
        <f t="shared" si="13"/>
        <v>2</v>
      </c>
      <c r="P55" s="24">
        <f t="shared" si="14"/>
        <v>6.6637972608024967</v>
      </c>
      <c r="Q55" s="41" t="str">
        <f t="shared" si="15"/>
        <v>6</v>
      </c>
      <c r="R55" s="24">
        <f t="shared" si="16"/>
        <v>7.9655671296299602</v>
      </c>
      <c r="S55" s="41" t="str">
        <f t="shared" si="17"/>
        <v>7</v>
      </c>
      <c r="T55" s="24">
        <f t="shared" si="18"/>
        <v>11.586805555559522</v>
      </c>
      <c r="U55" s="41" t="str">
        <f t="shared" si="19"/>
        <v/>
      </c>
      <c r="V55" s="24">
        <f t="shared" si="20"/>
        <v>7.0416666667142636</v>
      </c>
      <c r="W55" s="41" t="str">
        <f t="shared" si="21"/>
        <v/>
      </c>
      <c r="X55" s="24">
        <f t="shared" si="22"/>
        <v>0.50000000057116267</v>
      </c>
      <c r="Y55" s="41" t="str">
        <f t="shared" si="23"/>
        <v/>
      </c>
      <c r="Z55" s="24">
        <f t="shared" si="24"/>
        <v>6.0000000068539521</v>
      </c>
      <c r="AA55" s="41" t="str">
        <f t="shared" si="25"/>
        <v/>
      </c>
      <c r="AB55" s="24">
        <f t="shared" si="26"/>
        <v>8.2247424870729446E-8</v>
      </c>
      <c r="AC55" s="41" t="str">
        <f t="shared" si="27"/>
        <v/>
      </c>
      <c r="AD55" s="24">
        <f t="shared" si="28"/>
        <v>9.8696909844875336E-7</v>
      </c>
      <c r="AE55" s="41" t="str">
        <f t="shared" si="29"/>
        <v/>
      </c>
      <c r="AF55" s="24">
        <f t="shared" si="30"/>
        <v>1.184362918138504E-5</v>
      </c>
      <c r="AG55" s="41" t="str">
        <f t="shared" si="31"/>
        <v/>
      </c>
      <c r="AH55" s="24">
        <f t="shared" si="32"/>
        <v>1.4212355017662048E-4</v>
      </c>
      <c r="AI55" s="41" t="str">
        <f t="shared" si="33"/>
        <v/>
      </c>
      <c r="AJ55" s="24">
        <f t="shared" si="34"/>
        <v>1.7054826021194458E-3</v>
      </c>
      <c r="AK55" s="41" t="str">
        <f t="shared" si="35"/>
        <v/>
      </c>
    </row>
    <row r="56" spans="1:37" ht="13.5" customHeight="1" x14ac:dyDescent="0.2">
      <c r="A56" s="642"/>
      <c r="B56" s="636"/>
      <c r="C56" s="636"/>
      <c r="D56" s="637"/>
      <c r="E56" s="497" t="s">
        <v>413</v>
      </c>
      <c r="F56" s="140">
        <v>-421300000</v>
      </c>
      <c r="G56" s="8">
        <v>4</v>
      </c>
      <c r="H56" s="21">
        <f t="shared" si="8"/>
        <v>6582812.5</v>
      </c>
      <c r="I56" s="37" t="str">
        <f t="shared" si="9"/>
        <v>2;2556</v>
      </c>
      <c r="J56" s="38">
        <v>6</v>
      </c>
      <c r="K56" s="128">
        <f t="shared" si="10"/>
        <v>2.2045705871163408</v>
      </c>
      <c r="L56" s="39" t="str">
        <f>INDEX(powers!$H$2:$H$75,33+J56)</f>
        <v>dino cosmic</v>
      </c>
      <c r="M56" s="40" t="str">
        <f t="shared" si="11"/>
        <v>2</v>
      </c>
      <c r="N56" s="24">
        <f t="shared" si="12"/>
        <v>2.4548470453960896</v>
      </c>
      <c r="O56" s="41" t="str">
        <f t="shared" si="13"/>
        <v>2</v>
      </c>
      <c r="P56" s="24">
        <f t="shared" si="14"/>
        <v>5.4581645447530747</v>
      </c>
      <c r="Q56" s="41" t="str">
        <f t="shared" si="15"/>
        <v>5</v>
      </c>
      <c r="R56" s="24">
        <f t="shared" si="16"/>
        <v>5.497974537036896</v>
      </c>
      <c r="S56" s="41" t="str">
        <f t="shared" si="17"/>
        <v>5</v>
      </c>
      <c r="T56" s="24">
        <f t="shared" si="18"/>
        <v>5.9756944444427518</v>
      </c>
      <c r="U56" s="41" t="str">
        <f t="shared" si="19"/>
        <v>6</v>
      </c>
      <c r="V56" s="24">
        <f t="shared" si="20"/>
        <v>11.708333333313021</v>
      </c>
      <c r="W56" s="41" t="str">
        <f t="shared" si="21"/>
        <v/>
      </c>
      <c r="X56" s="24">
        <f t="shared" si="22"/>
        <v>8.4999999997562554</v>
      </c>
      <c r="Y56" s="41" t="str">
        <f t="shared" si="23"/>
        <v/>
      </c>
      <c r="Z56" s="24">
        <f t="shared" si="24"/>
        <v>5.999999997075065</v>
      </c>
      <c r="AA56" s="41" t="str">
        <f t="shared" si="25"/>
        <v/>
      </c>
      <c r="AB56" s="24">
        <f t="shared" si="26"/>
        <v>11.99999996490078</v>
      </c>
      <c r="AC56" s="41" t="str">
        <f t="shared" si="27"/>
        <v/>
      </c>
      <c r="AD56" s="24">
        <f t="shared" si="28"/>
        <v>11.999999578809366</v>
      </c>
      <c r="AE56" s="41" t="str">
        <f t="shared" si="29"/>
        <v/>
      </c>
      <c r="AF56" s="24">
        <f t="shared" si="30"/>
        <v>11.999994945712388</v>
      </c>
      <c r="AG56" s="41" t="str">
        <f t="shared" si="31"/>
        <v/>
      </c>
      <c r="AH56" s="24">
        <f t="shared" si="32"/>
        <v>11.999939348548651</v>
      </c>
      <c r="AI56" s="41" t="str">
        <f t="shared" si="33"/>
        <v/>
      </c>
      <c r="AJ56" s="24">
        <f t="shared" si="34"/>
        <v>11.999272182583809</v>
      </c>
      <c r="AK56" s="41" t="str">
        <f t="shared" si="35"/>
        <v/>
      </c>
    </row>
    <row r="57" spans="1:37" ht="13.5" customHeight="1" x14ac:dyDescent="0.2">
      <c r="A57" s="642"/>
      <c r="B57" s="636"/>
      <c r="C57" s="637"/>
      <c r="D57" s="630" t="s">
        <v>414</v>
      </c>
      <c r="E57" s="632"/>
      <c r="F57" s="140">
        <v>-418700000</v>
      </c>
      <c r="G57" s="8">
        <v>4</v>
      </c>
      <c r="H57" s="21">
        <f t="shared" si="8"/>
        <v>6542187.5</v>
      </c>
      <c r="I57" s="37" t="str">
        <f t="shared" si="9"/>
        <v>2;235</v>
      </c>
      <c r="J57" s="38">
        <v>6</v>
      </c>
      <c r="K57" s="128">
        <f t="shared" si="10"/>
        <v>2.1909653568137002</v>
      </c>
      <c r="L57" s="39" t="str">
        <f>INDEX(powers!$H$2:$H$75,33+J57)</f>
        <v>dino cosmic</v>
      </c>
      <c r="M57" s="40" t="str">
        <f t="shared" si="11"/>
        <v>2</v>
      </c>
      <c r="N57" s="24">
        <f t="shared" si="12"/>
        <v>2.2915842817644023</v>
      </c>
      <c r="O57" s="41" t="str">
        <f t="shared" si="13"/>
        <v>2</v>
      </c>
      <c r="P57" s="24">
        <f t="shared" si="14"/>
        <v>3.4990113811728278</v>
      </c>
      <c r="Q57" s="41" t="str">
        <f t="shared" si="15"/>
        <v>3</v>
      </c>
      <c r="R57" s="24">
        <f t="shared" si="16"/>
        <v>5.9881365740739341</v>
      </c>
      <c r="S57" s="41" t="str">
        <f t="shared" si="17"/>
        <v>5</v>
      </c>
      <c r="T57" s="24">
        <f t="shared" si="18"/>
        <v>11.857638888887209</v>
      </c>
      <c r="U57" s="41" t="str">
        <f t="shared" si="19"/>
        <v/>
      </c>
      <c r="V57" s="24">
        <f t="shared" si="20"/>
        <v>10.291666666646506</v>
      </c>
      <c r="W57" s="41" t="str">
        <f t="shared" si="21"/>
        <v/>
      </c>
      <c r="X57" s="24">
        <f t="shared" si="22"/>
        <v>3.4999999997580744</v>
      </c>
      <c r="Y57" s="41" t="str">
        <f t="shared" si="23"/>
        <v/>
      </c>
      <c r="Z57" s="24">
        <f t="shared" si="24"/>
        <v>5.9999999970968929</v>
      </c>
      <c r="AA57" s="41" t="str">
        <f t="shared" si="25"/>
        <v/>
      </c>
      <c r="AB57" s="24">
        <f t="shared" si="26"/>
        <v>11.999999965162715</v>
      </c>
      <c r="AC57" s="41" t="str">
        <f t="shared" si="27"/>
        <v/>
      </c>
      <c r="AD57" s="24">
        <f t="shared" si="28"/>
        <v>11.999999581952579</v>
      </c>
      <c r="AE57" s="41" t="str">
        <f t="shared" si="29"/>
        <v/>
      </c>
      <c r="AF57" s="24">
        <f t="shared" si="30"/>
        <v>11.999994983430952</v>
      </c>
      <c r="AG57" s="41" t="str">
        <f t="shared" si="31"/>
        <v/>
      </c>
      <c r="AH57" s="24">
        <f t="shared" si="32"/>
        <v>11.999939801171422</v>
      </c>
      <c r="AI57" s="41" t="str">
        <f t="shared" si="33"/>
        <v/>
      </c>
      <c r="AJ57" s="24">
        <f t="shared" si="34"/>
        <v>11.999277614057064</v>
      </c>
      <c r="AK57" s="41" t="str">
        <f t="shared" si="35"/>
        <v/>
      </c>
    </row>
    <row r="58" spans="1:37" ht="13.5" customHeight="1" x14ac:dyDescent="0.2">
      <c r="A58" s="642"/>
      <c r="B58" s="636"/>
      <c r="C58" s="635" t="s">
        <v>415</v>
      </c>
      <c r="D58" s="635" t="s">
        <v>416</v>
      </c>
      <c r="E58" s="497" t="s">
        <v>417</v>
      </c>
      <c r="F58" s="140">
        <v>-416000000</v>
      </c>
      <c r="G58" s="8">
        <v>4</v>
      </c>
      <c r="H58" s="21">
        <f t="shared" si="8"/>
        <v>6500000</v>
      </c>
      <c r="I58" s="37" t="str">
        <f t="shared" si="9"/>
        <v>2;2157</v>
      </c>
      <c r="J58" s="38">
        <v>6</v>
      </c>
      <c r="K58" s="128">
        <f t="shared" si="10"/>
        <v>2.1768368484224965</v>
      </c>
      <c r="L58" s="39" t="str">
        <f>INDEX(powers!$H$2:$H$75,33+J58)</f>
        <v>dino cosmic</v>
      </c>
      <c r="M58" s="40" t="str">
        <f t="shared" si="11"/>
        <v>2</v>
      </c>
      <c r="N58" s="24">
        <f t="shared" si="12"/>
        <v>2.1220421810699577</v>
      </c>
      <c r="O58" s="41" t="str">
        <f t="shared" si="13"/>
        <v>2</v>
      </c>
      <c r="P58" s="24">
        <f t="shared" si="14"/>
        <v>1.4645061728394921</v>
      </c>
      <c r="Q58" s="41" t="str">
        <f t="shared" si="15"/>
        <v>1</v>
      </c>
      <c r="R58" s="24">
        <f t="shared" si="16"/>
        <v>5.5740740740739056</v>
      </c>
      <c r="S58" s="41" t="str">
        <f t="shared" si="17"/>
        <v>5</v>
      </c>
      <c r="T58" s="24">
        <f t="shared" si="18"/>
        <v>6.8888888888868678</v>
      </c>
      <c r="U58" s="41" t="str">
        <f t="shared" si="19"/>
        <v>7</v>
      </c>
      <c r="V58" s="24">
        <f t="shared" si="20"/>
        <v>10.666666666642413</v>
      </c>
      <c r="W58" s="41" t="str">
        <f t="shared" si="21"/>
        <v/>
      </c>
      <c r="X58" s="24">
        <f t="shared" si="22"/>
        <v>7.9999999997089617</v>
      </c>
      <c r="Y58" s="41" t="str">
        <f t="shared" si="23"/>
        <v/>
      </c>
      <c r="Z58" s="24">
        <f t="shared" si="24"/>
        <v>11.99999999650754</v>
      </c>
      <c r="AA58" s="41" t="str">
        <f t="shared" si="25"/>
        <v/>
      </c>
      <c r="AB58" s="24">
        <f t="shared" si="26"/>
        <v>11.999999958090484</v>
      </c>
      <c r="AC58" s="41" t="str">
        <f t="shared" si="27"/>
        <v/>
      </c>
      <c r="AD58" s="24">
        <f t="shared" si="28"/>
        <v>11.99999949708581</v>
      </c>
      <c r="AE58" s="41" t="str">
        <f t="shared" si="29"/>
        <v/>
      </c>
      <c r="AF58" s="24">
        <f t="shared" si="30"/>
        <v>11.999993965029716</v>
      </c>
      <c r="AG58" s="41" t="str">
        <f t="shared" si="31"/>
        <v/>
      </c>
      <c r="AH58" s="24">
        <f t="shared" si="32"/>
        <v>11.999927580356598</v>
      </c>
      <c r="AI58" s="41" t="str">
        <f t="shared" si="33"/>
        <v/>
      </c>
      <c r="AJ58" s="24">
        <f t="shared" si="34"/>
        <v>11.999130964279175</v>
      </c>
      <c r="AK58" s="41" t="str">
        <f t="shared" si="35"/>
        <v/>
      </c>
    </row>
    <row r="59" spans="1:37" ht="13.5" customHeight="1" x14ac:dyDescent="0.2">
      <c r="A59" s="642"/>
      <c r="B59" s="636"/>
      <c r="C59" s="636"/>
      <c r="D59" s="636"/>
      <c r="E59" s="497" t="s">
        <v>418</v>
      </c>
      <c r="F59" s="140">
        <v>-411200000</v>
      </c>
      <c r="G59" s="8">
        <v>4</v>
      </c>
      <c r="H59" s="21">
        <f t="shared" si="8"/>
        <v>6425000</v>
      </c>
      <c r="I59" s="37" t="str">
        <f t="shared" si="9"/>
        <v>2;19X2</v>
      </c>
      <c r="J59" s="38">
        <v>6</v>
      </c>
      <c r="K59" s="128">
        <f t="shared" si="10"/>
        <v>2.1517195001714677</v>
      </c>
      <c r="L59" s="39" t="str">
        <f>INDEX(powers!$H$2:$H$75,33+J59)</f>
        <v>dino cosmic</v>
      </c>
      <c r="M59" s="40" t="str">
        <f t="shared" si="11"/>
        <v>2</v>
      </c>
      <c r="N59" s="24">
        <f t="shared" si="12"/>
        <v>1.8206340020576128</v>
      </c>
      <c r="O59" s="41" t="str">
        <f t="shared" si="13"/>
        <v>1</v>
      </c>
      <c r="P59" s="24">
        <f t="shared" si="14"/>
        <v>9.847608024691354</v>
      </c>
      <c r="Q59" s="41" t="str">
        <f t="shared" si="15"/>
        <v>9</v>
      </c>
      <c r="R59" s="24">
        <f t="shared" si="16"/>
        <v>10.171296296296248</v>
      </c>
      <c r="S59" s="41" t="str">
        <f t="shared" si="17"/>
        <v>X</v>
      </c>
      <c r="T59" s="24">
        <f t="shared" si="18"/>
        <v>2.0555555555549745</v>
      </c>
      <c r="U59" s="41" t="str">
        <f t="shared" si="19"/>
        <v>2</v>
      </c>
      <c r="V59" s="24">
        <f t="shared" si="20"/>
        <v>0.66666666665969387</v>
      </c>
      <c r="W59" s="41" t="str">
        <f t="shared" si="21"/>
        <v/>
      </c>
      <c r="X59" s="24">
        <f t="shared" si="22"/>
        <v>7.9999999999163265</v>
      </c>
      <c r="Y59" s="41" t="str">
        <f t="shared" si="23"/>
        <v/>
      </c>
      <c r="Z59" s="24">
        <f t="shared" si="24"/>
        <v>11.999999998995918</v>
      </c>
      <c r="AA59" s="41" t="str">
        <f t="shared" si="25"/>
        <v/>
      </c>
      <c r="AB59" s="24">
        <f t="shared" si="26"/>
        <v>11.999999987951014</v>
      </c>
      <c r="AC59" s="41" t="str">
        <f t="shared" si="27"/>
        <v/>
      </c>
      <c r="AD59" s="24">
        <f t="shared" si="28"/>
        <v>11.99999985541217</v>
      </c>
      <c r="AE59" s="41" t="str">
        <f t="shared" si="29"/>
        <v/>
      </c>
      <c r="AF59" s="24">
        <f t="shared" si="30"/>
        <v>11.999998264946043</v>
      </c>
      <c r="AG59" s="41" t="str">
        <f t="shared" si="31"/>
        <v/>
      </c>
      <c r="AH59" s="24">
        <f t="shared" si="32"/>
        <v>11.999979179352522</v>
      </c>
      <c r="AI59" s="41" t="str">
        <f t="shared" si="33"/>
        <v/>
      </c>
      <c r="AJ59" s="24">
        <f t="shared" si="34"/>
        <v>11.999750152230263</v>
      </c>
      <c r="AK59" s="41" t="str">
        <f t="shared" si="35"/>
        <v/>
      </c>
    </row>
    <row r="60" spans="1:37" ht="13.5" customHeight="1" x14ac:dyDescent="0.2">
      <c r="A60" s="642"/>
      <c r="B60" s="636"/>
      <c r="C60" s="636"/>
      <c r="D60" s="637"/>
      <c r="E60" s="497" t="s">
        <v>419</v>
      </c>
      <c r="F60" s="140">
        <v>-407000000</v>
      </c>
      <c r="G60" s="8">
        <v>4</v>
      </c>
      <c r="H60" s="21">
        <f t="shared" si="8"/>
        <v>6359375</v>
      </c>
      <c r="I60" s="37" t="str">
        <f t="shared" si="9"/>
        <v>2;1682</v>
      </c>
      <c r="J60" s="38">
        <v>6</v>
      </c>
      <c r="K60" s="128">
        <f t="shared" si="10"/>
        <v>2.1297418204518177</v>
      </c>
      <c r="L60" s="39" t="str">
        <f>INDEX(powers!$H$2:$H$75,33+J60)</f>
        <v>dino cosmic</v>
      </c>
      <c r="M60" s="40" t="str">
        <f t="shared" si="11"/>
        <v>2</v>
      </c>
      <c r="N60" s="24">
        <f t="shared" si="12"/>
        <v>1.5569018454218124</v>
      </c>
      <c r="O60" s="41" t="str">
        <f t="shared" si="13"/>
        <v>1</v>
      </c>
      <c r="P60" s="24">
        <f t="shared" si="14"/>
        <v>6.6828221450617491</v>
      </c>
      <c r="Q60" s="41" t="str">
        <f t="shared" si="15"/>
        <v>6</v>
      </c>
      <c r="R60" s="24">
        <f t="shared" si="16"/>
        <v>8.1938657407409892</v>
      </c>
      <c r="S60" s="41" t="str">
        <f t="shared" si="17"/>
        <v>8</v>
      </c>
      <c r="T60" s="24">
        <f t="shared" si="18"/>
        <v>2.32638888889187</v>
      </c>
      <c r="U60" s="41" t="str">
        <f t="shared" si="19"/>
        <v>2</v>
      </c>
      <c r="V60" s="24">
        <f t="shared" si="20"/>
        <v>3.9166666667024401</v>
      </c>
      <c r="W60" s="41" t="str">
        <f t="shared" si="21"/>
        <v/>
      </c>
      <c r="X60" s="24">
        <f t="shared" si="22"/>
        <v>11.000000000429281</v>
      </c>
      <c r="Y60" s="41" t="str">
        <f t="shared" si="23"/>
        <v/>
      </c>
      <c r="Z60" s="24">
        <f t="shared" si="24"/>
        <v>5.1513779908418655E-9</v>
      </c>
      <c r="AA60" s="41" t="str">
        <f t="shared" si="25"/>
        <v/>
      </c>
      <c r="AB60" s="24">
        <f t="shared" si="26"/>
        <v>6.1816535890102386E-8</v>
      </c>
      <c r="AC60" s="41" t="str">
        <f t="shared" si="27"/>
        <v/>
      </c>
      <c r="AD60" s="24">
        <f t="shared" si="28"/>
        <v>7.4179843068122864E-7</v>
      </c>
      <c r="AE60" s="41" t="str">
        <f t="shared" si="29"/>
        <v/>
      </c>
      <c r="AF60" s="24">
        <f t="shared" si="30"/>
        <v>8.9015811681747437E-6</v>
      </c>
      <c r="AG60" s="41" t="str">
        <f t="shared" si="31"/>
        <v/>
      </c>
      <c r="AH60" s="24">
        <f t="shared" si="32"/>
        <v>1.0681897401809692E-4</v>
      </c>
      <c r="AI60" s="41" t="str">
        <f t="shared" si="33"/>
        <v/>
      </c>
      <c r="AJ60" s="24">
        <f t="shared" si="34"/>
        <v>1.2818276882171631E-3</v>
      </c>
      <c r="AK60" s="41" t="str">
        <f t="shared" si="35"/>
        <v/>
      </c>
    </row>
    <row r="61" spans="1:37" ht="13.5" customHeight="1" x14ac:dyDescent="0.2">
      <c r="A61" s="642"/>
      <c r="B61" s="636"/>
      <c r="C61" s="636"/>
      <c r="D61" s="635" t="s">
        <v>420</v>
      </c>
      <c r="E61" s="497" t="s">
        <v>421</v>
      </c>
      <c r="F61" s="140">
        <v>-397500000</v>
      </c>
      <c r="G61" s="8">
        <v>4</v>
      </c>
      <c r="H61" s="21">
        <f t="shared" si="8"/>
        <v>6210937.5</v>
      </c>
      <c r="I61" s="37" t="str">
        <f t="shared" si="9"/>
        <v>2;0E64</v>
      </c>
      <c r="J61" s="38">
        <v>6</v>
      </c>
      <c r="K61" s="128">
        <f t="shared" si="10"/>
        <v>2.0800304020383229</v>
      </c>
      <c r="L61" s="39" t="str">
        <f>INDEX(powers!$H$2:$H$75,33+J61)</f>
        <v>dino cosmic</v>
      </c>
      <c r="M61" s="40" t="str">
        <f t="shared" si="11"/>
        <v>2</v>
      </c>
      <c r="N61" s="24">
        <f t="shared" si="12"/>
        <v>0.96036482445987481</v>
      </c>
      <c r="O61" s="41" t="str">
        <f t="shared" si="13"/>
        <v>0</v>
      </c>
      <c r="P61" s="24">
        <f t="shared" si="14"/>
        <v>11.524377893518498</v>
      </c>
      <c r="Q61" s="41" t="str">
        <f t="shared" si="15"/>
        <v>E</v>
      </c>
      <c r="R61" s="24">
        <f t="shared" si="16"/>
        <v>6.2925347222219727</v>
      </c>
      <c r="S61" s="41" t="str">
        <f t="shared" si="17"/>
        <v>6</v>
      </c>
      <c r="T61" s="24">
        <f t="shared" si="18"/>
        <v>3.5104166666636729</v>
      </c>
      <c r="U61" s="41" t="str">
        <f t="shared" si="19"/>
        <v>4</v>
      </c>
      <c r="V61" s="24">
        <f t="shared" si="20"/>
        <v>6.124999999964075</v>
      </c>
      <c r="W61" s="41" t="str">
        <f t="shared" si="21"/>
        <v/>
      </c>
      <c r="X61" s="24">
        <f t="shared" si="22"/>
        <v>1.4999999995688995</v>
      </c>
      <c r="Y61" s="41" t="str">
        <f t="shared" si="23"/>
        <v/>
      </c>
      <c r="Z61" s="24">
        <f t="shared" si="24"/>
        <v>5.9999999948267941</v>
      </c>
      <c r="AA61" s="41" t="str">
        <f t="shared" si="25"/>
        <v/>
      </c>
      <c r="AB61" s="24">
        <f t="shared" si="26"/>
        <v>11.99999993792153</v>
      </c>
      <c r="AC61" s="41" t="str">
        <f t="shared" si="27"/>
        <v/>
      </c>
      <c r="AD61" s="24">
        <f t="shared" si="28"/>
        <v>11.999999255058356</v>
      </c>
      <c r="AE61" s="41" t="str">
        <f t="shared" si="29"/>
        <v/>
      </c>
      <c r="AF61" s="24">
        <f t="shared" si="30"/>
        <v>11.999991060700268</v>
      </c>
      <c r="AG61" s="41" t="str">
        <f t="shared" si="31"/>
        <v/>
      </c>
      <c r="AH61" s="24">
        <f t="shared" si="32"/>
        <v>11.999892728403211</v>
      </c>
      <c r="AI61" s="41" t="str">
        <f t="shared" si="33"/>
        <v/>
      </c>
      <c r="AJ61" s="24">
        <f t="shared" si="34"/>
        <v>11.998712740838528</v>
      </c>
      <c r="AK61" s="41" t="str">
        <f t="shared" si="35"/>
        <v/>
      </c>
    </row>
    <row r="62" spans="1:37" ht="13.5" customHeight="1" x14ac:dyDescent="0.2">
      <c r="A62" s="642"/>
      <c r="B62" s="636"/>
      <c r="C62" s="636"/>
      <c r="D62" s="637"/>
      <c r="E62" s="497" t="s">
        <v>422</v>
      </c>
      <c r="F62" s="140">
        <v>-391800000</v>
      </c>
      <c r="G62" s="8">
        <v>4</v>
      </c>
      <c r="H62" s="21">
        <f t="shared" si="8"/>
        <v>6121875</v>
      </c>
      <c r="I62" s="37" t="str">
        <f t="shared" si="9"/>
        <v>2;0729</v>
      </c>
      <c r="J62" s="38">
        <v>6</v>
      </c>
      <c r="K62" s="128">
        <f t="shared" si="10"/>
        <v>2.0502035509902266</v>
      </c>
      <c r="L62" s="39" t="str">
        <f>INDEX(powers!$H$2:$H$75,33+J62)</f>
        <v>dino cosmic</v>
      </c>
      <c r="M62" s="40" t="str">
        <f t="shared" si="11"/>
        <v>2</v>
      </c>
      <c r="N62" s="24">
        <f t="shared" si="12"/>
        <v>0.60244261188271864</v>
      </c>
      <c r="O62" s="41" t="str">
        <f t="shared" si="13"/>
        <v>0</v>
      </c>
      <c r="P62" s="24">
        <f t="shared" si="14"/>
        <v>7.2293113425926236</v>
      </c>
      <c r="Q62" s="41" t="str">
        <f t="shared" si="15"/>
        <v>7</v>
      </c>
      <c r="R62" s="24">
        <f t="shared" si="16"/>
        <v>2.7517361111114838</v>
      </c>
      <c r="S62" s="41" t="str">
        <f t="shared" si="17"/>
        <v>2</v>
      </c>
      <c r="T62" s="24">
        <f t="shared" si="18"/>
        <v>9.020833333337805</v>
      </c>
      <c r="U62" s="41" t="str">
        <f t="shared" si="19"/>
        <v>9</v>
      </c>
      <c r="V62" s="24">
        <f t="shared" si="20"/>
        <v>0.25000000005366019</v>
      </c>
      <c r="W62" s="41" t="str">
        <f t="shared" si="21"/>
        <v/>
      </c>
      <c r="X62" s="24">
        <f t="shared" si="22"/>
        <v>3.0000000006439222</v>
      </c>
      <c r="Y62" s="41" t="str">
        <f t="shared" si="23"/>
        <v/>
      </c>
      <c r="Z62" s="24">
        <f t="shared" si="24"/>
        <v>7.7270669862627983E-9</v>
      </c>
      <c r="AA62" s="41" t="str">
        <f t="shared" si="25"/>
        <v/>
      </c>
      <c r="AB62" s="24">
        <f t="shared" si="26"/>
        <v>9.272480383515358E-8</v>
      </c>
      <c r="AC62" s="41" t="str">
        <f t="shared" si="27"/>
        <v/>
      </c>
      <c r="AD62" s="24">
        <f t="shared" si="28"/>
        <v>1.112697646021843E-6</v>
      </c>
      <c r="AE62" s="41" t="str">
        <f t="shared" si="29"/>
        <v/>
      </c>
      <c r="AF62" s="24">
        <f t="shared" si="30"/>
        <v>1.3352371752262115E-5</v>
      </c>
      <c r="AG62" s="41" t="str">
        <f t="shared" si="31"/>
        <v/>
      </c>
      <c r="AH62" s="24">
        <f t="shared" si="32"/>
        <v>1.6022846102714539E-4</v>
      </c>
      <c r="AI62" s="41" t="str">
        <f t="shared" si="33"/>
        <v/>
      </c>
      <c r="AJ62" s="24">
        <f t="shared" si="34"/>
        <v>1.9227415323257446E-3</v>
      </c>
      <c r="AK62" s="41" t="str">
        <f t="shared" si="35"/>
        <v/>
      </c>
    </row>
    <row r="63" spans="1:37" ht="13.5" customHeight="1" x14ac:dyDescent="0.2">
      <c r="A63" s="642"/>
      <c r="B63" s="636"/>
      <c r="C63" s="636"/>
      <c r="D63" s="635" t="s">
        <v>423</v>
      </c>
      <c r="E63" s="497" t="s">
        <v>424</v>
      </c>
      <c r="F63" s="140">
        <v>-385300000</v>
      </c>
      <c r="G63" s="8">
        <v>4</v>
      </c>
      <c r="H63" s="21">
        <f t="shared" si="8"/>
        <v>6020312.5</v>
      </c>
      <c r="I63" s="37" t="str">
        <f t="shared" si="9"/>
        <v>2;023</v>
      </c>
      <c r="J63" s="38">
        <v>6</v>
      </c>
      <c r="K63" s="128">
        <f t="shared" si="10"/>
        <v>2.0161904752336248</v>
      </c>
      <c r="L63" s="39" t="str">
        <f>INDEX(powers!$H$2:$H$75,33+J63)</f>
        <v>dino cosmic</v>
      </c>
      <c r="M63" s="40" t="str">
        <f t="shared" si="11"/>
        <v>2</v>
      </c>
      <c r="N63" s="24">
        <f t="shared" si="12"/>
        <v>0.19428570280349788</v>
      </c>
      <c r="O63" s="41" t="str">
        <f t="shared" si="13"/>
        <v>0</v>
      </c>
      <c r="P63" s="24">
        <f t="shared" si="14"/>
        <v>2.3314284336419746</v>
      </c>
      <c r="Q63" s="41" t="str">
        <f t="shared" si="15"/>
        <v>2</v>
      </c>
      <c r="R63" s="24">
        <f t="shared" si="16"/>
        <v>3.9771412037036953</v>
      </c>
      <c r="S63" s="41" t="str">
        <f t="shared" si="17"/>
        <v>3</v>
      </c>
      <c r="T63" s="24">
        <f t="shared" si="18"/>
        <v>11.725694444444343</v>
      </c>
      <c r="U63" s="41" t="str">
        <f t="shared" si="19"/>
        <v/>
      </c>
      <c r="V63" s="24">
        <f t="shared" si="20"/>
        <v>8.7083333333321207</v>
      </c>
      <c r="W63" s="41" t="str">
        <f t="shared" si="21"/>
        <v/>
      </c>
      <c r="X63" s="24">
        <f t="shared" si="22"/>
        <v>8.4999999999854481</v>
      </c>
      <c r="Y63" s="41" t="str">
        <f t="shared" si="23"/>
        <v/>
      </c>
      <c r="Z63" s="24">
        <f t="shared" si="24"/>
        <v>5.999999999825377</v>
      </c>
      <c r="AA63" s="41" t="str">
        <f t="shared" si="25"/>
        <v/>
      </c>
      <c r="AB63" s="24">
        <f t="shared" si="26"/>
        <v>11.999999997904524</v>
      </c>
      <c r="AC63" s="41" t="str">
        <f t="shared" si="27"/>
        <v/>
      </c>
      <c r="AD63" s="24">
        <f t="shared" si="28"/>
        <v>11.99999997485429</v>
      </c>
      <c r="AE63" s="41" t="str">
        <f t="shared" si="29"/>
        <v/>
      </c>
      <c r="AF63" s="24">
        <f t="shared" si="30"/>
        <v>11.999999698251486</v>
      </c>
      <c r="AG63" s="41" t="str">
        <f t="shared" si="31"/>
        <v/>
      </c>
      <c r="AH63" s="24">
        <f t="shared" si="32"/>
        <v>11.99999637901783</v>
      </c>
      <c r="AI63" s="41" t="str">
        <f t="shared" si="33"/>
        <v/>
      </c>
      <c r="AJ63" s="24">
        <f t="shared" si="34"/>
        <v>11.999956548213959</v>
      </c>
      <c r="AK63" s="41" t="str">
        <f t="shared" si="35"/>
        <v/>
      </c>
    </row>
    <row r="64" spans="1:37" ht="13.5" customHeight="1" x14ac:dyDescent="0.2">
      <c r="A64" s="642"/>
      <c r="B64" s="636"/>
      <c r="C64" s="637"/>
      <c r="D64" s="637"/>
      <c r="E64" s="497" t="s">
        <v>425</v>
      </c>
      <c r="F64" s="140">
        <v>-374500000</v>
      </c>
      <c r="G64" s="8">
        <v>4</v>
      </c>
      <c r="H64" s="21">
        <f t="shared" si="8"/>
        <v>5851562.5</v>
      </c>
      <c r="I64" s="37" t="str">
        <f t="shared" si="9"/>
        <v>1;E624</v>
      </c>
      <c r="J64" s="38">
        <v>6</v>
      </c>
      <c r="K64" s="128">
        <f t="shared" si="10"/>
        <v>1.9596764416688099</v>
      </c>
      <c r="L64" s="39" t="str">
        <f>INDEX(powers!$H$2:$H$75,33+J64)</f>
        <v>dino cosmic</v>
      </c>
      <c r="M64" s="40" t="str">
        <f t="shared" si="11"/>
        <v>1</v>
      </c>
      <c r="N64" s="24">
        <f t="shared" si="12"/>
        <v>11.516117300025719</v>
      </c>
      <c r="O64" s="41" t="str">
        <f t="shared" si="13"/>
        <v>E</v>
      </c>
      <c r="P64" s="24">
        <f t="shared" si="14"/>
        <v>6.1934076003086318</v>
      </c>
      <c r="Q64" s="41" t="str">
        <f t="shared" si="15"/>
        <v>6</v>
      </c>
      <c r="R64" s="24">
        <f t="shared" si="16"/>
        <v>2.3208912037035816</v>
      </c>
      <c r="S64" s="41" t="str">
        <f t="shared" si="17"/>
        <v>2</v>
      </c>
      <c r="T64" s="24">
        <f t="shared" si="18"/>
        <v>3.8506944444429791</v>
      </c>
      <c r="U64" s="41" t="str">
        <f t="shared" si="19"/>
        <v>4</v>
      </c>
      <c r="V64" s="24">
        <f t="shared" si="20"/>
        <v>10.20833333331575</v>
      </c>
      <c r="W64" s="41" t="str">
        <f t="shared" si="21"/>
        <v/>
      </c>
      <c r="X64" s="24">
        <f t="shared" si="22"/>
        <v>2.4999999997889972</v>
      </c>
      <c r="Y64" s="41" t="str">
        <f t="shared" si="23"/>
        <v/>
      </c>
      <c r="Z64" s="24">
        <f t="shared" si="24"/>
        <v>5.9999999974679668</v>
      </c>
      <c r="AA64" s="41" t="str">
        <f t="shared" si="25"/>
        <v/>
      </c>
      <c r="AB64" s="24">
        <f t="shared" si="26"/>
        <v>11.999999969615601</v>
      </c>
      <c r="AC64" s="41" t="str">
        <f t="shared" si="27"/>
        <v/>
      </c>
      <c r="AD64" s="24">
        <f t="shared" si="28"/>
        <v>11.999999635387212</v>
      </c>
      <c r="AE64" s="41" t="str">
        <f t="shared" si="29"/>
        <v/>
      </c>
      <c r="AF64" s="24">
        <f t="shared" si="30"/>
        <v>11.999995624646544</v>
      </c>
      <c r="AG64" s="41" t="str">
        <f t="shared" si="31"/>
        <v/>
      </c>
      <c r="AH64" s="24">
        <f t="shared" si="32"/>
        <v>11.999947495758533</v>
      </c>
      <c r="AI64" s="41" t="str">
        <f t="shared" si="33"/>
        <v/>
      </c>
      <c r="AJ64" s="24">
        <f t="shared" si="34"/>
        <v>11.999369949102402</v>
      </c>
      <c r="AK64" s="41" t="str">
        <f t="shared" si="35"/>
        <v/>
      </c>
    </row>
    <row r="65" spans="1:37" ht="13.5" customHeight="1" x14ac:dyDescent="0.2">
      <c r="A65" s="642"/>
      <c r="B65" s="636"/>
      <c r="C65" s="635" t="s">
        <v>426</v>
      </c>
      <c r="D65" s="635" t="s">
        <v>427</v>
      </c>
      <c r="E65" s="497" t="s">
        <v>428</v>
      </c>
      <c r="F65" s="140">
        <v>-359200000</v>
      </c>
      <c r="G65" s="8">
        <v>4</v>
      </c>
      <c r="H65" s="21">
        <f t="shared" si="8"/>
        <v>5612500</v>
      </c>
      <c r="I65" s="37" t="str">
        <f t="shared" si="9"/>
        <v>1;X67</v>
      </c>
      <c r="J65" s="38">
        <v>6</v>
      </c>
      <c r="K65" s="128">
        <f t="shared" si="10"/>
        <v>1.8796148941186557</v>
      </c>
      <c r="L65" s="39" t="str">
        <f>INDEX(powers!$H$2:$H$75,33+J65)</f>
        <v>dino cosmic</v>
      </c>
      <c r="M65" s="40" t="str">
        <f t="shared" si="11"/>
        <v>1</v>
      </c>
      <c r="N65" s="24">
        <f t="shared" si="12"/>
        <v>10.555378729423868</v>
      </c>
      <c r="O65" s="41" t="str">
        <f t="shared" si="13"/>
        <v>X</v>
      </c>
      <c r="P65" s="24">
        <f t="shared" si="14"/>
        <v>6.6645447530864175</v>
      </c>
      <c r="Q65" s="41" t="str">
        <f t="shared" si="15"/>
        <v>6</v>
      </c>
      <c r="R65" s="24">
        <f t="shared" si="16"/>
        <v>7.9745370370370097</v>
      </c>
      <c r="S65" s="41" t="str">
        <f t="shared" si="17"/>
        <v>7</v>
      </c>
      <c r="T65" s="24">
        <f t="shared" si="18"/>
        <v>11.694444444444116</v>
      </c>
      <c r="U65" s="41" t="str">
        <f t="shared" si="19"/>
        <v/>
      </c>
      <c r="V65" s="24">
        <f t="shared" si="20"/>
        <v>8.3333333333293922</v>
      </c>
      <c r="W65" s="41" t="str">
        <f t="shared" si="21"/>
        <v/>
      </c>
      <c r="X65" s="24">
        <f t="shared" si="22"/>
        <v>3.9999999999527063</v>
      </c>
      <c r="Y65" s="41" t="str">
        <f t="shared" si="23"/>
        <v/>
      </c>
      <c r="Z65" s="24">
        <f t="shared" si="24"/>
        <v>11.999999999432475</v>
      </c>
      <c r="AA65" s="41" t="str">
        <f t="shared" si="25"/>
        <v/>
      </c>
      <c r="AB65" s="24">
        <f t="shared" si="26"/>
        <v>11.999999993189704</v>
      </c>
      <c r="AC65" s="41" t="str">
        <f t="shared" si="27"/>
        <v/>
      </c>
      <c r="AD65" s="24">
        <f t="shared" si="28"/>
        <v>11.999999918276444</v>
      </c>
      <c r="AE65" s="41" t="str">
        <f t="shared" si="29"/>
        <v/>
      </c>
      <c r="AF65" s="24">
        <f t="shared" si="30"/>
        <v>11.999999019317329</v>
      </c>
      <c r="AG65" s="41" t="str">
        <f t="shared" si="31"/>
        <v/>
      </c>
      <c r="AH65" s="24">
        <f t="shared" si="32"/>
        <v>11.999988231807947</v>
      </c>
      <c r="AI65" s="41" t="str">
        <f t="shared" si="33"/>
        <v/>
      </c>
      <c r="AJ65" s="24">
        <f t="shared" si="34"/>
        <v>11.999858781695366</v>
      </c>
      <c r="AK65" s="41" t="str">
        <f t="shared" si="35"/>
        <v/>
      </c>
    </row>
    <row r="66" spans="1:37" ht="13.5" customHeight="1" x14ac:dyDescent="0.2">
      <c r="A66" s="642"/>
      <c r="B66" s="636"/>
      <c r="C66" s="636"/>
      <c r="D66" s="636"/>
      <c r="E66" s="497" t="s">
        <v>429</v>
      </c>
      <c r="F66" s="140">
        <v>-345300000</v>
      </c>
      <c r="G66" s="8">
        <v>4</v>
      </c>
      <c r="H66" s="21">
        <f t="shared" si="8"/>
        <v>5395312.5</v>
      </c>
      <c r="I66" s="37" t="str">
        <f t="shared" si="9"/>
        <v>1;9823</v>
      </c>
      <c r="J66" s="38">
        <v>6</v>
      </c>
      <c r="K66" s="128">
        <f t="shared" si="10"/>
        <v>1.8068792398083848</v>
      </c>
      <c r="L66" s="39" t="str">
        <f>INDEX(powers!$H$2:$H$75,33+J66)</f>
        <v>dino cosmic</v>
      </c>
      <c r="M66" s="40" t="str">
        <f t="shared" si="11"/>
        <v>1</v>
      </c>
      <c r="N66" s="24">
        <f t="shared" si="12"/>
        <v>9.6825508777006171</v>
      </c>
      <c r="O66" s="41" t="str">
        <f t="shared" si="13"/>
        <v>9</v>
      </c>
      <c r="P66" s="24">
        <f t="shared" si="14"/>
        <v>8.1906105324074048</v>
      </c>
      <c r="Q66" s="41" t="str">
        <f t="shared" si="15"/>
        <v>8</v>
      </c>
      <c r="R66" s="24">
        <f t="shared" si="16"/>
        <v>2.2873263888888573</v>
      </c>
      <c r="S66" s="41" t="str">
        <f t="shared" si="17"/>
        <v>2</v>
      </c>
      <c r="T66" s="24">
        <f t="shared" si="18"/>
        <v>3.4479166666662877</v>
      </c>
      <c r="U66" s="41" t="str">
        <f t="shared" si="19"/>
        <v>3</v>
      </c>
      <c r="V66" s="24">
        <f t="shared" si="20"/>
        <v>5.3749999999954525</v>
      </c>
      <c r="W66" s="41" t="str">
        <f t="shared" si="21"/>
        <v/>
      </c>
      <c r="X66" s="24">
        <f t="shared" si="22"/>
        <v>4.4999999999454303</v>
      </c>
      <c r="Y66" s="41" t="str">
        <f t="shared" si="23"/>
        <v/>
      </c>
      <c r="Z66" s="24">
        <f t="shared" si="24"/>
        <v>5.9999999993451638</v>
      </c>
      <c r="AA66" s="41" t="str">
        <f t="shared" si="25"/>
        <v/>
      </c>
      <c r="AB66" s="24">
        <f t="shared" si="26"/>
        <v>11.999999992141966</v>
      </c>
      <c r="AC66" s="41" t="str">
        <f t="shared" si="27"/>
        <v/>
      </c>
      <c r="AD66" s="24">
        <f t="shared" si="28"/>
        <v>11.999999905703589</v>
      </c>
      <c r="AE66" s="41" t="str">
        <f t="shared" si="29"/>
        <v/>
      </c>
      <c r="AF66" s="24">
        <f t="shared" si="30"/>
        <v>11.999998868443072</v>
      </c>
      <c r="AG66" s="41" t="str">
        <f t="shared" si="31"/>
        <v/>
      </c>
      <c r="AH66" s="24">
        <f t="shared" si="32"/>
        <v>11.999986421316862</v>
      </c>
      <c r="AI66" s="41" t="str">
        <f t="shared" si="33"/>
        <v/>
      </c>
      <c r="AJ66" s="24">
        <f t="shared" si="34"/>
        <v>11.999837055802345</v>
      </c>
      <c r="AK66" s="41" t="str">
        <f t="shared" si="35"/>
        <v/>
      </c>
    </row>
    <row r="67" spans="1:37" ht="13.5" customHeight="1" x14ac:dyDescent="0.2">
      <c r="A67" s="642"/>
      <c r="B67" s="636"/>
      <c r="C67" s="636"/>
      <c r="D67" s="637"/>
      <c r="E67" s="497" t="s">
        <v>430</v>
      </c>
      <c r="F67" s="140">
        <v>-328300000</v>
      </c>
      <c r="G67" s="8">
        <v>4</v>
      </c>
      <c r="H67" s="21">
        <f t="shared" si="8"/>
        <v>5129687.5</v>
      </c>
      <c r="I67" s="37" t="str">
        <f t="shared" si="9"/>
        <v>1;8747</v>
      </c>
      <c r="J67" s="38">
        <v>6</v>
      </c>
      <c r="K67" s="128">
        <f t="shared" si="10"/>
        <v>1.7179219647526578</v>
      </c>
      <c r="L67" s="39" t="str">
        <f>INDEX(powers!$H$2:$H$75,33+J67)</f>
        <v>dino cosmic</v>
      </c>
      <c r="M67" s="40" t="str">
        <f t="shared" si="11"/>
        <v>1</v>
      </c>
      <c r="N67" s="24">
        <f t="shared" si="12"/>
        <v>8.6150635770318935</v>
      </c>
      <c r="O67" s="41" t="str">
        <f t="shared" si="13"/>
        <v>8</v>
      </c>
      <c r="P67" s="24">
        <f t="shared" si="14"/>
        <v>7.3807629243827222</v>
      </c>
      <c r="Q67" s="41" t="str">
        <f t="shared" si="15"/>
        <v>7</v>
      </c>
      <c r="R67" s="24">
        <f t="shared" si="16"/>
        <v>4.5691550925926663</v>
      </c>
      <c r="S67" s="41" t="str">
        <f t="shared" si="17"/>
        <v>4</v>
      </c>
      <c r="T67" s="24">
        <f t="shared" si="18"/>
        <v>6.8298611111119953</v>
      </c>
      <c r="U67" s="41" t="str">
        <f t="shared" si="19"/>
        <v>7</v>
      </c>
      <c r="V67" s="24">
        <f t="shared" si="20"/>
        <v>9.9583333333439441</v>
      </c>
      <c r="W67" s="41" t="str">
        <f t="shared" si="21"/>
        <v/>
      </c>
      <c r="X67" s="24">
        <f t="shared" si="22"/>
        <v>11.500000000127329</v>
      </c>
      <c r="Y67" s="41" t="str">
        <f t="shared" si="23"/>
        <v/>
      </c>
      <c r="Z67" s="24">
        <f t="shared" si="24"/>
        <v>6.0000000015279511</v>
      </c>
      <c r="AA67" s="41" t="str">
        <f t="shared" si="25"/>
        <v/>
      </c>
      <c r="AB67" s="24">
        <f t="shared" si="26"/>
        <v>1.8335413187742233E-8</v>
      </c>
      <c r="AC67" s="41" t="str">
        <f t="shared" si="27"/>
        <v/>
      </c>
      <c r="AD67" s="24">
        <f t="shared" si="28"/>
        <v>2.200249582529068E-7</v>
      </c>
      <c r="AE67" s="41" t="str">
        <f t="shared" si="29"/>
        <v/>
      </c>
      <c r="AF67" s="24">
        <f t="shared" si="30"/>
        <v>2.6402994990348816E-6</v>
      </c>
      <c r="AG67" s="41" t="str">
        <f t="shared" si="31"/>
        <v/>
      </c>
      <c r="AH67" s="24">
        <f t="shared" si="32"/>
        <v>3.1683593988418579E-5</v>
      </c>
      <c r="AI67" s="41" t="str">
        <f t="shared" si="33"/>
        <v/>
      </c>
      <c r="AJ67" s="24">
        <f t="shared" si="34"/>
        <v>3.8020312786102295E-4</v>
      </c>
      <c r="AK67" s="41" t="str">
        <f t="shared" si="35"/>
        <v/>
      </c>
    </row>
    <row r="68" spans="1:37" ht="13.5" customHeight="1" x14ac:dyDescent="0.2">
      <c r="A68" s="642"/>
      <c r="B68" s="636"/>
      <c r="C68" s="636"/>
      <c r="D68" s="635" t="s">
        <v>431</v>
      </c>
      <c r="E68" s="497" t="s">
        <v>432</v>
      </c>
      <c r="F68" s="140">
        <v>-318100000</v>
      </c>
      <c r="G68" s="8">
        <v>4</v>
      </c>
      <c r="H68" s="21">
        <f t="shared" si="8"/>
        <v>4970312.5</v>
      </c>
      <c r="I68" s="37" t="str">
        <f t="shared" si="9"/>
        <v>1;7E84</v>
      </c>
      <c r="J68" s="38">
        <v>6</v>
      </c>
      <c r="K68" s="128">
        <f t="shared" si="10"/>
        <v>1.6645475997192216</v>
      </c>
      <c r="L68" s="39" t="str">
        <f>INDEX(powers!$H$2:$H$75,33+J68)</f>
        <v>dino cosmic</v>
      </c>
      <c r="M68" s="40" t="str">
        <f t="shared" si="11"/>
        <v>1</v>
      </c>
      <c r="N68" s="24">
        <f t="shared" si="12"/>
        <v>7.9745711966306594</v>
      </c>
      <c r="O68" s="41" t="str">
        <f t="shared" si="13"/>
        <v>7</v>
      </c>
      <c r="P68" s="24">
        <f t="shared" si="14"/>
        <v>11.694854359567913</v>
      </c>
      <c r="Q68" s="41" t="str">
        <f t="shared" si="15"/>
        <v>E</v>
      </c>
      <c r="R68" s="24">
        <f t="shared" si="16"/>
        <v>8.3382523148149517</v>
      </c>
      <c r="S68" s="41" t="str">
        <f t="shared" si="17"/>
        <v>8</v>
      </c>
      <c r="T68" s="24">
        <f t="shared" si="18"/>
        <v>4.0590277777794199</v>
      </c>
      <c r="U68" s="41" t="str">
        <f t="shared" si="19"/>
        <v>4</v>
      </c>
      <c r="V68" s="24">
        <f t="shared" si="20"/>
        <v>0.70833333335303905</v>
      </c>
      <c r="W68" s="41" t="str">
        <f t="shared" si="21"/>
        <v/>
      </c>
      <c r="X68" s="24">
        <f t="shared" si="22"/>
        <v>8.5000000002364686</v>
      </c>
      <c r="Y68" s="41" t="str">
        <f t="shared" si="23"/>
        <v/>
      </c>
      <c r="Z68" s="24">
        <f t="shared" si="24"/>
        <v>6.0000000028376235</v>
      </c>
      <c r="AA68" s="41" t="str">
        <f t="shared" si="25"/>
        <v/>
      </c>
      <c r="AB68" s="24">
        <f t="shared" si="26"/>
        <v>3.4051481634378433E-8</v>
      </c>
      <c r="AC68" s="41" t="str">
        <f t="shared" si="27"/>
        <v/>
      </c>
      <c r="AD68" s="24">
        <f t="shared" si="28"/>
        <v>4.086177796125412E-7</v>
      </c>
      <c r="AE68" s="41" t="str">
        <f t="shared" si="29"/>
        <v/>
      </c>
      <c r="AF68" s="24">
        <f t="shared" si="30"/>
        <v>4.9034133553504944E-6</v>
      </c>
      <c r="AG68" s="41" t="str">
        <f t="shared" si="31"/>
        <v/>
      </c>
      <c r="AH68" s="24">
        <f t="shared" si="32"/>
        <v>5.8840960264205933E-5</v>
      </c>
      <c r="AI68" s="41" t="str">
        <f t="shared" si="33"/>
        <v/>
      </c>
      <c r="AJ68" s="24">
        <f t="shared" si="34"/>
        <v>7.0609152317047119E-4</v>
      </c>
      <c r="AK68" s="41" t="str">
        <f t="shared" si="35"/>
        <v/>
      </c>
    </row>
    <row r="69" spans="1:37" ht="13.5" customHeight="1" x14ac:dyDescent="0.2">
      <c r="A69" s="642"/>
      <c r="B69" s="636"/>
      <c r="C69" s="636"/>
      <c r="D69" s="636"/>
      <c r="E69" s="497" t="s">
        <v>433</v>
      </c>
      <c r="F69" s="140">
        <v>-311700000</v>
      </c>
      <c r="G69" s="8">
        <v>4</v>
      </c>
      <c r="H69" s="21">
        <f t="shared" si="8"/>
        <v>4870312.5</v>
      </c>
      <c r="I69" s="37" t="str">
        <f t="shared" si="9"/>
        <v>1;76X6</v>
      </c>
      <c r="J69" s="38">
        <v>6</v>
      </c>
      <c r="K69" s="128">
        <f t="shared" si="10"/>
        <v>1.6310578020511832</v>
      </c>
      <c r="L69" s="39" t="str">
        <f>INDEX(powers!$H$2:$H$75,33+J69)</f>
        <v>dino cosmic</v>
      </c>
      <c r="M69" s="40" t="str">
        <f t="shared" si="11"/>
        <v>1</v>
      </c>
      <c r="N69" s="24">
        <f t="shared" si="12"/>
        <v>7.5726936246141987</v>
      </c>
      <c r="O69" s="41" t="str">
        <f t="shared" si="13"/>
        <v>7</v>
      </c>
      <c r="P69" s="24">
        <f t="shared" si="14"/>
        <v>6.8723234953703844</v>
      </c>
      <c r="Q69" s="41" t="str">
        <f t="shared" si="15"/>
        <v>6</v>
      </c>
      <c r="R69" s="24">
        <f t="shared" si="16"/>
        <v>10.467881944444613</v>
      </c>
      <c r="S69" s="41" t="str">
        <f t="shared" si="17"/>
        <v>X</v>
      </c>
      <c r="T69" s="24">
        <f t="shared" si="18"/>
        <v>5.6145833333353607</v>
      </c>
      <c r="U69" s="41" t="str">
        <f t="shared" si="19"/>
        <v>6</v>
      </c>
      <c r="V69" s="24">
        <f t="shared" si="20"/>
        <v>7.375000000024329</v>
      </c>
      <c r="W69" s="41" t="str">
        <f t="shared" si="21"/>
        <v/>
      </c>
      <c r="X69" s="24">
        <f t="shared" si="22"/>
        <v>4.5000000002919478</v>
      </c>
      <c r="Y69" s="41" t="str">
        <f t="shared" si="23"/>
        <v/>
      </c>
      <c r="Z69" s="24">
        <f t="shared" si="24"/>
        <v>6.0000000035033736</v>
      </c>
      <c r="AA69" s="41" t="str">
        <f t="shared" si="25"/>
        <v/>
      </c>
      <c r="AB69" s="24">
        <f t="shared" si="26"/>
        <v>4.2040483094751835E-8</v>
      </c>
      <c r="AC69" s="41" t="str">
        <f t="shared" si="27"/>
        <v/>
      </c>
      <c r="AD69" s="24">
        <f t="shared" si="28"/>
        <v>5.0448579713702202E-7</v>
      </c>
      <c r="AE69" s="41" t="str">
        <f t="shared" si="29"/>
        <v/>
      </c>
      <c r="AF69" s="24">
        <f t="shared" si="30"/>
        <v>6.0538295656442642E-6</v>
      </c>
      <c r="AG69" s="41" t="str">
        <f t="shared" si="31"/>
        <v/>
      </c>
      <c r="AH69" s="24">
        <f t="shared" si="32"/>
        <v>7.2645954787731171E-5</v>
      </c>
      <c r="AI69" s="41" t="str">
        <f t="shared" si="33"/>
        <v/>
      </c>
      <c r="AJ69" s="24">
        <f t="shared" si="34"/>
        <v>8.7175145745277405E-4</v>
      </c>
      <c r="AK69" s="41" t="str">
        <f t="shared" si="35"/>
        <v/>
      </c>
    </row>
    <row r="70" spans="1:37" ht="13.5" customHeight="1" x14ac:dyDescent="0.2">
      <c r="A70" s="642"/>
      <c r="B70" s="636"/>
      <c r="C70" s="636"/>
      <c r="D70" s="636"/>
      <c r="E70" s="497" t="s">
        <v>434</v>
      </c>
      <c r="F70" s="140">
        <v>-307200000</v>
      </c>
      <c r="G70" s="8">
        <v>4</v>
      </c>
      <c r="H70" s="21">
        <f t="shared" si="8"/>
        <v>4800000</v>
      </c>
      <c r="I70" s="37" t="str">
        <f t="shared" si="9"/>
        <v>1;7359</v>
      </c>
      <c r="J70" s="38">
        <v>6</v>
      </c>
      <c r="K70" s="128">
        <f t="shared" si="10"/>
        <v>1.6075102880658436</v>
      </c>
      <c r="L70" s="39" t="str">
        <f>INDEX(powers!$H$2:$H$75,33+J70)</f>
        <v>dino cosmic</v>
      </c>
      <c r="M70" s="40" t="str">
        <f t="shared" si="11"/>
        <v>1</v>
      </c>
      <c r="N70" s="24">
        <f t="shared" si="12"/>
        <v>7.2901234567901234</v>
      </c>
      <c r="O70" s="41" t="str">
        <f t="shared" si="13"/>
        <v>7</v>
      </c>
      <c r="P70" s="24">
        <f t="shared" si="14"/>
        <v>3.481481481481481</v>
      </c>
      <c r="Q70" s="41" t="str">
        <f t="shared" si="15"/>
        <v>3</v>
      </c>
      <c r="R70" s="24">
        <f t="shared" si="16"/>
        <v>5.7777777777777715</v>
      </c>
      <c r="S70" s="41" t="str">
        <f t="shared" si="17"/>
        <v>5</v>
      </c>
      <c r="T70" s="24">
        <f t="shared" si="18"/>
        <v>9.3333333333332575</v>
      </c>
      <c r="U70" s="41" t="str">
        <f t="shared" si="19"/>
        <v>9</v>
      </c>
      <c r="V70" s="24">
        <f t="shared" si="20"/>
        <v>3.9999999999990905</v>
      </c>
      <c r="W70" s="41" t="str">
        <f t="shared" si="21"/>
        <v/>
      </c>
      <c r="X70" s="24">
        <f t="shared" si="22"/>
        <v>11.999999999989086</v>
      </c>
      <c r="Y70" s="41" t="str">
        <f t="shared" si="23"/>
        <v/>
      </c>
      <c r="Z70" s="24">
        <f t="shared" si="24"/>
        <v>11.999999999869033</v>
      </c>
      <c r="AA70" s="41" t="str">
        <f t="shared" si="25"/>
        <v/>
      </c>
      <c r="AB70" s="24">
        <f t="shared" si="26"/>
        <v>11.999999998428393</v>
      </c>
      <c r="AC70" s="41" t="str">
        <f t="shared" si="27"/>
        <v/>
      </c>
      <c r="AD70" s="24">
        <f t="shared" si="28"/>
        <v>11.999999981140718</v>
      </c>
      <c r="AE70" s="41" t="str">
        <f t="shared" si="29"/>
        <v/>
      </c>
      <c r="AF70" s="24">
        <f t="shared" si="30"/>
        <v>11.999999773688614</v>
      </c>
      <c r="AG70" s="41" t="str">
        <f t="shared" si="31"/>
        <v/>
      </c>
      <c r="AH70" s="24">
        <f t="shared" si="32"/>
        <v>11.999997284263372</v>
      </c>
      <c r="AI70" s="41" t="str">
        <f t="shared" si="33"/>
        <v/>
      </c>
      <c r="AJ70" s="24">
        <f t="shared" si="34"/>
        <v>11.999967411160469</v>
      </c>
      <c r="AK70" s="41" t="str">
        <f t="shared" si="35"/>
        <v/>
      </c>
    </row>
    <row r="71" spans="1:37" ht="13.5" customHeight="1" x14ac:dyDescent="0.2">
      <c r="A71" s="642"/>
      <c r="B71" s="636"/>
      <c r="C71" s="637"/>
      <c r="D71" s="637"/>
      <c r="E71" s="497" t="s">
        <v>435</v>
      </c>
      <c r="F71" s="140">
        <v>-303400000</v>
      </c>
      <c r="G71" s="8">
        <v>4</v>
      </c>
      <c r="H71" s="21">
        <f t="shared" si="8"/>
        <v>4740625</v>
      </c>
      <c r="I71" s="37" t="str">
        <f t="shared" si="9"/>
        <v>1;7075</v>
      </c>
      <c r="J71" s="38">
        <v>6</v>
      </c>
      <c r="K71" s="128">
        <f t="shared" si="10"/>
        <v>1.5876257207004458</v>
      </c>
      <c r="L71" s="39" t="str">
        <f>INDEX(powers!$H$2:$H$75,33+J71)</f>
        <v>dino cosmic</v>
      </c>
      <c r="M71" s="40" t="str">
        <f t="shared" si="11"/>
        <v>1</v>
      </c>
      <c r="N71" s="24">
        <f t="shared" si="12"/>
        <v>7.05150864840535</v>
      </c>
      <c r="O71" s="41" t="str">
        <f t="shared" si="13"/>
        <v>7</v>
      </c>
      <c r="P71" s="24">
        <f t="shared" si="14"/>
        <v>0.61810378086419959</v>
      </c>
      <c r="Q71" s="41" t="str">
        <f t="shared" si="15"/>
        <v>0</v>
      </c>
      <c r="R71" s="24">
        <f t="shared" si="16"/>
        <v>7.4172453703703951</v>
      </c>
      <c r="S71" s="41" t="str">
        <f t="shared" si="17"/>
        <v>7</v>
      </c>
      <c r="T71" s="24">
        <f t="shared" si="18"/>
        <v>5.0069444444447413</v>
      </c>
      <c r="U71" s="41" t="str">
        <f t="shared" si="19"/>
        <v>5</v>
      </c>
      <c r="V71" s="24">
        <f t="shared" si="20"/>
        <v>8.3333333336895521E-2</v>
      </c>
      <c r="W71" s="41" t="str">
        <f t="shared" si="21"/>
        <v/>
      </c>
      <c r="X71" s="24">
        <f t="shared" si="22"/>
        <v>1.0000000000427463</v>
      </c>
      <c r="Y71" s="41" t="str">
        <f t="shared" si="23"/>
        <v/>
      </c>
      <c r="Z71" s="24">
        <f t="shared" si="24"/>
        <v>5.1295501179993153E-10</v>
      </c>
      <c r="AA71" s="41" t="str">
        <f t="shared" si="25"/>
        <v/>
      </c>
      <c r="AB71" s="24">
        <f t="shared" si="26"/>
        <v>6.1554601415991783E-9</v>
      </c>
      <c r="AC71" s="41" t="str">
        <f t="shared" si="27"/>
        <v/>
      </c>
      <c r="AD71" s="24">
        <f t="shared" si="28"/>
        <v>7.386552169919014E-8</v>
      </c>
      <c r="AE71" s="41" t="str">
        <f t="shared" si="29"/>
        <v/>
      </c>
      <c r="AF71" s="24">
        <f t="shared" si="30"/>
        <v>8.8638626039028168E-7</v>
      </c>
      <c r="AG71" s="41" t="str">
        <f t="shared" si="31"/>
        <v/>
      </c>
      <c r="AH71" s="24">
        <f t="shared" si="32"/>
        <v>1.063663512468338E-5</v>
      </c>
      <c r="AI71" s="41" t="str">
        <f t="shared" si="33"/>
        <v/>
      </c>
      <c r="AJ71" s="24">
        <f t="shared" si="34"/>
        <v>1.2763962149620056E-4</v>
      </c>
      <c r="AK71" s="41" t="str">
        <f t="shared" si="35"/>
        <v/>
      </c>
    </row>
    <row r="72" spans="1:37" ht="13.5" customHeight="1" x14ac:dyDescent="0.2">
      <c r="A72" s="642"/>
      <c r="B72" s="636"/>
      <c r="C72" s="635" t="s">
        <v>436</v>
      </c>
      <c r="D72" s="635" t="s">
        <v>437</v>
      </c>
      <c r="E72" s="497" t="s">
        <v>438</v>
      </c>
      <c r="F72" s="140">
        <v>-299000000</v>
      </c>
      <c r="G72" s="8">
        <v>4</v>
      </c>
      <c r="H72" s="21">
        <f t="shared" si="8"/>
        <v>4671875</v>
      </c>
      <c r="I72" s="37" t="str">
        <f t="shared" si="9"/>
        <v>1;6938</v>
      </c>
      <c r="J72" s="38">
        <v>6</v>
      </c>
      <c r="K72" s="128">
        <f t="shared" si="10"/>
        <v>1.5646014848036693</v>
      </c>
      <c r="L72" s="39" t="str">
        <f>INDEX(powers!$H$2:$H$75,33+J72)</f>
        <v>dino cosmic</v>
      </c>
      <c r="M72" s="40" t="str">
        <f t="shared" si="11"/>
        <v>1</v>
      </c>
      <c r="N72" s="24">
        <f t="shared" si="12"/>
        <v>6.7752178176440321</v>
      </c>
      <c r="O72" s="41" t="str">
        <f t="shared" si="13"/>
        <v>6</v>
      </c>
      <c r="P72" s="24">
        <f t="shared" si="14"/>
        <v>9.302613811728385</v>
      </c>
      <c r="Q72" s="41" t="str">
        <f t="shared" si="15"/>
        <v>9</v>
      </c>
      <c r="R72" s="24">
        <f t="shared" si="16"/>
        <v>3.6313657407406197</v>
      </c>
      <c r="S72" s="41" t="str">
        <f t="shared" si="17"/>
        <v>3</v>
      </c>
      <c r="T72" s="24">
        <f t="shared" si="18"/>
        <v>7.5763888888874362</v>
      </c>
      <c r="U72" s="41" t="str">
        <f t="shared" si="19"/>
        <v>8</v>
      </c>
      <c r="V72" s="24">
        <f t="shared" si="20"/>
        <v>6.9166666666492347</v>
      </c>
      <c r="W72" s="41" t="str">
        <f t="shared" si="21"/>
        <v/>
      </c>
      <c r="X72" s="24">
        <f t="shared" si="22"/>
        <v>10.999999999790816</v>
      </c>
      <c r="Y72" s="41" t="str">
        <f t="shared" si="23"/>
        <v/>
      </c>
      <c r="Z72" s="24">
        <f t="shared" si="24"/>
        <v>11.999999997489795</v>
      </c>
      <c r="AA72" s="41" t="str">
        <f t="shared" si="25"/>
        <v/>
      </c>
      <c r="AB72" s="24">
        <f t="shared" si="26"/>
        <v>11.999999969877535</v>
      </c>
      <c r="AC72" s="41" t="str">
        <f t="shared" si="27"/>
        <v/>
      </c>
      <c r="AD72" s="24">
        <f t="shared" si="28"/>
        <v>11.999999638530426</v>
      </c>
      <c r="AE72" s="41" t="str">
        <f t="shared" si="29"/>
        <v/>
      </c>
      <c r="AF72" s="24">
        <f t="shared" si="30"/>
        <v>11.999995662365109</v>
      </c>
      <c r="AG72" s="41" t="str">
        <f t="shared" si="31"/>
        <v/>
      </c>
      <c r="AH72" s="24">
        <f t="shared" si="32"/>
        <v>11.999947948381305</v>
      </c>
      <c r="AI72" s="41" t="str">
        <f t="shared" si="33"/>
        <v/>
      </c>
      <c r="AJ72" s="24">
        <f t="shared" si="34"/>
        <v>11.999375380575657</v>
      </c>
      <c r="AK72" s="41" t="str">
        <f t="shared" si="35"/>
        <v/>
      </c>
    </row>
    <row r="73" spans="1:37" ht="13.5" customHeight="1" x14ac:dyDescent="0.2">
      <c r="A73" s="642"/>
      <c r="B73" s="636"/>
      <c r="C73" s="636"/>
      <c r="D73" s="636"/>
      <c r="E73" s="497" t="s">
        <v>439</v>
      </c>
      <c r="F73" s="140">
        <v>-294600000</v>
      </c>
      <c r="G73" s="8">
        <v>4</v>
      </c>
      <c r="H73" s="21">
        <f t="shared" si="8"/>
        <v>4603125</v>
      </c>
      <c r="I73" s="37" t="str">
        <f t="shared" si="9"/>
        <v>1;65EX</v>
      </c>
      <c r="J73" s="38">
        <v>6</v>
      </c>
      <c r="K73" s="128">
        <f t="shared" si="10"/>
        <v>1.5415772489068931</v>
      </c>
      <c r="L73" s="39" t="str">
        <f>INDEX(powers!$H$2:$H$75,33+J73)</f>
        <v>dino cosmic</v>
      </c>
      <c r="M73" s="40" t="str">
        <f t="shared" si="11"/>
        <v>1</v>
      </c>
      <c r="N73" s="24">
        <f t="shared" si="12"/>
        <v>6.4989269868827169</v>
      </c>
      <c r="O73" s="41" t="str">
        <f t="shared" si="13"/>
        <v>6</v>
      </c>
      <c r="P73" s="24">
        <f t="shared" si="14"/>
        <v>5.9871238425926023</v>
      </c>
      <c r="Q73" s="41" t="str">
        <f t="shared" si="15"/>
        <v>5</v>
      </c>
      <c r="R73" s="24">
        <f t="shared" si="16"/>
        <v>11.845486111111228</v>
      </c>
      <c r="S73" s="41" t="str">
        <f t="shared" si="17"/>
        <v>E</v>
      </c>
      <c r="T73" s="24">
        <f t="shared" si="18"/>
        <v>10.145833333334735</v>
      </c>
      <c r="U73" s="41" t="str">
        <f t="shared" si="19"/>
        <v>X</v>
      </c>
      <c r="V73" s="24">
        <f t="shared" si="20"/>
        <v>1.7500000000168257</v>
      </c>
      <c r="W73" s="41" t="str">
        <f t="shared" si="21"/>
        <v/>
      </c>
      <c r="X73" s="24">
        <f t="shared" si="22"/>
        <v>9.0000000002019078</v>
      </c>
      <c r="Y73" s="41" t="str">
        <f t="shared" si="23"/>
        <v/>
      </c>
      <c r="Z73" s="24">
        <f t="shared" si="24"/>
        <v>2.4228938855230808E-9</v>
      </c>
      <c r="AA73" s="41" t="str">
        <f t="shared" si="25"/>
        <v/>
      </c>
      <c r="AB73" s="24">
        <f t="shared" si="26"/>
        <v>2.907472662627697E-8</v>
      </c>
      <c r="AC73" s="41" t="str">
        <f t="shared" si="27"/>
        <v/>
      </c>
      <c r="AD73" s="24">
        <f t="shared" si="28"/>
        <v>3.4889671951532364E-7</v>
      </c>
      <c r="AE73" s="41" t="str">
        <f t="shared" si="29"/>
        <v/>
      </c>
      <c r="AF73" s="24">
        <f t="shared" si="30"/>
        <v>4.1867606341838837E-6</v>
      </c>
      <c r="AG73" s="41" t="str">
        <f t="shared" si="31"/>
        <v/>
      </c>
      <c r="AH73" s="24">
        <f t="shared" si="32"/>
        <v>5.0241127610206604E-5</v>
      </c>
      <c r="AI73" s="41" t="str">
        <f t="shared" si="33"/>
        <v/>
      </c>
      <c r="AJ73" s="24">
        <f t="shared" si="34"/>
        <v>6.0289353132247925E-4</v>
      </c>
      <c r="AK73" s="41" t="str">
        <f t="shared" si="35"/>
        <v/>
      </c>
    </row>
    <row r="74" spans="1:37" ht="13.5" customHeight="1" x14ac:dyDescent="0.2">
      <c r="A74" s="642"/>
      <c r="B74" s="636"/>
      <c r="C74" s="636"/>
      <c r="D74" s="636"/>
      <c r="E74" s="497" t="s">
        <v>440</v>
      </c>
      <c r="F74" s="140">
        <v>-284400000</v>
      </c>
      <c r="G74" s="8">
        <v>4</v>
      </c>
      <c r="H74" s="21">
        <f t="shared" si="8"/>
        <v>4443750</v>
      </c>
      <c r="I74" s="37" t="str">
        <f t="shared" si="9"/>
        <v>1;5X37</v>
      </c>
      <c r="J74" s="38">
        <v>6</v>
      </c>
      <c r="K74" s="128">
        <f t="shared" si="10"/>
        <v>1.4882028838734569</v>
      </c>
      <c r="L74" s="39" t="str">
        <f>INDEX(powers!$H$2:$H$75,33+J74)</f>
        <v>dino cosmic</v>
      </c>
      <c r="M74" s="40" t="str">
        <f t="shared" si="11"/>
        <v>1</v>
      </c>
      <c r="N74" s="24">
        <f t="shared" si="12"/>
        <v>5.8584346064814827</v>
      </c>
      <c r="O74" s="41" t="str">
        <f t="shared" si="13"/>
        <v>5</v>
      </c>
      <c r="P74" s="24">
        <f t="shared" si="14"/>
        <v>10.301215277777793</v>
      </c>
      <c r="Q74" s="41" t="str">
        <f t="shared" si="15"/>
        <v>X</v>
      </c>
      <c r="R74" s="24">
        <f t="shared" si="16"/>
        <v>3.6145833333335133</v>
      </c>
      <c r="S74" s="41" t="str">
        <f t="shared" si="17"/>
        <v>3</v>
      </c>
      <c r="T74" s="24">
        <f t="shared" si="18"/>
        <v>7.37500000000216</v>
      </c>
      <c r="U74" s="41" t="str">
        <f t="shared" si="19"/>
        <v>7</v>
      </c>
      <c r="V74" s="24">
        <f t="shared" si="20"/>
        <v>4.5000000000259206</v>
      </c>
      <c r="W74" s="41" t="str">
        <f t="shared" si="21"/>
        <v/>
      </c>
      <c r="X74" s="24">
        <f t="shared" si="22"/>
        <v>6.0000000003110472</v>
      </c>
      <c r="Y74" s="41" t="str">
        <f t="shared" si="23"/>
        <v/>
      </c>
      <c r="Z74" s="24">
        <f t="shared" si="24"/>
        <v>3.7325662560760975E-9</v>
      </c>
      <c r="AA74" s="41" t="str">
        <f t="shared" si="25"/>
        <v/>
      </c>
      <c r="AB74" s="24">
        <f t="shared" si="26"/>
        <v>4.479079507291317E-8</v>
      </c>
      <c r="AC74" s="41" t="str">
        <f t="shared" si="27"/>
        <v/>
      </c>
      <c r="AD74" s="24">
        <f t="shared" si="28"/>
        <v>5.3748954087495804E-7</v>
      </c>
      <c r="AE74" s="41" t="str">
        <f t="shared" si="29"/>
        <v/>
      </c>
      <c r="AF74" s="24">
        <f t="shared" si="30"/>
        <v>6.4498744904994965E-6</v>
      </c>
      <c r="AG74" s="41" t="str">
        <f t="shared" si="31"/>
        <v/>
      </c>
      <c r="AH74" s="24">
        <f t="shared" si="32"/>
        <v>7.7398493885993958E-5</v>
      </c>
      <c r="AI74" s="41" t="str">
        <f t="shared" si="33"/>
        <v/>
      </c>
      <c r="AJ74" s="24">
        <f t="shared" si="34"/>
        <v>9.2878192663192749E-4</v>
      </c>
      <c r="AK74" s="41" t="str">
        <f t="shared" si="35"/>
        <v/>
      </c>
    </row>
    <row r="75" spans="1:37" ht="13.5" customHeight="1" x14ac:dyDescent="0.2">
      <c r="A75" s="642"/>
      <c r="B75" s="636"/>
      <c r="C75" s="636"/>
      <c r="D75" s="637"/>
      <c r="E75" s="497" t="s">
        <v>441</v>
      </c>
      <c r="F75" s="140">
        <v>-275600000</v>
      </c>
      <c r="G75" s="8">
        <v>4</v>
      </c>
      <c r="H75" s="21">
        <f t="shared" si="8"/>
        <v>4306250</v>
      </c>
      <c r="I75" s="37" t="str">
        <f t="shared" si="9"/>
        <v>1;5381</v>
      </c>
      <c r="J75" s="38">
        <v>6</v>
      </c>
      <c r="K75" s="128">
        <f t="shared" si="10"/>
        <v>1.4421544120799039</v>
      </c>
      <c r="L75" s="39" t="str">
        <f>INDEX(powers!$H$2:$H$75,33+J75)</f>
        <v>dino cosmic</v>
      </c>
      <c r="M75" s="40" t="str">
        <f t="shared" si="11"/>
        <v>1</v>
      </c>
      <c r="N75" s="24">
        <f t="shared" si="12"/>
        <v>5.305852944958847</v>
      </c>
      <c r="O75" s="41" t="str">
        <f t="shared" si="13"/>
        <v>5</v>
      </c>
      <c r="P75" s="24">
        <f t="shared" si="14"/>
        <v>3.6702353395061635</v>
      </c>
      <c r="Q75" s="41" t="str">
        <f t="shared" si="15"/>
        <v>3</v>
      </c>
      <c r="R75" s="24">
        <f t="shared" si="16"/>
        <v>8.0428240740739625</v>
      </c>
      <c r="S75" s="41" t="str">
        <f t="shared" si="17"/>
        <v>8</v>
      </c>
      <c r="T75" s="24">
        <f t="shared" si="18"/>
        <v>0.51388888888754991</v>
      </c>
      <c r="U75" s="41" t="str">
        <f t="shared" si="19"/>
        <v>1</v>
      </c>
      <c r="V75" s="24">
        <f t="shared" si="20"/>
        <v>6.1666666666505989</v>
      </c>
      <c r="W75" s="41" t="str">
        <f t="shared" si="21"/>
        <v/>
      </c>
      <c r="X75" s="24">
        <f t="shared" si="22"/>
        <v>1.9999999998071871</v>
      </c>
      <c r="Y75" s="41" t="str">
        <f t="shared" si="23"/>
        <v/>
      </c>
      <c r="Z75" s="24">
        <f t="shared" si="24"/>
        <v>11.999999997686245</v>
      </c>
      <c r="AA75" s="41" t="str">
        <f t="shared" si="25"/>
        <v/>
      </c>
      <c r="AB75" s="24">
        <f t="shared" si="26"/>
        <v>11.999999972234946</v>
      </c>
      <c r="AC75" s="41" t="str">
        <f t="shared" si="27"/>
        <v/>
      </c>
      <c r="AD75" s="24">
        <f t="shared" si="28"/>
        <v>11.999999666819349</v>
      </c>
      <c r="AE75" s="41" t="str">
        <f t="shared" si="29"/>
        <v/>
      </c>
      <c r="AF75" s="24">
        <f t="shared" si="30"/>
        <v>11.999996001832187</v>
      </c>
      <c r="AG75" s="41" t="str">
        <f t="shared" si="31"/>
        <v/>
      </c>
      <c r="AH75" s="24">
        <f t="shared" si="32"/>
        <v>11.999952021986246</v>
      </c>
      <c r="AI75" s="41" t="str">
        <f t="shared" si="33"/>
        <v/>
      </c>
      <c r="AJ75" s="24">
        <f t="shared" si="34"/>
        <v>11.999424263834953</v>
      </c>
      <c r="AK75" s="41" t="str">
        <f t="shared" si="35"/>
        <v/>
      </c>
    </row>
    <row r="76" spans="1:37" ht="13.5" customHeight="1" x14ac:dyDescent="0.2">
      <c r="A76" s="642"/>
      <c r="B76" s="636"/>
      <c r="C76" s="636"/>
      <c r="D76" s="635" t="s">
        <v>442</v>
      </c>
      <c r="E76" s="497" t="s">
        <v>443</v>
      </c>
      <c r="F76" s="140">
        <v>-270600000</v>
      </c>
      <c r="G76" s="8">
        <v>4</v>
      </c>
      <c r="H76" s="21">
        <f t="shared" si="8"/>
        <v>4228125</v>
      </c>
      <c r="I76" s="37" t="str">
        <f t="shared" si="9"/>
        <v>1;4EXX</v>
      </c>
      <c r="J76" s="38">
        <v>6</v>
      </c>
      <c r="K76" s="128">
        <f t="shared" si="10"/>
        <v>1.4159905076517489</v>
      </c>
      <c r="L76" s="39" t="str">
        <f>INDEX(powers!$H$2:$H$75,33+J76)</f>
        <v>dino cosmic</v>
      </c>
      <c r="M76" s="40" t="str">
        <f t="shared" si="11"/>
        <v>1</v>
      </c>
      <c r="N76" s="24">
        <f t="shared" si="12"/>
        <v>4.9918860918209873</v>
      </c>
      <c r="O76" s="41" t="str">
        <f t="shared" si="13"/>
        <v>4</v>
      </c>
      <c r="P76" s="24">
        <f t="shared" si="14"/>
        <v>11.902633101851848</v>
      </c>
      <c r="Q76" s="41" t="str">
        <f t="shared" si="15"/>
        <v>E</v>
      </c>
      <c r="R76" s="24">
        <f t="shared" si="16"/>
        <v>10.831597222222172</v>
      </c>
      <c r="S76" s="41" t="str">
        <f t="shared" si="17"/>
        <v>X</v>
      </c>
      <c r="T76" s="24">
        <f t="shared" si="18"/>
        <v>9.9791666666660603</v>
      </c>
      <c r="U76" s="41" t="str">
        <f t="shared" si="19"/>
        <v>X</v>
      </c>
      <c r="V76" s="24">
        <f t="shared" si="20"/>
        <v>11.749999999992724</v>
      </c>
      <c r="W76" s="41" t="str">
        <f t="shared" si="21"/>
        <v/>
      </c>
      <c r="X76" s="24">
        <f t="shared" si="22"/>
        <v>8.9999999999126885</v>
      </c>
      <c r="Y76" s="41" t="str">
        <f t="shared" si="23"/>
        <v/>
      </c>
      <c r="Z76" s="24">
        <f t="shared" si="24"/>
        <v>11.999999998952262</v>
      </c>
      <c r="AA76" s="41" t="str">
        <f t="shared" si="25"/>
        <v/>
      </c>
      <c r="AB76" s="24">
        <f t="shared" si="26"/>
        <v>11.999999987427145</v>
      </c>
      <c r="AC76" s="41" t="str">
        <f t="shared" si="27"/>
        <v/>
      </c>
      <c r="AD76" s="24">
        <f t="shared" si="28"/>
        <v>11.999999849125743</v>
      </c>
      <c r="AE76" s="41" t="str">
        <f t="shared" si="29"/>
        <v/>
      </c>
      <c r="AF76" s="24">
        <f t="shared" si="30"/>
        <v>11.999998189508915</v>
      </c>
      <c r="AG76" s="41" t="str">
        <f t="shared" si="31"/>
        <v/>
      </c>
      <c r="AH76" s="24">
        <f t="shared" si="32"/>
        <v>11.999978274106979</v>
      </c>
      <c r="AI76" s="41" t="str">
        <f t="shared" si="33"/>
        <v/>
      </c>
      <c r="AJ76" s="24">
        <f t="shared" si="34"/>
        <v>11.999739289283752</v>
      </c>
      <c r="AK76" s="41" t="str">
        <f t="shared" si="35"/>
        <v/>
      </c>
    </row>
    <row r="77" spans="1:37" ht="13.5" customHeight="1" x14ac:dyDescent="0.2">
      <c r="A77" s="642"/>
      <c r="B77" s="636"/>
      <c r="C77" s="636"/>
      <c r="D77" s="636"/>
      <c r="E77" s="497" t="s">
        <v>444</v>
      </c>
      <c r="F77" s="140">
        <v>-268000000</v>
      </c>
      <c r="G77" s="8">
        <v>4</v>
      </c>
      <c r="H77" s="21">
        <f t="shared" si="8"/>
        <v>4187500</v>
      </c>
      <c r="I77" s="37" t="str">
        <f t="shared" si="9"/>
        <v>1;49E4</v>
      </c>
      <c r="J77" s="38">
        <v>6</v>
      </c>
      <c r="K77" s="128">
        <f t="shared" si="10"/>
        <v>1.4023852773491083</v>
      </c>
      <c r="L77" s="39" t="str">
        <f>INDEX(powers!$H$2:$H$75,33+J77)</f>
        <v>dino cosmic</v>
      </c>
      <c r="M77" s="40" t="str">
        <f t="shared" si="11"/>
        <v>1</v>
      </c>
      <c r="N77" s="24">
        <f t="shared" si="12"/>
        <v>4.8286233281893001</v>
      </c>
      <c r="O77" s="41" t="str">
        <f t="shared" si="13"/>
        <v>4</v>
      </c>
      <c r="P77" s="24">
        <f t="shared" si="14"/>
        <v>9.9434799382716008</v>
      </c>
      <c r="Q77" s="41" t="str">
        <f t="shared" si="15"/>
        <v>9</v>
      </c>
      <c r="R77" s="24">
        <f t="shared" si="16"/>
        <v>11.32175925925921</v>
      </c>
      <c r="S77" s="41" t="str">
        <f t="shared" si="17"/>
        <v>E</v>
      </c>
      <c r="T77" s="24">
        <f t="shared" si="18"/>
        <v>3.8611111111105174</v>
      </c>
      <c r="U77" s="41" t="str">
        <f t="shared" si="19"/>
        <v>4</v>
      </c>
      <c r="V77" s="24">
        <f t="shared" si="20"/>
        <v>10.333333333326209</v>
      </c>
      <c r="W77" s="41" t="str">
        <f t="shared" si="21"/>
        <v/>
      </c>
      <c r="X77" s="24">
        <f t="shared" si="22"/>
        <v>3.9999999999145075</v>
      </c>
      <c r="Y77" s="41" t="str">
        <f t="shared" si="23"/>
        <v/>
      </c>
      <c r="Z77" s="24">
        <f t="shared" si="24"/>
        <v>11.99999999897409</v>
      </c>
      <c r="AA77" s="41" t="str">
        <f t="shared" si="25"/>
        <v/>
      </c>
      <c r="AB77" s="24">
        <f t="shared" si="26"/>
        <v>11.99999998768908</v>
      </c>
      <c r="AC77" s="41" t="str">
        <f t="shared" si="27"/>
        <v/>
      </c>
      <c r="AD77" s="24">
        <f t="shared" si="28"/>
        <v>11.999999852268957</v>
      </c>
      <c r="AE77" s="41" t="str">
        <f t="shared" si="29"/>
        <v/>
      </c>
      <c r="AF77" s="24">
        <f t="shared" si="30"/>
        <v>11.999998227227479</v>
      </c>
      <c r="AG77" s="41" t="str">
        <f t="shared" si="31"/>
        <v/>
      </c>
      <c r="AH77" s="24">
        <f t="shared" si="32"/>
        <v>11.999978726729751</v>
      </c>
      <c r="AI77" s="41" t="str">
        <f t="shared" si="33"/>
        <v/>
      </c>
      <c r="AJ77" s="24">
        <f t="shared" si="34"/>
        <v>11.999744720757008</v>
      </c>
      <c r="AK77" s="41" t="str">
        <f t="shared" si="35"/>
        <v/>
      </c>
    </row>
    <row r="78" spans="1:37" ht="13.5" customHeight="1" x14ac:dyDescent="0.2">
      <c r="A78" s="642"/>
      <c r="B78" s="636"/>
      <c r="C78" s="636"/>
      <c r="D78" s="637"/>
      <c r="E78" s="497" t="s">
        <v>445</v>
      </c>
      <c r="F78" s="140">
        <v>-265800000</v>
      </c>
      <c r="G78" s="8">
        <v>4</v>
      </c>
      <c r="H78" s="21">
        <f t="shared" si="8"/>
        <v>4153125</v>
      </c>
      <c r="I78" s="37" t="str">
        <f t="shared" si="9"/>
        <v>1;4835</v>
      </c>
      <c r="J78" s="38">
        <v>6</v>
      </c>
      <c r="K78" s="128">
        <f t="shared" si="10"/>
        <v>1.3908731594007202</v>
      </c>
      <c r="L78" s="39" t="str">
        <f>INDEX(powers!$H$2:$H$75,33+J78)</f>
        <v>dino cosmic</v>
      </c>
      <c r="M78" s="40" t="str">
        <f t="shared" si="11"/>
        <v>1</v>
      </c>
      <c r="N78" s="24">
        <f t="shared" si="12"/>
        <v>4.6904779128086425</v>
      </c>
      <c r="O78" s="41" t="str">
        <f t="shared" si="13"/>
        <v>4</v>
      </c>
      <c r="P78" s="24">
        <f t="shared" si="14"/>
        <v>8.2857349537037095</v>
      </c>
      <c r="Q78" s="41" t="str">
        <f t="shared" si="15"/>
        <v>8</v>
      </c>
      <c r="R78" s="24">
        <f t="shared" si="16"/>
        <v>3.4288194444445139</v>
      </c>
      <c r="S78" s="41" t="str">
        <f t="shared" si="17"/>
        <v>3</v>
      </c>
      <c r="T78" s="24">
        <f t="shared" si="18"/>
        <v>5.145833333334167</v>
      </c>
      <c r="U78" s="41" t="str">
        <f t="shared" si="19"/>
        <v>5</v>
      </c>
      <c r="V78" s="24">
        <f t="shared" si="20"/>
        <v>1.7500000000100044</v>
      </c>
      <c r="W78" s="41" t="str">
        <f t="shared" si="21"/>
        <v/>
      </c>
      <c r="X78" s="24">
        <f t="shared" si="22"/>
        <v>9.0000000001200533</v>
      </c>
      <c r="Y78" s="41" t="str">
        <f t="shared" si="23"/>
        <v/>
      </c>
      <c r="Z78" s="24">
        <f t="shared" si="24"/>
        <v>1.4406396076083183E-9</v>
      </c>
      <c r="AA78" s="41" t="str">
        <f t="shared" si="25"/>
        <v/>
      </c>
      <c r="AB78" s="24">
        <f t="shared" si="26"/>
        <v>1.728767529129982E-8</v>
      </c>
      <c r="AC78" s="41" t="str">
        <f t="shared" si="27"/>
        <v/>
      </c>
      <c r="AD78" s="24">
        <f t="shared" si="28"/>
        <v>2.0745210349559784E-7</v>
      </c>
      <c r="AE78" s="41" t="str">
        <f t="shared" si="29"/>
        <v/>
      </c>
      <c r="AF78" s="24">
        <f t="shared" si="30"/>
        <v>2.4894252419471741E-6</v>
      </c>
      <c r="AG78" s="41" t="str">
        <f t="shared" si="31"/>
        <v/>
      </c>
      <c r="AH78" s="24">
        <f t="shared" si="32"/>
        <v>2.9873102903366089E-5</v>
      </c>
      <c r="AI78" s="41" t="str">
        <f t="shared" si="33"/>
        <v/>
      </c>
      <c r="AJ78" s="24">
        <f t="shared" si="34"/>
        <v>3.5847723484039307E-4</v>
      </c>
      <c r="AK78" s="41" t="str">
        <f t="shared" si="35"/>
        <v/>
      </c>
    </row>
    <row r="79" spans="1:37" ht="13.5" customHeight="1" x14ac:dyDescent="0.2">
      <c r="A79" s="642"/>
      <c r="B79" s="636"/>
      <c r="C79" s="636"/>
      <c r="D79" s="635" t="s">
        <v>446</v>
      </c>
      <c r="E79" s="497" t="s">
        <v>447</v>
      </c>
      <c r="F79" s="140">
        <v>-260400000</v>
      </c>
      <c r="G79" s="8">
        <v>4</v>
      </c>
      <c r="H79" s="21">
        <f t="shared" si="8"/>
        <v>4068750</v>
      </c>
      <c r="I79" s="37" t="str">
        <f t="shared" si="9"/>
        <v>1;4427</v>
      </c>
      <c r="J79" s="38">
        <v>6</v>
      </c>
      <c r="K79" s="128">
        <f t="shared" si="10"/>
        <v>1.3626161426183128</v>
      </c>
      <c r="L79" s="39" t="str">
        <f>INDEX(powers!$H$2:$H$75,33+J79)</f>
        <v>dino cosmic</v>
      </c>
      <c r="M79" s="40" t="str">
        <f t="shared" si="11"/>
        <v>1</v>
      </c>
      <c r="N79" s="24">
        <f t="shared" si="12"/>
        <v>4.3513937114197532</v>
      </c>
      <c r="O79" s="41" t="str">
        <f t="shared" si="13"/>
        <v>4</v>
      </c>
      <c r="P79" s="24">
        <f t="shared" si="14"/>
        <v>4.2167245370370381</v>
      </c>
      <c r="Q79" s="41" t="str">
        <f t="shared" si="15"/>
        <v>4</v>
      </c>
      <c r="R79" s="24">
        <f t="shared" si="16"/>
        <v>2.6006944444444571</v>
      </c>
      <c r="S79" s="41" t="str">
        <f t="shared" si="17"/>
        <v>2</v>
      </c>
      <c r="T79" s="24">
        <f t="shared" si="18"/>
        <v>7.2083333333334849</v>
      </c>
      <c r="U79" s="41" t="str">
        <f t="shared" si="19"/>
        <v>7</v>
      </c>
      <c r="V79" s="24">
        <f t="shared" si="20"/>
        <v>2.500000000001819</v>
      </c>
      <c r="W79" s="41" t="str">
        <f t="shared" si="21"/>
        <v/>
      </c>
      <c r="X79" s="24">
        <f t="shared" si="22"/>
        <v>6.0000000000218279</v>
      </c>
      <c r="Y79" s="41" t="str">
        <f t="shared" si="23"/>
        <v/>
      </c>
      <c r="Z79" s="24">
        <f t="shared" si="24"/>
        <v>2.6193447411060333E-10</v>
      </c>
      <c r="AA79" s="41" t="str">
        <f t="shared" si="25"/>
        <v/>
      </c>
      <c r="AB79" s="24">
        <f t="shared" si="26"/>
        <v>3.14321368932724E-9</v>
      </c>
      <c r="AC79" s="41" t="str">
        <f t="shared" si="27"/>
        <v/>
      </c>
      <c r="AD79" s="24">
        <f t="shared" si="28"/>
        <v>3.771856427192688E-8</v>
      </c>
      <c r="AE79" s="41" t="str">
        <f t="shared" si="29"/>
        <v/>
      </c>
      <c r="AF79" s="24">
        <f t="shared" si="30"/>
        <v>4.5262277126312256E-7</v>
      </c>
      <c r="AG79" s="41" t="str">
        <f t="shared" si="31"/>
        <v/>
      </c>
      <c r="AH79" s="24">
        <f t="shared" si="32"/>
        <v>5.4314732551574707E-6</v>
      </c>
      <c r="AI79" s="41" t="str">
        <f t="shared" si="33"/>
        <v/>
      </c>
      <c r="AJ79" s="24">
        <f t="shared" si="34"/>
        <v>6.5177679061889648E-5</v>
      </c>
      <c r="AK79" s="41" t="str">
        <f t="shared" si="35"/>
        <v/>
      </c>
    </row>
    <row r="80" spans="1:37" ht="13.5" customHeight="1" x14ac:dyDescent="0.2">
      <c r="A80" s="642"/>
      <c r="B80" s="637"/>
      <c r="C80" s="637"/>
      <c r="D80" s="637"/>
      <c r="E80" s="497" t="s">
        <v>448</v>
      </c>
      <c r="F80" s="140">
        <v>-253800000</v>
      </c>
      <c r="G80" s="8">
        <v>4</v>
      </c>
      <c r="H80" s="21">
        <f t="shared" si="8"/>
        <v>3965625</v>
      </c>
      <c r="I80" s="37" t="str">
        <f t="shared" si="9"/>
        <v>1;3E2E</v>
      </c>
      <c r="J80" s="38">
        <v>6</v>
      </c>
      <c r="K80" s="128">
        <f t="shared" si="10"/>
        <v>1.3280797887731481</v>
      </c>
      <c r="L80" s="39" t="str">
        <f>INDEX(powers!$H$2:$H$75,33+J80)</f>
        <v>dino cosmic</v>
      </c>
      <c r="M80" s="40" t="str">
        <f t="shared" si="11"/>
        <v>1</v>
      </c>
      <c r="N80" s="24">
        <f t="shared" si="12"/>
        <v>3.9369574652777777</v>
      </c>
      <c r="O80" s="41" t="str">
        <f t="shared" si="13"/>
        <v>3</v>
      </c>
      <c r="P80" s="24">
        <f t="shared" si="14"/>
        <v>11.243489583333332</v>
      </c>
      <c r="Q80" s="41" t="str">
        <f t="shared" si="15"/>
        <v>E</v>
      </c>
      <c r="R80" s="24">
        <f t="shared" si="16"/>
        <v>2.9218749999999858</v>
      </c>
      <c r="S80" s="41" t="str">
        <f t="shared" si="17"/>
        <v>2</v>
      </c>
      <c r="T80" s="24">
        <f t="shared" si="18"/>
        <v>11.062499999999829</v>
      </c>
      <c r="U80" s="41" t="str">
        <f t="shared" si="19"/>
        <v>E</v>
      </c>
      <c r="V80" s="24">
        <f t="shared" si="20"/>
        <v>0.74999999999795364</v>
      </c>
      <c r="W80" s="41" t="str">
        <f t="shared" si="21"/>
        <v/>
      </c>
      <c r="X80" s="24">
        <f t="shared" si="22"/>
        <v>8.9999999999754436</v>
      </c>
      <c r="Y80" s="41" t="str">
        <f t="shared" si="23"/>
        <v/>
      </c>
      <c r="Z80" s="24">
        <f t="shared" si="24"/>
        <v>11.999999999705324</v>
      </c>
      <c r="AA80" s="41" t="str">
        <f t="shared" si="25"/>
        <v/>
      </c>
      <c r="AB80" s="24">
        <f t="shared" si="26"/>
        <v>11.999999996463885</v>
      </c>
      <c r="AC80" s="41" t="str">
        <f t="shared" si="27"/>
        <v/>
      </c>
      <c r="AD80" s="24">
        <f t="shared" si="28"/>
        <v>11.999999957566615</v>
      </c>
      <c r="AE80" s="41" t="str">
        <f t="shared" si="29"/>
        <v/>
      </c>
      <c r="AF80" s="24">
        <f t="shared" si="30"/>
        <v>11.999999490799382</v>
      </c>
      <c r="AG80" s="41" t="str">
        <f t="shared" si="31"/>
        <v/>
      </c>
      <c r="AH80" s="24">
        <f t="shared" si="32"/>
        <v>11.999993889592588</v>
      </c>
      <c r="AI80" s="41" t="str">
        <f t="shared" si="33"/>
        <v/>
      </c>
      <c r="AJ80" s="24">
        <f t="shared" si="34"/>
        <v>11.999926675111055</v>
      </c>
      <c r="AK80" s="41" t="str">
        <f t="shared" si="35"/>
        <v/>
      </c>
    </row>
    <row r="81" spans="1:37" ht="13.5" customHeight="1" x14ac:dyDescent="0.2">
      <c r="A81" s="642"/>
      <c r="B81" s="635" t="s">
        <v>449</v>
      </c>
      <c r="C81" s="635" t="s">
        <v>450</v>
      </c>
      <c r="D81" s="635" t="s">
        <v>451</v>
      </c>
      <c r="E81" s="497" t="s">
        <v>452</v>
      </c>
      <c r="F81" s="140">
        <v>-251000000</v>
      </c>
      <c r="G81" s="8">
        <v>4</v>
      </c>
      <c r="H81" s="21">
        <f t="shared" si="8"/>
        <v>3921875</v>
      </c>
      <c r="I81" s="37" t="str">
        <f t="shared" si="9"/>
        <v>1;3917</v>
      </c>
      <c r="J81" s="38">
        <v>6</v>
      </c>
      <c r="K81" s="128">
        <f t="shared" si="10"/>
        <v>1.3134280022933813</v>
      </c>
      <c r="L81" s="39" t="str">
        <f>INDEX(powers!$H$2:$H$75,33+J81)</f>
        <v>dino cosmic</v>
      </c>
      <c r="M81" s="40" t="str">
        <f t="shared" si="11"/>
        <v>1</v>
      </c>
      <c r="N81" s="24">
        <f t="shared" si="12"/>
        <v>3.7611360275205756</v>
      </c>
      <c r="O81" s="41" t="str">
        <f t="shared" si="13"/>
        <v>3</v>
      </c>
      <c r="P81" s="24">
        <f t="shared" si="14"/>
        <v>9.1336323302469076</v>
      </c>
      <c r="Q81" s="41" t="str">
        <f t="shared" si="15"/>
        <v>9</v>
      </c>
      <c r="R81" s="24">
        <f t="shared" si="16"/>
        <v>1.6035879629628909</v>
      </c>
      <c r="S81" s="41" t="str">
        <f t="shared" si="17"/>
        <v>1</v>
      </c>
      <c r="T81" s="24">
        <f t="shared" si="18"/>
        <v>7.2430555555546903</v>
      </c>
      <c r="U81" s="41" t="str">
        <f t="shared" si="19"/>
        <v>7</v>
      </c>
      <c r="V81" s="24">
        <f t="shared" si="20"/>
        <v>2.9166666666562833</v>
      </c>
      <c r="W81" s="41" t="str">
        <f t="shared" si="21"/>
        <v/>
      </c>
      <c r="X81" s="24">
        <f t="shared" si="22"/>
        <v>10.999999999875399</v>
      </c>
      <c r="Y81" s="41" t="str">
        <f t="shared" si="23"/>
        <v/>
      </c>
      <c r="Z81" s="24">
        <f t="shared" si="24"/>
        <v>11.999999998504791</v>
      </c>
      <c r="AA81" s="41" t="str">
        <f t="shared" si="25"/>
        <v/>
      </c>
      <c r="AB81" s="24">
        <f t="shared" si="26"/>
        <v>11.999999982057489</v>
      </c>
      <c r="AC81" s="41" t="str">
        <f t="shared" si="27"/>
        <v/>
      </c>
      <c r="AD81" s="24">
        <f t="shared" si="28"/>
        <v>11.999999784689862</v>
      </c>
      <c r="AE81" s="41" t="str">
        <f t="shared" si="29"/>
        <v/>
      </c>
      <c r="AF81" s="24">
        <f t="shared" si="30"/>
        <v>11.999997416278347</v>
      </c>
      <c r="AG81" s="41" t="str">
        <f t="shared" si="31"/>
        <v/>
      </c>
      <c r="AH81" s="24">
        <f t="shared" si="32"/>
        <v>11.999968995340168</v>
      </c>
      <c r="AI81" s="41" t="str">
        <f t="shared" si="33"/>
        <v/>
      </c>
      <c r="AJ81" s="24">
        <f t="shared" si="34"/>
        <v>11.999627944082022</v>
      </c>
      <c r="AK81" s="41" t="str">
        <f t="shared" si="35"/>
        <v/>
      </c>
    </row>
    <row r="82" spans="1:37" ht="13.5" customHeight="1" x14ac:dyDescent="0.2">
      <c r="A82" s="642"/>
      <c r="B82" s="636"/>
      <c r="C82" s="636"/>
      <c r="D82" s="637"/>
      <c r="E82" s="497" t="s">
        <v>453</v>
      </c>
      <c r="F82" s="140">
        <v>-249500000</v>
      </c>
      <c r="G82" s="8">
        <v>4</v>
      </c>
      <c r="H82" s="21">
        <f t="shared" si="8"/>
        <v>3898437.5</v>
      </c>
      <c r="I82" s="37" t="str">
        <f t="shared" si="9"/>
        <v>1;3800</v>
      </c>
      <c r="J82" s="38">
        <v>6</v>
      </c>
      <c r="K82" s="128">
        <f t="shared" si="10"/>
        <v>1.3055788309649348</v>
      </c>
      <c r="L82" s="39" t="str">
        <f>INDEX(powers!$H$2:$H$75,33+J82)</f>
        <v>dino cosmic</v>
      </c>
      <c r="M82" s="40" t="str">
        <f t="shared" si="11"/>
        <v>1</v>
      </c>
      <c r="N82" s="24">
        <f t="shared" si="12"/>
        <v>3.6669459715792172</v>
      </c>
      <c r="O82" s="41" t="str">
        <f t="shared" si="13"/>
        <v>3</v>
      </c>
      <c r="P82" s="24">
        <f t="shared" si="14"/>
        <v>8.0033516589506064</v>
      </c>
      <c r="Q82" s="41" t="str">
        <f t="shared" si="15"/>
        <v>8</v>
      </c>
      <c r="R82" s="24">
        <f t="shared" si="16"/>
        <v>4.0219907407276878E-2</v>
      </c>
      <c r="S82" s="41" t="str">
        <f t="shared" si="17"/>
        <v>0</v>
      </c>
      <c r="T82" s="24">
        <f t="shared" si="18"/>
        <v>0.48263888888732254</v>
      </c>
      <c r="U82" s="41" t="str">
        <f t="shared" si="19"/>
        <v>0</v>
      </c>
      <c r="V82" s="24">
        <f t="shared" si="20"/>
        <v>5.7916666666478704</v>
      </c>
      <c r="W82" s="41" t="str">
        <f t="shared" si="21"/>
        <v/>
      </c>
      <c r="X82" s="24">
        <f t="shared" si="22"/>
        <v>9.4999999997744453</v>
      </c>
      <c r="Y82" s="41" t="str">
        <f t="shared" si="23"/>
        <v/>
      </c>
      <c r="Z82" s="24">
        <f t="shared" si="24"/>
        <v>5.9999999972933438</v>
      </c>
      <c r="AA82" s="41" t="str">
        <f t="shared" si="25"/>
        <v/>
      </c>
      <c r="AB82" s="24">
        <f t="shared" si="26"/>
        <v>11.999999967520125</v>
      </c>
      <c r="AC82" s="41" t="str">
        <f t="shared" si="27"/>
        <v/>
      </c>
      <c r="AD82" s="24">
        <f t="shared" si="28"/>
        <v>11.999999610241503</v>
      </c>
      <c r="AE82" s="41" t="str">
        <f t="shared" si="29"/>
        <v/>
      </c>
      <c r="AF82" s="24">
        <f t="shared" si="30"/>
        <v>11.99999532289803</v>
      </c>
      <c r="AG82" s="41" t="str">
        <f t="shared" si="31"/>
        <v/>
      </c>
      <c r="AH82" s="24">
        <f t="shared" si="32"/>
        <v>11.999943874776363</v>
      </c>
      <c r="AI82" s="41" t="str">
        <f t="shared" si="33"/>
        <v/>
      </c>
      <c r="AJ82" s="24">
        <f t="shared" si="34"/>
        <v>11.99932649731636</v>
      </c>
      <c r="AK82" s="41" t="str">
        <f t="shared" si="35"/>
        <v/>
      </c>
    </row>
    <row r="83" spans="1:37" ht="13.5" customHeight="1" x14ac:dyDescent="0.2">
      <c r="A83" s="642"/>
      <c r="B83" s="636"/>
      <c r="C83" s="636"/>
      <c r="D83" s="635" t="s">
        <v>454</v>
      </c>
      <c r="E83" s="497" t="s">
        <v>455</v>
      </c>
      <c r="F83" s="140">
        <v>-245900000</v>
      </c>
      <c r="G83" s="8">
        <v>4</v>
      </c>
      <c r="H83" s="21">
        <f t="shared" ref="H83:H132" si="36">-F83/H$15</f>
        <v>3842187.5</v>
      </c>
      <c r="I83" s="37" t="str">
        <f t="shared" ref="I83:I132" si="37">M83&amp;";"&amp;O83&amp;Q83&amp;S83&amp;U83&amp;W83&amp;Y83&amp;AA83&amp;AC83&amp;AE83&amp;AG83&amp;AI83&amp;AK83</f>
        <v>1;3536</v>
      </c>
      <c r="J83" s="38">
        <v>6</v>
      </c>
      <c r="K83" s="128">
        <f t="shared" ref="K83:K132" si="38">H83/POWER(12,J83)</f>
        <v>1.2867408197766632</v>
      </c>
      <c r="L83" s="39" t="str">
        <f>INDEX(powers!$H$2:$H$75,33+J83)</f>
        <v>dino cosmic</v>
      </c>
      <c r="M83" s="40" t="str">
        <f t="shared" ref="M83:M114" si="39">IF($G83&gt;=M$17,MID($J$17,IF($G83&gt;M$17,INT(K83),ROUND(K83,0))+1,1),"")</f>
        <v>1</v>
      </c>
      <c r="N83" s="24">
        <f t="shared" ref="N83:N132" si="40">(K83-INT(K83))*12</f>
        <v>3.4408898373199586</v>
      </c>
      <c r="O83" s="41" t="str">
        <f t="shared" ref="O83:O114" si="41">IF($G83&gt;=O$17,MID($J$17,IF($G83&gt;O$17,INT(N83),ROUND(N83,0))+1,1),"")</f>
        <v>3</v>
      </c>
      <c r="P83" s="24">
        <f t="shared" ref="P83:P132" si="42">(N83-INT(N83))*12</f>
        <v>5.2906780478395028</v>
      </c>
      <c r="Q83" s="41" t="str">
        <f t="shared" ref="Q83:Q114" si="43">IF($G83&gt;=Q$17,MID($J$17,IF($G83&gt;Q$17,INT(P83),ROUND(P83,0))+1,1),"")</f>
        <v>5</v>
      </c>
      <c r="R83" s="24">
        <f t="shared" ref="R83:R132" si="44">(P83-INT(P83))*12</f>
        <v>3.4881365740740335</v>
      </c>
      <c r="S83" s="41" t="str">
        <f t="shared" ref="S83:S114" si="45">IF($G83&gt;=S$17,MID($J$17,IF($G83&gt;S$17,INT(R83),ROUND(R83,0))+1,1),"")</f>
        <v>3</v>
      </c>
      <c r="T83" s="24">
        <f t="shared" ref="T83:T132" si="46">(R83-INT(R83))*12</f>
        <v>5.8576388888884026</v>
      </c>
      <c r="U83" s="41" t="str">
        <f t="shared" ref="U83:U114" si="47">IF($G83&gt;=U$17,MID($J$17,IF($G83&gt;U$17,INT(T83),ROUND(T83,0))+1,1),"")</f>
        <v>6</v>
      </c>
      <c r="V83" s="24">
        <f t="shared" ref="V83:V132" si="48">(T83-INT(T83))*12</f>
        <v>10.291666666660831</v>
      </c>
      <c r="W83" s="41" t="str">
        <f t="shared" ref="W83:W114" si="49">IF($G83&gt;=W$17,MID($J$17,IF($G83&gt;W$17,INT(V83),ROUND(V83,0))+1,1),"")</f>
        <v/>
      </c>
      <c r="X83" s="24">
        <f t="shared" ref="X83:X132" si="50">(V83-INT(V83))*12</f>
        <v>3.4999999999299689</v>
      </c>
      <c r="Y83" s="41" t="str">
        <f t="shared" ref="Y83:Y114" si="51">IF($G83&gt;=Y$17,MID($J$17,IF($G83&gt;Y$17,INT(X83),ROUND(X83,0))+1,1),"")</f>
        <v/>
      </c>
      <c r="Z83" s="24">
        <f t="shared" ref="Z83:Z132" si="52">(X83-INT(X83))*12</f>
        <v>5.9999999991596269</v>
      </c>
      <c r="AA83" s="41" t="str">
        <f t="shared" ref="AA83:AA114" si="53">IF($G83&gt;=AA$17,MID($J$17,IF($G83&gt;AA$17,INT(Z83),ROUND(Z83,0))+1,1),"")</f>
        <v/>
      </c>
      <c r="AB83" s="24">
        <f t="shared" ref="AB83:AB132" si="54">(Z83-INT(Z83))*12</f>
        <v>11.999999989915523</v>
      </c>
      <c r="AC83" s="41" t="str">
        <f t="shared" ref="AC83:AC114" si="55">IF($G83&gt;=AC$17,MID($J$17,IF($G83&gt;AC$17,INT(AB83),ROUND(AB83,0))+1,1),"")</f>
        <v/>
      </c>
      <c r="AD83" s="24">
        <f t="shared" ref="AD83:AD132" si="56">(AB83-INT(AB83))*12</f>
        <v>11.999999878986273</v>
      </c>
      <c r="AE83" s="41" t="str">
        <f t="shared" ref="AE83:AE114" si="57">IF($G83&gt;=AE$17,MID($J$17,IF($G83&gt;AE$17,INT(AD83),ROUND(AD83,0))+1,1),"")</f>
        <v/>
      </c>
      <c r="AF83" s="24">
        <f t="shared" ref="AF83:AF132" si="58">(AD83-INT(AD83))*12</f>
        <v>11.999998547835276</v>
      </c>
      <c r="AG83" s="41" t="str">
        <f t="shared" ref="AG83:AG114" si="59">IF($G83&gt;=AG$17,MID($J$17,IF($G83&gt;AG$17,INT(AF83),ROUND(AF83,0))+1,1),"")</f>
        <v/>
      </c>
      <c r="AH83" s="24">
        <f t="shared" ref="AH83:AH132" si="60">(AF83-INT(AF83))*12</f>
        <v>11.999982574023306</v>
      </c>
      <c r="AI83" s="41" t="str">
        <f t="shared" ref="AI83:AI114" si="61">IF($G83&gt;=AI$17,MID($J$17,IF($G83&gt;AI$17,INT(AH83),ROUND(AH83,0))+1,1),"")</f>
        <v/>
      </c>
      <c r="AJ83" s="24">
        <f t="shared" ref="AJ83:AJ132" si="62">(AH83-INT(AH83))*12</f>
        <v>11.999790888279676</v>
      </c>
      <c r="AK83" s="41" t="str">
        <f t="shared" ref="AK83:AK114" si="63">IF($G83&gt;=AK$17,MID($J$17,IF($G83&gt;AK$17,INT(AJ83),ROUND(AJ83,0))+1,1),"")</f>
        <v/>
      </c>
    </row>
    <row r="84" spans="1:37" ht="13.5" customHeight="1" x14ac:dyDescent="0.2">
      <c r="A84" s="642"/>
      <c r="B84" s="636"/>
      <c r="C84" s="636"/>
      <c r="D84" s="637"/>
      <c r="E84" s="497" t="s">
        <v>456</v>
      </c>
      <c r="F84" s="140">
        <v>-237000000</v>
      </c>
      <c r="G84" s="8">
        <v>4</v>
      </c>
      <c r="H84" s="21">
        <f t="shared" si="36"/>
        <v>3703125</v>
      </c>
      <c r="I84" s="37" t="str">
        <f t="shared" si="37"/>
        <v>1;2X70</v>
      </c>
      <c r="J84" s="38">
        <v>6</v>
      </c>
      <c r="K84" s="128">
        <f t="shared" si="38"/>
        <v>1.2401690698945473</v>
      </c>
      <c r="L84" s="39" t="str">
        <f>INDEX(powers!$H$2:$H$75,33+J84)</f>
        <v>dino cosmic</v>
      </c>
      <c r="M84" s="40" t="str">
        <f t="shared" si="39"/>
        <v>1</v>
      </c>
      <c r="N84" s="24">
        <f t="shared" si="40"/>
        <v>2.8820288387345681</v>
      </c>
      <c r="O84" s="41" t="str">
        <f t="shared" si="41"/>
        <v>2</v>
      </c>
      <c r="P84" s="24">
        <f t="shared" si="42"/>
        <v>10.584346064814817</v>
      </c>
      <c r="Q84" s="41" t="str">
        <f t="shared" si="43"/>
        <v>X</v>
      </c>
      <c r="R84" s="24">
        <f t="shared" si="44"/>
        <v>7.0121527777777999</v>
      </c>
      <c r="S84" s="41" t="str">
        <f t="shared" si="45"/>
        <v>7</v>
      </c>
      <c r="T84" s="24">
        <f t="shared" si="46"/>
        <v>0.1458333333335986</v>
      </c>
      <c r="U84" s="41" t="str">
        <f t="shared" si="47"/>
        <v>0</v>
      </c>
      <c r="V84" s="24">
        <f t="shared" si="48"/>
        <v>1.7500000000031832</v>
      </c>
      <c r="W84" s="41" t="str">
        <f t="shared" si="49"/>
        <v/>
      </c>
      <c r="X84" s="24">
        <f t="shared" si="50"/>
        <v>9.0000000000381988</v>
      </c>
      <c r="Y84" s="41" t="str">
        <f t="shared" si="51"/>
        <v/>
      </c>
      <c r="Z84" s="24">
        <f t="shared" si="52"/>
        <v>4.5838532969355583E-10</v>
      </c>
      <c r="AA84" s="41" t="str">
        <f t="shared" si="53"/>
        <v/>
      </c>
      <c r="AB84" s="24">
        <f t="shared" si="54"/>
        <v>5.50062395632267E-9</v>
      </c>
      <c r="AC84" s="41" t="str">
        <f t="shared" si="55"/>
        <v/>
      </c>
      <c r="AD84" s="24">
        <f t="shared" si="56"/>
        <v>6.600748747587204E-8</v>
      </c>
      <c r="AE84" s="41" t="str">
        <f t="shared" si="57"/>
        <v/>
      </c>
      <c r="AF84" s="24">
        <f t="shared" si="58"/>
        <v>7.9208984971046448E-7</v>
      </c>
      <c r="AG84" s="41" t="str">
        <f t="shared" si="59"/>
        <v/>
      </c>
      <c r="AH84" s="24">
        <f t="shared" si="60"/>
        <v>9.5050781965255737E-6</v>
      </c>
      <c r="AI84" s="41" t="str">
        <f t="shared" si="61"/>
        <v/>
      </c>
      <c r="AJ84" s="24">
        <f t="shared" si="62"/>
        <v>1.1406093835830688E-4</v>
      </c>
      <c r="AK84" s="41" t="str">
        <f t="shared" si="63"/>
        <v/>
      </c>
    </row>
    <row r="85" spans="1:37" ht="13.5" customHeight="1" x14ac:dyDescent="0.2">
      <c r="A85" s="642"/>
      <c r="B85" s="636"/>
      <c r="C85" s="636"/>
      <c r="D85" s="635" t="s">
        <v>457</v>
      </c>
      <c r="E85" s="497" t="s">
        <v>458</v>
      </c>
      <c r="F85" s="140">
        <v>-228700000</v>
      </c>
      <c r="G85" s="8">
        <v>4</v>
      </c>
      <c r="H85" s="21">
        <f t="shared" si="36"/>
        <v>3573437.5</v>
      </c>
      <c r="I85" s="37" t="str">
        <f t="shared" si="37"/>
        <v>1;243</v>
      </c>
      <c r="J85" s="38">
        <v>6</v>
      </c>
      <c r="K85" s="128">
        <f t="shared" si="38"/>
        <v>1.1967369885438099</v>
      </c>
      <c r="L85" s="39" t="str">
        <f>INDEX(powers!$H$2:$H$75,33+J85)</f>
        <v>dino cosmic</v>
      </c>
      <c r="M85" s="40" t="str">
        <f t="shared" si="39"/>
        <v>1</v>
      </c>
      <c r="N85" s="24">
        <f t="shared" si="40"/>
        <v>2.3608438625257193</v>
      </c>
      <c r="O85" s="41" t="str">
        <f t="shared" si="41"/>
        <v>2</v>
      </c>
      <c r="P85" s="24">
        <f t="shared" si="42"/>
        <v>4.3301263503086318</v>
      </c>
      <c r="Q85" s="41" t="str">
        <f t="shared" si="43"/>
        <v>4</v>
      </c>
      <c r="R85" s="24">
        <f t="shared" si="44"/>
        <v>3.9615162037035816</v>
      </c>
      <c r="S85" s="41" t="str">
        <f t="shared" si="45"/>
        <v>3</v>
      </c>
      <c r="T85" s="24">
        <f t="shared" si="46"/>
        <v>11.538194444442979</v>
      </c>
      <c r="U85" s="41" t="str">
        <f t="shared" si="47"/>
        <v/>
      </c>
      <c r="V85" s="24">
        <f t="shared" si="48"/>
        <v>6.4583333333157498</v>
      </c>
      <c r="W85" s="41" t="str">
        <f t="shared" si="49"/>
        <v/>
      </c>
      <c r="X85" s="24">
        <f t="shared" si="50"/>
        <v>5.4999999997889972</v>
      </c>
      <c r="Y85" s="41" t="str">
        <f t="shared" si="51"/>
        <v/>
      </c>
      <c r="Z85" s="24">
        <f t="shared" si="52"/>
        <v>5.9999999974679668</v>
      </c>
      <c r="AA85" s="41" t="str">
        <f t="shared" si="53"/>
        <v/>
      </c>
      <c r="AB85" s="24">
        <f t="shared" si="54"/>
        <v>11.999999969615601</v>
      </c>
      <c r="AC85" s="41" t="str">
        <f t="shared" si="55"/>
        <v/>
      </c>
      <c r="AD85" s="24">
        <f t="shared" si="56"/>
        <v>11.999999635387212</v>
      </c>
      <c r="AE85" s="41" t="str">
        <f t="shared" si="57"/>
        <v/>
      </c>
      <c r="AF85" s="24">
        <f t="shared" si="58"/>
        <v>11.999995624646544</v>
      </c>
      <c r="AG85" s="41" t="str">
        <f t="shared" si="59"/>
        <v/>
      </c>
      <c r="AH85" s="24">
        <f t="shared" si="60"/>
        <v>11.999947495758533</v>
      </c>
      <c r="AI85" s="41" t="str">
        <f t="shared" si="61"/>
        <v/>
      </c>
      <c r="AJ85" s="24">
        <f t="shared" si="62"/>
        <v>11.999369949102402</v>
      </c>
      <c r="AK85" s="41" t="str">
        <f t="shared" si="63"/>
        <v/>
      </c>
    </row>
    <row r="86" spans="1:37" ht="13.5" customHeight="1" x14ac:dyDescent="0.2">
      <c r="A86" s="642"/>
      <c r="B86" s="636"/>
      <c r="C86" s="636"/>
      <c r="D86" s="636"/>
      <c r="E86" s="497" t="s">
        <v>459</v>
      </c>
      <c r="F86" s="140">
        <v>-216500000</v>
      </c>
      <c r="G86" s="8">
        <v>4</v>
      </c>
      <c r="H86" s="21">
        <f t="shared" si="36"/>
        <v>3382812.5</v>
      </c>
      <c r="I86" s="37" t="str">
        <f t="shared" si="37"/>
        <v>1;1718</v>
      </c>
      <c r="J86" s="38">
        <v>6</v>
      </c>
      <c r="K86" s="128">
        <f t="shared" si="38"/>
        <v>1.1328970617391119</v>
      </c>
      <c r="L86" s="39" t="str">
        <f>INDEX(powers!$H$2:$H$75,33+J86)</f>
        <v>dino cosmic</v>
      </c>
      <c r="M86" s="40" t="str">
        <f t="shared" si="39"/>
        <v>1</v>
      </c>
      <c r="N86" s="24">
        <f t="shared" si="40"/>
        <v>1.5947647408693424</v>
      </c>
      <c r="O86" s="41" t="str">
        <f t="shared" si="41"/>
        <v>1</v>
      </c>
      <c r="P86" s="24">
        <f t="shared" si="42"/>
        <v>7.1371768904321087</v>
      </c>
      <c r="Q86" s="41" t="str">
        <f t="shared" si="43"/>
        <v>7</v>
      </c>
      <c r="R86" s="24">
        <f t="shared" si="44"/>
        <v>1.6461226851853041</v>
      </c>
      <c r="S86" s="41" t="str">
        <f t="shared" si="45"/>
        <v>1</v>
      </c>
      <c r="T86" s="24">
        <f t="shared" si="46"/>
        <v>7.7534722222236496</v>
      </c>
      <c r="U86" s="41" t="str">
        <f t="shared" si="47"/>
        <v>8</v>
      </c>
      <c r="V86" s="24">
        <f t="shared" si="48"/>
        <v>9.0416666666837955</v>
      </c>
      <c r="W86" s="41" t="str">
        <f t="shared" si="49"/>
        <v/>
      </c>
      <c r="X86" s="24">
        <f t="shared" si="50"/>
        <v>0.5000000002055458</v>
      </c>
      <c r="Y86" s="41" t="str">
        <f t="shared" si="51"/>
        <v/>
      </c>
      <c r="Z86" s="24">
        <f t="shared" si="52"/>
        <v>6.0000000024665496</v>
      </c>
      <c r="AA86" s="41" t="str">
        <f t="shared" si="53"/>
        <v/>
      </c>
      <c r="AB86" s="24">
        <f t="shared" si="54"/>
        <v>2.9598595574498177E-8</v>
      </c>
      <c r="AC86" s="41" t="str">
        <f t="shared" si="55"/>
        <v/>
      </c>
      <c r="AD86" s="24">
        <f t="shared" si="56"/>
        <v>3.5518314689397812E-7</v>
      </c>
      <c r="AE86" s="41" t="str">
        <f t="shared" si="57"/>
        <v/>
      </c>
      <c r="AF86" s="24">
        <f t="shared" si="58"/>
        <v>4.2621977627277374E-6</v>
      </c>
      <c r="AG86" s="41" t="str">
        <f t="shared" si="59"/>
        <v/>
      </c>
      <c r="AH86" s="24">
        <f t="shared" si="60"/>
        <v>5.1146373152732849E-5</v>
      </c>
      <c r="AI86" s="41" t="str">
        <f t="shared" si="61"/>
        <v/>
      </c>
      <c r="AJ86" s="24">
        <f t="shared" si="62"/>
        <v>6.1375647783279419E-4</v>
      </c>
      <c r="AK86" s="41" t="str">
        <f t="shared" si="63"/>
        <v/>
      </c>
    </row>
    <row r="87" spans="1:37" ht="13.5" customHeight="1" x14ac:dyDescent="0.2">
      <c r="A87" s="642"/>
      <c r="B87" s="636"/>
      <c r="C87" s="637"/>
      <c r="D87" s="637"/>
      <c r="E87" s="497" t="s">
        <v>460</v>
      </c>
      <c r="F87" s="140">
        <v>-203600000</v>
      </c>
      <c r="G87" s="8">
        <v>4</v>
      </c>
      <c r="H87" s="21">
        <f t="shared" si="36"/>
        <v>3181250</v>
      </c>
      <c r="I87" s="37" t="str">
        <f t="shared" si="37"/>
        <v>1;0950</v>
      </c>
      <c r="J87" s="38">
        <v>6</v>
      </c>
      <c r="K87" s="128">
        <f t="shared" si="38"/>
        <v>1.065394188314472</v>
      </c>
      <c r="L87" s="39" t="str">
        <f>INDEX(powers!$H$2:$H$75,33+J87)</f>
        <v>dino cosmic</v>
      </c>
      <c r="M87" s="40" t="str">
        <f t="shared" si="39"/>
        <v>1</v>
      </c>
      <c r="N87" s="24">
        <f t="shared" si="40"/>
        <v>0.78473025977366362</v>
      </c>
      <c r="O87" s="41" t="str">
        <f t="shared" si="41"/>
        <v>0</v>
      </c>
      <c r="P87" s="24">
        <f t="shared" si="42"/>
        <v>9.4167631172839634</v>
      </c>
      <c r="Q87" s="41" t="str">
        <f t="shared" si="43"/>
        <v>9</v>
      </c>
      <c r="R87" s="24">
        <f t="shared" si="44"/>
        <v>5.0011574074075611</v>
      </c>
      <c r="S87" s="41" t="str">
        <f t="shared" si="45"/>
        <v>5</v>
      </c>
      <c r="T87" s="24">
        <f t="shared" si="46"/>
        <v>1.3888888890733142E-2</v>
      </c>
      <c r="U87" s="41" t="str">
        <f t="shared" si="47"/>
        <v>0</v>
      </c>
      <c r="V87" s="24">
        <f t="shared" si="48"/>
        <v>0.1666666666887977</v>
      </c>
      <c r="W87" s="41" t="str">
        <f t="shared" si="49"/>
        <v/>
      </c>
      <c r="X87" s="24">
        <f t="shared" si="50"/>
        <v>2.0000000002655725</v>
      </c>
      <c r="Y87" s="41" t="str">
        <f t="shared" si="51"/>
        <v/>
      </c>
      <c r="Z87" s="24">
        <f t="shared" si="52"/>
        <v>3.1868694350123405E-9</v>
      </c>
      <c r="AA87" s="41" t="str">
        <f t="shared" si="53"/>
        <v/>
      </c>
      <c r="AB87" s="24">
        <f t="shared" si="54"/>
        <v>3.8242433220148087E-8</v>
      </c>
      <c r="AC87" s="41" t="str">
        <f t="shared" si="55"/>
        <v/>
      </c>
      <c r="AD87" s="24">
        <f t="shared" si="56"/>
        <v>4.5890919864177704E-7</v>
      </c>
      <c r="AE87" s="41" t="str">
        <f t="shared" si="57"/>
        <v/>
      </c>
      <c r="AF87" s="24">
        <f t="shared" si="58"/>
        <v>5.5069103837013245E-6</v>
      </c>
      <c r="AG87" s="41" t="str">
        <f t="shared" si="59"/>
        <v/>
      </c>
      <c r="AH87" s="24">
        <f t="shared" si="60"/>
        <v>6.6082924604415894E-5</v>
      </c>
      <c r="AI87" s="41" t="str">
        <f t="shared" si="61"/>
        <v/>
      </c>
      <c r="AJ87" s="24">
        <f t="shared" si="62"/>
        <v>7.9299509525299072E-4</v>
      </c>
      <c r="AK87" s="41" t="str">
        <f t="shared" si="63"/>
        <v/>
      </c>
    </row>
    <row r="88" spans="1:37" ht="13.5" customHeight="1" x14ac:dyDescent="0.2">
      <c r="A88" s="642"/>
      <c r="B88" s="636"/>
      <c r="C88" s="635" t="s">
        <v>461</v>
      </c>
      <c r="D88" s="635" t="s">
        <v>462</v>
      </c>
      <c r="E88" s="497" t="s">
        <v>463</v>
      </c>
      <c r="F88" s="140">
        <v>-199600000</v>
      </c>
      <c r="G88" s="8">
        <v>4</v>
      </c>
      <c r="H88" s="21">
        <f t="shared" si="36"/>
        <v>3118750</v>
      </c>
      <c r="I88" s="37" t="str">
        <f t="shared" si="37"/>
        <v>1;064X</v>
      </c>
      <c r="J88" s="38">
        <v>6</v>
      </c>
      <c r="K88" s="128">
        <f t="shared" si="38"/>
        <v>1.0444630647719479</v>
      </c>
      <c r="L88" s="39" t="str">
        <f>INDEX(powers!$H$2:$H$75,33+J88)</f>
        <v>dino cosmic</v>
      </c>
      <c r="M88" s="40" t="str">
        <f t="shared" si="39"/>
        <v>1</v>
      </c>
      <c r="N88" s="24">
        <f t="shared" si="40"/>
        <v>0.53355677726337536</v>
      </c>
      <c r="O88" s="41" t="str">
        <f t="shared" si="41"/>
        <v>0</v>
      </c>
      <c r="P88" s="24">
        <f t="shared" si="42"/>
        <v>6.4026813271605043</v>
      </c>
      <c r="Q88" s="41" t="str">
        <f t="shared" si="43"/>
        <v>6</v>
      </c>
      <c r="R88" s="24">
        <f t="shared" si="44"/>
        <v>4.8321759259260517</v>
      </c>
      <c r="S88" s="41" t="str">
        <f t="shared" si="45"/>
        <v>4</v>
      </c>
      <c r="T88" s="24">
        <f t="shared" si="46"/>
        <v>9.9861111111126206</v>
      </c>
      <c r="U88" s="41" t="str">
        <f t="shared" si="47"/>
        <v>X</v>
      </c>
      <c r="V88" s="24">
        <f t="shared" si="48"/>
        <v>11.833333333351447</v>
      </c>
      <c r="W88" s="41" t="str">
        <f t="shared" si="49"/>
        <v/>
      </c>
      <c r="X88" s="24">
        <f t="shared" si="50"/>
        <v>10.000000000217369</v>
      </c>
      <c r="Y88" s="41" t="str">
        <f t="shared" si="51"/>
        <v/>
      </c>
      <c r="Z88" s="24">
        <f t="shared" si="52"/>
        <v>2.6084308046847582E-9</v>
      </c>
      <c r="AA88" s="41" t="str">
        <f t="shared" si="53"/>
        <v/>
      </c>
      <c r="AB88" s="24">
        <f t="shared" si="54"/>
        <v>3.1301169656217098E-8</v>
      </c>
      <c r="AC88" s="41" t="str">
        <f t="shared" si="55"/>
        <v/>
      </c>
      <c r="AD88" s="24">
        <f t="shared" si="56"/>
        <v>3.7561403587460518E-7</v>
      </c>
      <c r="AE88" s="41" t="str">
        <f t="shared" si="57"/>
        <v/>
      </c>
      <c r="AF88" s="24">
        <f t="shared" si="58"/>
        <v>4.5073684304952621E-6</v>
      </c>
      <c r="AG88" s="41" t="str">
        <f t="shared" si="59"/>
        <v/>
      </c>
      <c r="AH88" s="24">
        <f t="shared" si="60"/>
        <v>5.4088421165943146E-5</v>
      </c>
      <c r="AI88" s="41" t="str">
        <f t="shared" si="61"/>
        <v/>
      </c>
      <c r="AJ88" s="24">
        <f t="shared" si="62"/>
        <v>6.4906105399131775E-4</v>
      </c>
      <c r="AK88" s="41" t="str">
        <f t="shared" si="63"/>
        <v/>
      </c>
    </row>
    <row r="89" spans="1:37" ht="13.5" customHeight="1" x14ac:dyDescent="0.2">
      <c r="A89" s="642"/>
      <c r="B89" s="636"/>
      <c r="C89" s="636"/>
      <c r="D89" s="636"/>
      <c r="E89" s="497" t="s">
        <v>464</v>
      </c>
      <c r="F89" s="140">
        <v>-196500000</v>
      </c>
      <c r="G89" s="8">
        <v>4</v>
      </c>
      <c r="H89" s="21">
        <f t="shared" si="36"/>
        <v>3070312.5</v>
      </c>
      <c r="I89" s="37" t="str">
        <f t="shared" si="37"/>
        <v>1;040X</v>
      </c>
      <c r="J89" s="38">
        <v>6</v>
      </c>
      <c r="K89" s="128">
        <f t="shared" si="38"/>
        <v>1.0282414440264918</v>
      </c>
      <c r="L89" s="39" t="str">
        <f>INDEX(powers!$H$2:$H$75,33+J89)</f>
        <v>dino cosmic</v>
      </c>
      <c r="M89" s="40" t="str">
        <f t="shared" si="39"/>
        <v>1</v>
      </c>
      <c r="N89" s="24">
        <f t="shared" si="40"/>
        <v>0.33889732831790109</v>
      </c>
      <c r="O89" s="41" t="str">
        <f t="shared" si="41"/>
        <v>0</v>
      </c>
      <c r="P89" s="24">
        <f t="shared" si="42"/>
        <v>4.0667679398148131</v>
      </c>
      <c r="Q89" s="41" t="str">
        <f t="shared" si="43"/>
        <v>4</v>
      </c>
      <c r="R89" s="24">
        <f t="shared" si="44"/>
        <v>0.80121527777775725</v>
      </c>
      <c r="S89" s="41" t="str">
        <f t="shared" si="45"/>
        <v>0</v>
      </c>
      <c r="T89" s="24">
        <f t="shared" si="46"/>
        <v>9.614583333333087</v>
      </c>
      <c r="U89" s="41" t="str">
        <f t="shared" si="47"/>
        <v>X</v>
      </c>
      <c r="V89" s="24">
        <f t="shared" si="48"/>
        <v>7.3749999999970441</v>
      </c>
      <c r="W89" s="41" t="str">
        <f t="shared" si="49"/>
        <v/>
      </c>
      <c r="X89" s="24">
        <f t="shared" si="50"/>
        <v>4.4999999999645297</v>
      </c>
      <c r="Y89" s="41" t="str">
        <f t="shared" si="51"/>
        <v/>
      </c>
      <c r="Z89" s="24">
        <f t="shared" si="52"/>
        <v>5.9999999995743565</v>
      </c>
      <c r="AA89" s="41" t="str">
        <f t="shared" si="53"/>
        <v/>
      </c>
      <c r="AB89" s="24">
        <f t="shared" si="54"/>
        <v>11.999999994892278</v>
      </c>
      <c r="AC89" s="41" t="str">
        <f t="shared" si="55"/>
        <v/>
      </c>
      <c r="AD89" s="24">
        <f t="shared" si="56"/>
        <v>11.999999938707333</v>
      </c>
      <c r="AE89" s="41" t="str">
        <f t="shared" si="57"/>
        <v/>
      </c>
      <c r="AF89" s="24">
        <f t="shared" si="58"/>
        <v>11.999999264487997</v>
      </c>
      <c r="AG89" s="41" t="str">
        <f t="shared" si="59"/>
        <v/>
      </c>
      <c r="AH89" s="24">
        <f t="shared" si="60"/>
        <v>11.99999117385596</v>
      </c>
      <c r="AI89" s="41" t="str">
        <f t="shared" si="61"/>
        <v/>
      </c>
      <c r="AJ89" s="24">
        <f t="shared" si="62"/>
        <v>11.999894086271524</v>
      </c>
      <c r="AK89" s="41" t="str">
        <f t="shared" si="63"/>
        <v/>
      </c>
    </row>
    <row r="90" spans="1:37" ht="13.5" customHeight="1" x14ac:dyDescent="0.2">
      <c r="A90" s="642"/>
      <c r="B90" s="636"/>
      <c r="C90" s="636"/>
      <c r="D90" s="636"/>
      <c r="E90" s="497" t="s">
        <v>465</v>
      </c>
      <c r="F90" s="140">
        <v>-189600000</v>
      </c>
      <c r="G90" s="8">
        <v>4</v>
      </c>
      <c r="H90" s="21">
        <f t="shared" si="36"/>
        <v>2962500</v>
      </c>
      <c r="I90" s="37" t="str">
        <f t="shared" si="37"/>
        <v>E;XX4E</v>
      </c>
      <c r="J90" s="38">
        <v>5</v>
      </c>
      <c r="K90" s="128">
        <f t="shared" si="38"/>
        <v>11.905623070987655</v>
      </c>
      <c r="L90" s="39" t="str">
        <f>INDEX(powers!$H$2:$H$75,33+J90)</f>
        <v>terno cosmic</v>
      </c>
      <c r="M90" s="40" t="str">
        <f t="shared" si="39"/>
        <v>E</v>
      </c>
      <c r="N90" s="24">
        <f t="shared" si="40"/>
        <v>10.867476851851862</v>
      </c>
      <c r="O90" s="41" t="str">
        <f t="shared" si="41"/>
        <v>X</v>
      </c>
      <c r="P90" s="24">
        <f t="shared" si="42"/>
        <v>10.409722222222342</v>
      </c>
      <c r="Q90" s="41" t="str">
        <f t="shared" si="43"/>
        <v>X</v>
      </c>
      <c r="R90" s="24">
        <f t="shared" si="44"/>
        <v>4.9166666666681067</v>
      </c>
      <c r="S90" s="41" t="str">
        <f t="shared" si="45"/>
        <v>4</v>
      </c>
      <c r="T90" s="24">
        <f t="shared" si="46"/>
        <v>11.00000000001728</v>
      </c>
      <c r="U90" s="41" t="str">
        <f t="shared" si="47"/>
        <v>E</v>
      </c>
      <c r="V90" s="24">
        <f t="shared" si="48"/>
        <v>2.0736479200422764E-10</v>
      </c>
      <c r="W90" s="41" t="str">
        <f t="shared" si="49"/>
        <v/>
      </c>
      <c r="X90" s="24">
        <f t="shared" si="50"/>
        <v>2.4883775040507317E-9</v>
      </c>
      <c r="Y90" s="41" t="str">
        <f t="shared" si="51"/>
        <v/>
      </c>
      <c r="Z90" s="24">
        <f t="shared" si="52"/>
        <v>2.986053004860878E-8</v>
      </c>
      <c r="AA90" s="41" t="str">
        <f t="shared" si="53"/>
        <v/>
      </c>
      <c r="AB90" s="24">
        <f t="shared" si="54"/>
        <v>3.5832636058330536E-7</v>
      </c>
      <c r="AC90" s="41" t="str">
        <f t="shared" si="55"/>
        <v/>
      </c>
      <c r="AD90" s="24">
        <f t="shared" si="56"/>
        <v>4.2999163269996643E-6</v>
      </c>
      <c r="AE90" s="41" t="str">
        <f t="shared" si="57"/>
        <v/>
      </c>
      <c r="AF90" s="24">
        <f t="shared" si="58"/>
        <v>5.1598995923995972E-5</v>
      </c>
      <c r="AG90" s="41" t="str">
        <f t="shared" si="59"/>
        <v/>
      </c>
      <c r="AH90" s="24">
        <f t="shared" si="60"/>
        <v>6.1918795108795166E-4</v>
      </c>
      <c r="AI90" s="41" t="str">
        <f t="shared" si="61"/>
        <v/>
      </c>
      <c r="AJ90" s="24">
        <f t="shared" si="62"/>
        <v>7.4302554130554199E-3</v>
      </c>
      <c r="AK90" s="41" t="str">
        <f t="shared" si="63"/>
        <v/>
      </c>
    </row>
    <row r="91" spans="1:37" ht="13.5" customHeight="1" x14ac:dyDescent="0.2">
      <c r="A91" s="642"/>
      <c r="B91" s="636"/>
      <c r="C91" s="636"/>
      <c r="D91" s="637"/>
      <c r="E91" s="497" t="s">
        <v>466</v>
      </c>
      <c r="F91" s="140">
        <v>-183000000</v>
      </c>
      <c r="G91" s="8">
        <v>4</v>
      </c>
      <c r="H91" s="21">
        <f t="shared" si="36"/>
        <v>2859375</v>
      </c>
      <c r="I91" s="37" t="str">
        <f t="shared" si="37"/>
        <v>E;5X89</v>
      </c>
      <c r="J91" s="38">
        <v>5</v>
      </c>
      <c r="K91" s="128">
        <f t="shared" si="38"/>
        <v>11.491186824845679</v>
      </c>
      <c r="L91" s="39" t="str">
        <f>INDEX(powers!$H$2:$H$75,33+J91)</f>
        <v>terno cosmic</v>
      </c>
      <c r="M91" s="40" t="str">
        <f t="shared" si="39"/>
        <v>E</v>
      </c>
      <c r="N91" s="24">
        <f t="shared" si="40"/>
        <v>5.8942418981481453</v>
      </c>
      <c r="O91" s="41" t="str">
        <f t="shared" si="41"/>
        <v>5</v>
      </c>
      <c r="P91" s="24">
        <f t="shared" si="42"/>
        <v>10.730902777777743</v>
      </c>
      <c r="Q91" s="41" t="str">
        <f t="shared" si="43"/>
        <v>X</v>
      </c>
      <c r="R91" s="24">
        <f t="shared" si="44"/>
        <v>8.7708333333329165</v>
      </c>
      <c r="S91" s="41" t="str">
        <f t="shared" si="45"/>
        <v>8</v>
      </c>
      <c r="T91" s="24">
        <f t="shared" si="46"/>
        <v>9.2499999999949978</v>
      </c>
      <c r="U91" s="41" t="str">
        <f t="shared" si="47"/>
        <v>9</v>
      </c>
      <c r="V91" s="24">
        <f t="shared" si="48"/>
        <v>2.9999999999399733</v>
      </c>
      <c r="W91" s="41" t="str">
        <f t="shared" si="49"/>
        <v/>
      </c>
      <c r="X91" s="24">
        <f t="shared" si="50"/>
        <v>11.99999999927968</v>
      </c>
      <c r="Y91" s="41" t="str">
        <f t="shared" si="51"/>
        <v/>
      </c>
      <c r="Z91" s="24">
        <f t="shared" si="52"/>
        <v>11.999999991356162</v>
      </c>
      <c r="AA91" s="41" t="str">
        <f t="shared" si="53"/>
        <v/>
      </c>
      <c r="AB91" s="24">
        <f t="shared" si="54"/>
        <v>11.999999896273948</v>
      </c>
      <c r="AC91" s="41" t="str">
        <f t="shared" si="55"/>
        <v/>
      </c>
      <c r="AD91" s="24">
        <f t="shared" si="56"/>
        <v>11.999998755287379</v>
      </c>
      <c r="AE91" s="41" t="str">
        <f t="shared" si="57"/>
        <v/>
      </c>
      <c r="AF91" s="24">
        <f t="shared" si="58"/>
        <v>11.999985063448548</v>
      </c>
      <c r="AG91" s="41" t="str">
        <f t="shared" si="59"/>
        <v/>
      </c>
      <c r="AH91" s="24">
        <f t="shared" si="60"/>
        <v>11.99982076138258</v>
      </c>
      <c r="AI91" s="41" t="str">
        <f t="shared" si="61"/>
        <v/>
      </c>
      <c r="AJ91" s="24">
        <f t="shared" si="62"/>
        <v>11.997849136590958</v>
      </c>
      <c r="AK91" s="41" t="str">
        <f t="shared" si="63"/>
        <v/>
      </c>
    </row>
    <row r="92" spans="1:37" ht="13.5" customHeight="1" x14ac:dyDescent="0.2">
      <c r="A92" s="642"/>
      <c r="B92" s="636"/>
      <c r="C92" s="636"/>
      <c r="D92" s="635" t="s">
        <v>467</v>
      </c>
      <c r="E92" s="497" t="s">
        <v>468</v>
      </c>
      <c r="F92" s="140">
        <v>-175600000</v>
      </c>
      <c r="G92" s="8">
        <v>4</v>
      </c>
      <c r="H92" s="21">
        <f t="shared" si="36"/>
        <v>2743750</v>
      </c>
      <c r="I92" s="37" t="str">
        <f t="shared" si="37"/>
        <v>E;039X</v>
      </c>
      <c r="J92" s="38">
        <v>5</v>
      </c>
      <c r="K92" s="128">
        <f t="shared" si="38"/>
        <v>11.026515882201647</v>
      </c>
      <c r="L92" s="39" t="str">
        <f>INDEX(powers!$H$2:$H$75,33+J92)</f>
        <v>terno cosmic</v>
      </c>
      <c r="M92" s="40" t="str">
        <f t="shared" si="39"/>
        <v>E</v>
      </c>
      <c r="N92" s="24">
        <f t="shared" si="40"/>
        <v>0.31819058641976028</v>
      </c>
      <c r="O92" s="41" t="str">
        <f t="shared" si="41"/>
        <v>0</v>
      </c>
      <c r="P92" s="24">
        <f t="shared" si="42"/>
        <v>3.8182870370371234</v>
      </c>
      <c r="Q92" s="41" t="str">
        <f t="shared" si="43"/>
        <v>3</v>
      </c>
      <c r="R92" s="24">
        <f t="shared" si="44"/>
        <v>9.8194444444454803</v>
      </c>
      <c r="S92" s="41" t="str">
        <f t="shared" si="45"/>
        <v>9</v>
      </c>
      <c r="T92" s="24">
        <f t="shared" si="46"/>
        <v>9.8333333333457631</v>
      </c>
      <c r="U92" s="41" t="str">
        <f t="shared" si="47"/>
        <v>X</v>
      </c>
      <c r="V92" s="24">
        <f t="shared" si="48"/>
        <v>10.000000000149157</v>
      </c>
      <c r="W92" s="41" t="str">
        <f t="shared" si="49"/>
        <v/>
      </c>
      <c r="X92" s="24">
        <f t="shared" si="50"/>
        <v>1.7898855730891228E-9</v>
      </c>
      <c r="Y92" s="41" t="str">
        <f t="shared" si="51"/>
        <v/>
      </c>
      <c r="Z92" s="24">
        <f t="shared" si="52"/>
        <v>2.1478626877069473E-8</v>
      </c>
      <c r="AA92" s="41" t="str">
        <f t="shared" si="53"/>
        <v/>
      </c>
      <c r="AB92" s="24">
        <f t="shared" si="54"/>
        <v>2.5774352252483368E-7</v>
      </c>
      <c r="AC92" s="41" t="str">
        <f t="shared" si="55"/>
        <v/>
      </c>
      <c r="AD92" s="24">
        <f t="shared" si="56"/>
        <v>3.0929222702980042E-6</v>
      </c>
      <c r="AE92" s="41" t="str">
        <f t="shared" si="57"/>
        <v/>
      </c>
      <c r="AF92" s="24">
        <f t="shared" si="58"/>
        <v>3.711506724357605E-5</v>
      </c>
      <c r="AG92" s="41" t="str">
        <f t="shared" si="59"/>
        <v/>
      </c>
      <c r="AH92" s="24">
        <f t="shared" si="60"/>
        <v>4.453808069229126E-4</v>
      </c>
      <c r="AI92" s="41" t="str">
        <f t="shared" si="61"/>
        <v/>
      </c>
      <c r="AJ92" s="24">
        <f t="shared" si="62"/>
        <v>5.3445696830749512E-3</v>
      </c>
      <c r="AK92" s="41" t="str">
        <f t="shared" si="63"/>
        <v/>
      </c>
    </row>
    <row r="93" spans="1:37" ht="13.5" customHeight="1" x14ac:dyDescent="0.2">
      <c r="A93" s="642"/>
      <c r="B93" s="636"/>
      <c r="C93" s="636"/>
      <c r="D93" s="636"/>
      <c r="E93" s="497" t="s">
        <v>469</v>
      </c>
      <c r="F93" s="140">
        <v>-171600000</v>
      </c>
      <c r="G93" s="8">
        <v>4</v>
      </c>
      <c r="H93" s="21">
        <f t="shared" si="36"/>
        <v>2681250</v>
      </c>
      <c r="I93" s="37" t="str">
        <f t="shared" si="37"/>
        <v>X;9379</v>
      </c>
      <c r="J93" s="38">
        <v>5</v>
      </c>
      <c r="K93" s="128">
        <f t="shared" si="38"/>
        <v>10.775342399691358</v>
      </c>
      <c r="L93" s="39" t="str">
        <f>INDEX(powers!$H$2:$H$75,33+J93)</f>
        <v>terno cosmic</v>
      </c>
      <c r="M93" s="40" t="str">
        <f t="shared" si="39"/>
        <v>X</v>
      </c>
      <c r="N93" s="24">
        <f t="shared" si="40"/>
        <v>9.3041087962962905</v>
      </c>
      <c r="O93" s="41" t="str">
        <f t="shared" si="41"/>
        <v>9</v>
      </c>
      <c r="P93" s="24">
        <f t="shared" si="42"/>
        <v>3.6493055555554861</v>
      </c>
      <c r="Q93" s="41" t="str">
        <f t="shared" si="43"/>
        <v>3</v>
      </c>
      <c r="R93" s="24">
        <f t="shared" si="44"/>
        <v>7.791666666665833</v>
      </c>
      <c r="S93" s="41" t="str">
        <f t="shared" si="45"/>
        <v>7</v>
      </c>
      <c r="T93" s="24">
        <f t="shared" si="46"/>
        <v>9.4999999999899956</v>
      </c>
      <c r="U93" s="41" t="str">
        <f t="shared" si="47"/>
        <v>9</v>
      </c>
      <c r="V93" s="24">
        <f t="shared" si="48"/>
        <v>5.9999999998799467</v>
      </c>
      <c r="W93" s="41" t="str">
        <f t="shared" si="49"/>
        <v/>
      </c>
      <c r="X93" s="24">
        <f t="shared" si="50"/>
        <v>11.99999999855936</v>
      </c>
      <c r="Y93" s="41" t="str">
        <f t="shared" si="51"/>
        <v/>
      </c>
      <c r="Z93" s="24">
        <f t="shared" si="52"/>
        <v>11.999999982712325</v>
      </c>
      <c r="AA93" s="41" t="str">
        <f t="shared" si="53"/>
        <v/>
      </c>
      <c r="AB93" s="24">
        <f t="shared" si="54"/>
        <v>11.999999792547897</v>
      </c>
      <c r="AC93" s="41" t="str">
        <f t="shared" si="55"/>
        <v/>
      </c>
      <c r="AD93" s="24">
        <f t="shared" si="56"/>
        <v>11.999997510574758</v>
      </c>
      <c r="AE93" s="41" t="str">
        <f t="shared" si="57"/>
        <v/>
      </c>
      <c r="AF93" s="24">
        <f t="shared" si="58"/>
        <v>11.999970126897097</v>
      </c>
      <c r="AG93" s="41" t="str">
        <f t="shared" si="59"/>
        <v/>
      </c>
      <c r="AH93" s="24">
        <f t="shared" si="60"/>
        <v>11.99964152276516</v>
      </c>
      <c r="AI93" s="41" t="str">
        <f t="shared" si="61"/>
        <v/>
      </c>
      <c r="AJ93" s="24">
        <f t="shared" si="62"/>
        <v>11.995698273181915</v>
      </c>
      <c r="AK93" s="41" t="str">
        <f t="shared" si="63"/>
        <v/>
      </c>
    </row>
    <row r="94" spans="1:37" ht="13.5" customHeight="1" x14ac:dyDescent="0.2">
      <c r="A94" s="642"/>
      <c r="B94" s="636"/>
      <c r="C94" s="636"/>
      <c r="D94" s="636"/>
      <c r="E94" s="497" t="s">
        <v>470</v>
      </c>
      <c r="F94" s="140">
        <v>-167700000</v>
      </c>
      <c r="G94" s="8">
        <v>4</v>
      </c>
      <c r="H94" s="21">
        <f t="shared" si="36"/>
        <v>2620312.5</v>
      </c>
      <c r="I94" s="37" t="str">
        <f t="shared" si="37"/>
        <v>X;6447</v>
      </c>
      <c r="J94" s="38">
        <v>5</v>
      </c>
      <c r="K94" s="128">
        <f t="shared" si="38"/>
        <v>10.530448254243828</v>
      </c>
      <c r="L94" s="39" t="str">
        <f>INDEX(powers!$H$2:$H$75,33+J94)</f>
        <v>terno cosmic</v>
      </c>
      <c r="M94" s="40" t="str">
        <f t="shared" si="39"/>
        <v>X</v>
      </c>
      <c r="N94" s="24">
        <f t="shared" si="40"/>
        <v>6.3653790509259309</v>
      </c>
      <c r="O94" s="41" t="str">
        <f t="shared" si="41"/>
        <v>6</v>
      </c>
      <c r="P94" s="24">
        <f t="shared" si="42"/>
        <v>4.3845486111111711</v>
      </c>
      <c r="Q94" s="41" t="str">
        <f t="shared" si="43"/>
        <v>4</v>
      </c>
      <c r="R94" s="24">
        <f t="shared" si="44"/>
        <v>4.6145833333340533</v>
      </c>
      <c r="S94" s="41" t="str">
        <f t="shared" si="45"/>
        <v>4</v>
      </c>
      <c r="T94" s="24">
        <f t="shared" si="46"/>
        <v>7.3750000000086402</v>
      </c>
      <c r="U94" s="41" t="str">
        <f t="shared" si="47"/>
        <v>7</v>
      </c>
      <c r="V94" s="24">
        <f t="shared" si="48"/>
        <v>4.5000000001036824</v>
      </c>
      <c r="W94" s="41" t="str">
        <f t="shared" si="49"/>
        <v/>
      </c>
      <c r="X94" s="24">
        <f t="shared" si="50"/>
        <v>6.0000000012441888</v>
      </c>
      <c r="Y94" s="41" t="str">
        <f t="shared" si="51"/>
        <v/>
      </c>
      <c r="Z94" s="24">
        <f t="shared" si="52"/>
        <v>1.493026502430439E-8</v>
      </c>
      <c r="AA94" s="41" t="str">
        <f t="shared" si="53"/>
        <v/>
      </c>
      <c r="AB94" s="24">
        <f t="shared" si="54"/>
        <v>1.7916318029165268E-7</v>
      </c>
      <c r="AC94" s="41" t="str">
        <f t="shared" si="55"/>
        <v/>
      </c>
      <c r="AD94" s="24">
        <f t="shared" si="56"/>
        <v>2.1499581634998322E-6</v>
      </c>
      <c r="AE94" s="41" t="str">
        <f t="shared" si="57"/>
        <v/>
      </c>
      <c r="AF94" s="24">
        <f t="shared" si="58"/>
        <v>2.5799497961997986E-5</v>
      </c>
      <c r="AG94" s="41" t="str">
        <f t="shared" si="59"/>
        <v/>
      </c>
      <c r="AH94" s="24">
        <f t="shared" si="60"/>
        <v>3.0959397554397583E-4</v>
      </c>
      <c r="AI94" s="41" t="str">
        <f t="shared" si="61"/>
        <v/>
      </c>
      <c r="AJ94" s="24">
        <f t="shared" si="62"/>
        <v>3.71512770652771E-3</v>
      </c>
      <c r="AK94" s="41" t="str">
        <f t="shared" si="63"/>
        <v/>
      </c>
    </row>
    <row r="95" spans="1:37" ht="13.5" customHeight="1" x14ac:dyDescent="0.2">
      <c r="A95" s="642"/>
      <c r="B95" s="636"/>
      <c r="C95" s="636"/>
      <c r="D95" s="637"/>
      <c r="E95" s="497" t="s">
        <v>471</v>
      </c>
      <c r="F95" s="140">
        <v>-164700000</v>
      </c>
      <c r="G95" s="8">
        <v>4</v>
      </c>
      <c r="H95" s="21">
        <f t="shared" si="36"/>
        <v>2573437.5</v>
      </c>
      <c r="I95" s="37" t="str">
        <f t="shared" si="37"/>
        <v>X;4131</v>
      </c>
      <c r="J95" s="38">
        <v>5</v>
      </c>
      <c r="K95" s="128">
        <f t="shared" si="38"/>
        <v>10.342068142361111</v>
      </c>
      <c r="L95" s="39" t="str">
        <f>INDEX(powers!$H$2:$H$75,33+J95)</f>
        <v>terno cosmic</v>
      </c>
      <c r="M95" s="40" t="str">
        <f t="shared" si="39"/>
        <v>X</v>
      </c>
      <c r="N95" s="24">
        <f t="shared" si="40"/>
        <v>4.1048177083333286</v>
      </c>
      <c r="O95" s="41" t="str">
        <f t="shared" si="41"/>
        <v>4</v>
      </c>
      <c r="P95" s="24">
        <f t="shared" si="42"/>
        <v>1.2578124999999432</v>
      </c>
      <c r="Q95" s="41" t="str">
        <f t="shared" si="43"/>
        <v>1</v>
      </c>
      <c r="R95" s="24">
        <f t="shared" si="44"/>
        <v>3.0937499999993179</v>
      </c>
      <c r="S95" s="41" t="str">
        <f t="shared" si="45"/>
        <v>3</v>
      </c>
      <c r="T95" s="24">
        <f t="shared" si="46"/>
        <v>1.1249999999918145</v>
      </c>
      <c r="U95" s="41" t="str">
        <f t="shared" si="47"/>
        <v>1</v>
      </c>
      <c r="V95" s="24">
        <f t="shared" si="48"/>
        <v>1.4999999999017746</v>
      </c>
      <c r="W95" s="41" t="str">
        <f t="shared" si="49"/>
        <v/>
      </c>
      <c r="X95" s="24">
        <f t="shared" si="50"/>
        <v>5.9999999988212949</v>
      </c>
      <c r="Y95" s="41" t="str">
        <f t="shared" si="51"/>
        <v/>
      </c>
      <c r="Z95" s="24">
        <f t="shared" si="52"/>
        <v>11.999999985855538</v>
      </c>
      <c r="AA95" s="41" t="str">
        <f t="shared" si="53"/>
        <v/>
      </c>
      <c r="AB95" s="24">
        <f t="shared" si="54"/>
        <v>11.999999830266461</v>
      </c>
      <c r="AC95" s="41" t="str">
        <f t="shared" si="55"/>
        <v/>
      </c>
      <c r="AD95" s="24">
        <f t="shared" si="56"/>
        <v>11.999997963197529</v>
      </c>
      <c r="AE95" s="41" t="str">
        <f t="shared" si="57"/>
        <v/>
      </c>
      <c r="AF95" s="24">
        <f t="shared" si="58"/>
        <v>11.999975558370352</v>
      </c>
      <c r="AG95" s="41" t="str">
        <f t="shared" si="59"/>
        <v/>
      </c>
      <c r="AH95" s="24">
        <f t="shared" si="60"/>
        <v>11.999706700444221</v>
      </c>
      <c r="AI95" s="41" t="str">
        <f t="shared" si="61"/>
        <v/>
      </c>
      <c r="AJ95" s="24">
        <f t="shared" si="62"/>
        <v>11.996480405330658</v>
      </c>
      <c r="AK95" s="41" t="str">
        <f t="shared" si="63"/>
        <v/>
      </c>
    </row>
    <row r="96" spans="1:37" ht="13.5" customHeight="1" x14ac:dyDescent="0.2">
      <c r="A96" s="642"/>
      <c r="B96" s="636"/>
      <c r="C96" s="636"/>
      <c r="D96" s="635" t="s">
        <v>472</v>
      </c>
      <c r="E96" s="497" t="s">
        <v>473</v>
      </c>
      <c r="F96" s="140">
        <v>-161200000</v>
      </c>
      <c r="G96" s="8">
        <v>4</v>
      </c>
      <c r="H96" s="21">
        <f t="shared" si="36"/>
        <v>2518750</v>
      </c>
      <c r="I96" s="37" t="str">
        <f t="shared" si="37"/>
        <v>X;1574</v>
      </c>
      <c r="J96" s="38">
        <v>5</v>
      </c>
      <c r="K96" s="128">
        <f t="shared" si="38"/>
        <v>10.122291345164609</v>
      </c>
      <c r="L96" s="39" t="str">
        <f>INDEX(powers!$H$2:$H$75,33+J96)</f>
        <v>terno cosmic</v>
      </c>
      <c r="M96" s="40" t="str">
        <f t="shared" si="39"/>
        <v>X</v>
      </c>
      <c r="N96" s="24">
        <f t="shared" si="40"/>
        <v>1.4674961419753032</v>
      </c>
      <c r="O96" s="41" t="str">
        <f t="shared" si="41"/>
        <v>1</v>
      </c>
      <c r="P96" s="24">
        <f t="shared" si="42"/>
        <v>5.6099537037036384</v>
      </c>
      <c r="Q96" s="41" t="str">
        <f t="shared" si="43"/>
        <v>5</v>
      </c>
      <c r="R96" s="24">
        <f t="shared" si="44"/>
        <v>7.3194444444436613</v>
      </c>
      <c r="S96" s="41" t="str">
        <f t="shared" si="45"/>
        <v>7</v>
      </c>
      <c r="T96" s="24">
        <f t="shared" si="46"/>
        <v>3.8333333333239352</v>
      </c>
      <c r="U96" s="41" t="str">
        <f t="shared" si="47"/>
        <v>4</v>
      </c>
      <c r="V96" s="24">
        <f t="shared" si="48"/>
        <v>9.9999999998872227</v>
      </c>
      <c r="W96" s="41" t="str">
        <f t="shared" si="49"/>
        <v/>
      </c>
      <c r="X96" s="24">
        <f t="shared" si="50"/>
        <v>11.999999998646672</v>
      </c>
      <c r="Y96" s="41" t="str">
        <f t="shared" si="51"/>
        <v/>
      </c>
      <c r="Z96" s="24">
        <f t="shared" si="52"/>
        <v>11.999999983760063</v>
      </c>
      <c r="AA96" s="41" t="str">
        <f t="shared" si="53"/>
        <v/>
      </c>
      <c r="AB96" s="24">
        <f t="shared" si="54"/>
        <v>11.999999805120751</v>
      </c>
      <c r="AC96" s="41" t="str">
        <f t="shared" si="55"/>
        <v/>
      </c>
      <c r="AD96" s="24">
        <f t="shared" si="56"/>
        <v>11.999997661449015</v>
      </c>
      <c r="AE96" s="41" t="str">
        <f t="shared" si="57"/>
        <v/>
      </c>
      <c r="AF96" s="24">
        <f t="shared" si="58"/>
        <v>11.999971937388182</v>
      </c>
      <c r="AG96" s="41" t="str">
        <f t="shared" si="59"/>
        <v/>
      </c>
      <c r="AH96" s="24">
        <f t="shared" si="60"/>
        <v>11.99966324865818</v>
      </c>
      <c r="AI96" s="41" t="str">
        <f t="shared" si="61"/>
        <v/>
      </c>
      <c r="AJ96" s="24">
        <f t="shared" si="62"/>
        <v>11.995958983898163</v>
      </c>
      <c r="AK96" s="41" t="str">
        <f t="shared" si="63"/>
        <v/>
      </c>
    </row>
    <row r="97" spans="1:37" ht="13.5" customHeight="1" x14ac:dyDescent="0.2">
      <c r="A97" s="642"/>
      <c r="B97" s="636"/>
      <c r="C97" s="636"/>
      <c r="D97" s="636"/>
      <c r="E97" s="497" t="s">
        <v>474</v>
      </c>
      <c r="F97" s="140">
        <v>-155600000</v>
      </c>
      <c r="G97" s="8">
        <v>4</v>
      </c>
      <c r="H97" s="21">
        <f t="shared" si="36"/>
        <v>2431250</v>
      </c>
      <c r="I97" s="37" t="str">
        <f t="shared" si="37"/>
        <v>9;92E8</v>
      </c>
      <c r="J97" s="38">
        <v>5</v>
      </c>
      <c r="K97" s="128">
        <f t="shared" si="38"/>
        <v>9.7706484696502063</v>
      </c>
      <c r="L97" s="39" t="str">
        <f>INDEX(powers!$H$2:$H$75,33+J97)</f>
        <v>terno cosmic</v>
      </c>
      <c r="M97" s="40" t="str">
        <f t="shared" si="39"/>
        <v>9</v>
      </c>
      <c r="N97" s="24">
        <f t="shared" si="40"/>
        <v>9.2477816358024754</v>
      </c>
      <c r="O97" s="41" t="str">
        <f t="shared" si="41"/>
        <v>9</v>
      </c>
      <c r="P97" s="24">
        <f t="shared" si="42"/>
        <v>2.9733796296297044</v>
      </c>
      <c r="Q97" s="41" t="str">
        <f t="shared" si="43"/>
        <v>2</v>
      </c>
      <c r="R97" s="24">
        <f t="shared" si="44"/>
        <v>11.680555555556452</v>
      </c>
      <c r="S97" s="41" t="str">
        <f t="shared" si="45"/>
        <v>E</v>
      </c>
      <c r="T97" s="24">
        <f t="shared" si="46"/>
        <v>8.166666666677429</v>
      </c>
      <c r="U97" s="41" t="str">
        <f t="shared" si="47"/>
        <v>8</v>
      </c>
      <c r="V97" s="24">
        <f t="shared" si="48"/>
        <v>2.0000000001291482</v>
      </c>
      <c r="W97" s="41" t="str">
        <f t="shared" si="49"/>
        <v/>
      </c>
      <c r="X97" s="24">
        <f t="shared" si="50"/>
        <v>1.5497789718210697E-9</v>
      </c>
      <c r="Y97" s="41" t="str">
        <f t="shared" si="51"/>
        <v/>
      </c>
      <c r="Z97" s="24">
        <f t="shared" si="52"/>
        <v>1.8597347661852837E-8</v>
      </c>
      <c r="AA97" s="41" t="str">
        <f t="shared" si="53"/>
        <v/>
      </c>
      <c r="AB97" s="24">
        <f t="shared" si="54"/>
        <v>2.2316817194223404E-7</v>
      </c>
      <c r="AC97" s="41" t="str">
        <f t="shared" si="55"/>
        <v/>
      </c>
      <c r="AD97" s="24">
        <f t="shared" si="56"/>
        <v>2.6780180633068085E-6</v>
      </c>
      <c r="AE97" s="41" t="str">
        <f t="shared" si="57"/>
        <v/>
      </c>
      <c r="AF97" s="24">
        <f t="shared" si="58"/>
        <v>3.2136216759681702E-5</v>
      </c>
      <c r="AG97" s="41" t="str">
        <f t="shared" si="59"/>
        <v/>
      </c>
      <c r="AH97" s="24">
        <f t="shared" si="60"/>
        <v>3.8563460111618042E-4</v>
      </c>
      <c r="AI97" s="41" t="str">
        <f t="shared" si="61"/>
        <v/>
      </c>
      <c r="AJ97" s="24">
        <f t="shared" si="62"/>
        <v>4.627615213394165E-3</v>
      </c>
      <c r="AK97" s="41" t="str">
        <f t="shared" si="63"/>
        <v/>
      </c>
    </row>
    <row r="98" spans="1:37" ht="13.5" customHeight="1" x14ac:dyDescent="0.2">
      <c r="A98" s="642"/>
      <c r="B98" s="636"/>
      <c r="C98" s="637"/>
      <c r="D98" s="637"/>
      <c r="E98" s="497" t="s">
        <v>475</v>
      </c>
      <c r="F98" s="140">
        <v>-150800000</v>
      </c>
      <c r="G98" s="8">
        <v>4</v>
      </c>
      <c r="H98" s="21">
        <f t="shared" si="36"/>
        <v>2356250</v>
      </c>
      <c r="I98" s="37" t="str">
        <f t="shared" si="37"/>
        <v>9;576X</v>
      </c>
      <c r="J98" s="38">
        <v>5</v>
      </c>
      <c r="K98" s="128">
        <f t="shared" si="38"/>
        <v>9.4692402906378597</v>
      </c>
      <c r="L98" s="39" t="str">
        <f>INDEX(powers!$H$2:$H$75,33+J98)</f>
        <v>terno cosmic</v>
      </c>
      <c r="M98" s="40" t="str">
        <f t="shared" si="39"/>
        <v>9</v>
      </c>
      <c r="N98" s="24">
        <f t="shared" si="40"/>
        <v>5.6308834876543159</v>
      </c>
      <c r="O98" s="41" t="str">
        <f t="shared" si="41"/>
        <v>5</v>
      </c>
      <c r="P98" s="24">
        <f t="shared" si="42"/>
        <v>7.5706018518517908</v>
      </c>
      <c r="Q98" s="41" t="str">
        <f t="shared" si="43"/>
        <v>7</v>
      </c>
      <c r="R98" s="24">
        <f t="shared" si="44"/>
        <v>6.8472222222214896</v>
      </c>
      <c r="S98" s="41" t="str">
        <f t="shared" si="45"/>
        <v>6</v>
      </c>
      <c r="T98" s="24">
        <f t="shared" si="46"/>
        <v>10.166666666657875</v>
      </c>
      <c r="U98" s="41" t="str">
        <f t="shared" si="47"/>
        <v>X</v>
      </c>
      <c r="V98" s="24">
        <f t="shared" si="48"/>
        <v>1.9999999998944986</v>
      </c>
      <c r="W98" s="41" t="str">
        <f t="shared" si="49"/>
        <v/>
      </c>
      <c r="X98" s="24">
        <f t="shared" si="50"/>
        <v>11.999999998733983</v>
      </c>
      <c r="Y98" s="41" t="str">
        <f t="shared" si="51"/>
        <v/>
      </c>
      <c r="Z98" s="24">
        <f t="shared" si="52"/>
        <v>11.999999984807801</v>
      </c>
      <c r="AA98" s="41" t="str">
        <f t="shared" si="53"/>
        <v/>
      </c>
      <c r="AB98" s="24">
        <f t="shared" si="54"/>
        <v>11.999999817693606</v>
      </c>
      <c r="AC98" s="41" t="str">
        <f t="shared" si="55"/>
        <v/>
      </c>
      <c r="AD98" s="24">
        <f t="shared" si="56"/>
        <v>11.999997812323272</v>
      </c>
      <c r="AE98" s="41" t="str">
        <f t="shared" si="57"/>
        <v/>
      </c>
      <c r="AF98" s="24">
        <f t="shared" si="58"/>
        <v>11.999973747879267</v>
      </c>
      <c r="AG98" s="41" t="str">
        <f t="shared" si="59"/>
        <v/>
      </c>
      <c r="AH98" s="24">
        <f t="shared" si="60"/>
        <v>11.999684974551201</v>
      </c>
      <c r="AI98" s="41" t="str">
        <f t="shared" si="61"/>
        <v/>
      </c>
      <c r="AJ98" s="24">
        <f t="shared" si="62"/>
        <v>11.99621969461441</v>
      </c>
      <c r="AK98" s="41" t="str">
        <f t="shared" si="63"/>
        <v/>
      </c>
    </row>
    <row r="99" spans="1:37" ht="13.5" customHeight="1" x14ac:dyDescent="0.2">
      <c r="A99" s="642"/>
      <c r="B99" s="636"/>
      <c r="C99" s="635" t="s">
        <v>476</v>
      </c>
      <c r="D99" s="635" t="s">
        <v>477</v>
      </c>
      <c r="E99" s="497" t="s">
        <v>478</v>
      </c>
      <c r="F99" s="140">
        <v>-145500000</v>
      </c>
      <c r="G99" s="8">
        <v>4</v>
      </c>
      <c r="H99" s="21">
        <f t="shared" si="36"/>
        <v>2273437.5</v>
      </c>
      <c r="I99" s="37" t="str">
        <f t="shared" si="37"/>
        <v>9;1779</v>
      </c>
      <c r="J99" s="38">
        <v>5</v>
      </c>
      <c r="K99" s="128">
        <f t="shared" si="38"/>
        <v>9.1364354263117278</v>
      </c>
      <c r="L99" s="39" t="str">
        <f>INDEX(powers!$H$2:$H$75,33+J99)</f>
        <v>terno cosmic</v>
      </c>
      <c r="M99" s="40" t="str">
        <f t="shared" si="39"/>
        <v>9</v>
      </c>
      <c r="N99" s="24">
        <f t="shared" si="40"/>
        <v>1.6372251157407334</v>
      </c>
      <c r="O99" s="41" t="str">
        <f t="shared" si="41"/>
        <v>1</v>
      </c>
      <c r="P99" s="24">
        <f t="shared" si="42"/>
        <v>7.6467013888888005</v>
      </c>
      <c r="Q99" s="41" t="str">
        <f t="shared" si="43"/>
        <v>7</v>
      </c>
      <c r="R99" s="24">
        <f t="shared" si="44"/>
        <v>7.7604166666656056</v>
      </c>
      <c r="S99" s="41" t="str">
        <f t="shared" si="45"/>
        <v>7</v>
      </c>
      <c r="T99" s="24">
        <f t="shared" si="46"/>
        <v>9.1249999999872671</v>
      </c>
      <c r="U99" s="41" t="str">
        <f t="shared" si="47"/>
        <v>9</v>
      </c>
      <c r="V99" s="24">
        <f t="shared" si="48"/>
        <v>1.4999999998472049</v>
      </c>
      <c r="W99" s="41" t="str">
        <f t="shared" si="49"/>
        <v/>
      </c>
      <c r="X99" s="24">
        <f t="shared" si="50"/>
        <v>5.9999999981664587</v>
      </c>
      <c r="Y99" s="41" t="str">
        <f t="shared" si="51"/>
        <v/>
      </c>
      <c r="Z99" s="24">
        <f t="shared" si="52"/>
        <v>11.999999977997504</v>
      </c>
      <c r="AA99" s="41" t="str">
        <f t="shared" si="53"/>
        <v/>
      </c>
      <c r="AB99" s="24">
        <f t="shared" si="54"/>
        <v>11.99999973597005</v>
      </c>
      <c r="AC99" s="41" t="str">
        <f t="shared" si="55"/>
        <v/>
      </c>
      <c r="AD99" s="24">
        <f t="shared" si="56"/>
        <v>11.999996831640601</v>
      </c>
      <c r="AE99" s="41" t="str">
        <f t="shared" si="57"/>
        <v/>
      </c>
      <c r="AF99" s="24">
        <f t="shared" si="58"/>
        <v>11.999961979687214</v>
      </c>
      <c r="AG99" s="41" t="str">
        <f t="shared" si="59"/>
        <v/>
      </c>
      <c r="AH99" s="24">
        <f t="shared" si="60"/>
        <v>11.999543756246567</v>
      </c>
      <c r="AI99" s="41" t="str">
        <f t="shared" si="61"/>
        <v/>
      </c>
      <c r="AJ99" s="24">
        <f t="shared" si="62"/>
        <v>11.994525074958801</v>
      </c>
      <c r="AK99" s="41" t="str">
        <f t="shared" si="63"/>
        <v/>
      </c>
    </row>
    <row r="100" spans="1:37" ht="13.5" customHeight="1" x14ac:dyDescent="0.2">
      <c r="A100" s="642"/>
      <c r="B100" s="636"/>
      <c r="C100" s="636"/>
      <c r="D100" s="636"/>
      <c r="E100" s="497" t="s">
        <v>479</v>
      </c>
      <c r="F100" s="140">
        <v>-140200000</v>
      </c>
      <c r="G100" s="8">
        <v>4</v>
      </c>
      <c r="H100" s="21">
        <f t="shared" si="36"/>
        <v>2190625</v>
      </c>
      <c r="I100" s="37" t="str">
        <f t="shared" si="37"/>
        <v>8;9788</v>
      </c>
      <c r="J100" s="38">
        <v>5</v>
      </c>
      <c r="K100" s="128">
        <f t="shared" si="38"/>
        <v>8.8036305619855959</v>
      </c>
      <c r="L100" s="39" t="str">
        <f>INDEX(powers!$H$2:$H$75,33+J100)</f>
        <v>terno cosmic</v>
      </c>
      <c r="M100" s="40" t="str">
        <f t="shared" si="39"/>
        <v>8</v>
      </c>
      <c r="N100" s="24">
        <f t="shared" si="40"/>
        <v>9.6435667438271508</v>
      </c>
      <c r="O100" s="41" t="str">
        <f t="shared" si="41"/>
        <v>9</v>
      </c>
      <c r="P100" s="24">
        <f t="shared" si="42"/>
        <v>7.7228009259258101</v>
      </c>
      <c r="Q100" s="41" t="str">
        <f t="shared" si="43"/>
        <v>7</v>
      </c>
      <c r="R100" s="24">
        <f t="shared" si="44"/>
        <v>8.6736111111097216</v>
      </c>
      <c r="S100" s="41" t="str">
        <f t="shared" si="45"/>
        <v>8</v>
      </c>
      <c r="T100" s="24">
        <f t="shared" si="46"/>
        <v>8.0833333333166593</v>
      </c>
      <c r="U100" s="41" t="str">
        <f t="shared" si="47"/>
        <v>8</v>
      </c>
      <c r="V100" s="24">
        <f t="shared" si="48"/>
        <v>0.99999999979991117</v>
      </c>
      <c r="W100" s="41" t="str">
        <f t="shared" si="49"/>
        <v/>
      </c>
      <c r="X100" s="24">
        <f t="shared" si="50"/>
        <v>11.999999997598934</v>
      </c>
      <c r="Y100" s="41" t="str">
        <f t="shared" si="51"/>
        <v/>
      </c>
      <c r="Z100" s="24">
        <f t="shared" si="52"/>
        <v>11.999999971187208</v>
      </c>
      <c r="AA100" s="41" t="str">
        <f t="shared" si="53"/>
        <v/>
      </c>
      <c r="AB100" s="24">
        <f t="shared" si="54"/>
        <v>11.999999654246494</v>
      </c>
      <c r="AC100" s="41" t="str">
        <f t="shared" si="55"/>
        <v/>
      </c>
      <c r="AD100" s="24">
        <f t="shared" si="56"/>
        <v>11.99999585095793</v>
      </c>
      <c r="AE100" s="41" t="str">
        <f t="shared" si="57"/>
        <v/>
      </c>
      <c r="AF100" s="24">
        <f t="shared" si="58"/>
        <v>11.999950211495161</v>
      </c>
      <c r="AG100" s="41" t="str">
        <f t="shared" si="59"/>
        <v/>
      </c>
      <c r="AH100" s="24">
        <f t="shared" si="60"/>
        <v>11.999402537941933</v>
      </c>
      <c r="AI100" s="41" t="str">
        <f t="shared" si="61"/>
        <v/>
      </c>
      <c r="AJ100" s="24">
        <f t="shared" si="62"/>
        <v>11.992830455303192</v>
      </c>
      <c r="AK100" s="41" t="str">
        <f t="shared" si="63"/>
        <v/>
      </c>
    </row>
    <row r="101" spans="1:37" ht="13.5" customHeight="1" x14ac:dyDescent="0.2">
      <c r="A101" s="642"/>
      <c r="B101" s="636"/>
      <c r="C101" s="636"/>
      <c r="D101" s="636"/>
      <c r="E101" s="497" t="s">
        <v>480</v>
      </c>
      <c r="F101" s="140">
        <v>-133900000</v>
      </c>
      <c r="G101" s="8">
        <v>4</v>
      </c>
      <c r="H101" s="21">
        <f t="shared" si="36"/>
        <v>2092187.5</v>
      </c>
      <c r="I101" s="37" t="str">
        <f t="shared" si="37"/>
        <v>8;4X91</v>
      </c>
      <c r="J101" s="38">
        <v>5</v>
      </c>
      <c r="K101" s="128">
        <f t="shared" si="38"/>
        <v>8.4080323270318935</v>
      </c>
      <c r="L101" s="39" t="str">
        <f>INDEX(powers!$H$2:$H$75,33+J101)</f>
        <v>terno cosmic</v>
      </c>
      <c r="M101" s="40" t="str">
        <f t="shared" si="39"/>
        <v>8</v>
      </c>
      <c r="N101" s="24">
        <f t="shared" si="40"/>
        <v>4.8963879243827222</v>
      </c>
      <c r="O101" s="41" t="str">
        <f t="shared" si="41"/>
        <v>4</v>
      </c>
      <c r="P101" s="24">
        <f t="shared" si="42"/>
        <v>10.756655092592666</v>
      </c>
      <c r="Q101" s="41" t="str">
        <f t="shared" si="43"/>
        <v>X</v>
      </c>
      <c r="R101" s="24">
        <f t="shared" si="44"/>
        <v>9.0798611111119953</v>
      </c>
      <c r="S101" s="41" t="str">
        <f t="shared" si="45"/>
        <v>9</v>
      </c>
      <c r="T101" s="24">
        <f t="shared" si="46"/>
        <v>0.9583333333439441</v>
      </c>
      <c r="U101" s="41" t="str">
        <f t="shared" si="47"/>
        <v>1</v>
      </c>
      <c r="V101" s="24">
        <f t="shared" si="48"/>
        <v>11.500000000127329</v>
      </c>
      <c r="W101" s="41" t="str">
        <f t="shared" si="49"/>
        <v/>
      </c>
      <c r="X101" s="24">
        <f t="shared" si="50"/>
        <v>6.0000000015279511</v>
      </c>
      <c r="Y101" s="41" t="str">
        <f t="shared" si="51"/>
        <v/>
      </c>
      <c r="Z101" s="24">
        <f t="shared" si="52"/>
        <v>1.8335413187742233E-8</v>
      </c>
      <c r="AA101" s="41" t="str">
        <f t="shared" si="53"/>
        <v/>
      </c>
      <c r="AB101" s="24">
        <f t="shared" si="54"/>
        <v>2.200249582529068E-7</v>
      </c>
      <c r="AC101" s="41" t="str">
        <f t="shared" si="55"/>
        <v/>
      </c>
      <c r="AD101" s="24">
        <f t="shared" si="56"/>
        <v>2.6402994990348816E-6</v>
      </c>
      <c r="AE101" s="41" t="str">
        <f t="shared" si="57"/>
        <v/>
      </c>
      <c r="AF101" s="24">
        <f t="shared" si="58"/>
        <v>3.1683593988418579E-5</v>
      </c>
      <c r="AG101" s="41" t="str">
        <f t="shared" si="59"/>
        <v/>
      </c>
      <c r="AH101" s="24">
        <f t="shared" si="60"/>
        <v>3.8020312786102295E-4</v>
      </c>
      <c r="AI101" s="41" t="str">
        <f t="shared" si="61"/>
        <v/>
      </c>
      <c r="AJ101" s="24">
        <f t="shared" si="62"/>
        <v>4.5624375343322754E-3</v>
      </c>
      <c r="AK101" s="41" t="str">
        <f t="shared" si="63"/>
        <v/>
      </c>
    </row>
    <row r="102" spans="1:37" ht="13.5" customHeight="1" x14ac:dyDescent="0.2">
      <c r="A102" s="642"/>
      <c r="B102" s="636"/>
      <c r="C102" s="636"/>
      <c r="D102" s="636"/>
      <c r="E102" s="497" t="s">
        <v>481</v>
      </c>
      <c r="F102" s="140">
        <v>-130000000</v>
      </c>
      <c r="G102" s="8">
        <v>4</v>
      </c>
      <c r="H102" s="21">
        <f t="shared" si="36"/>
        <v>2031250</v>
      </c>
      <c r="I102" s="37" t="str">
        <f t="shared" si="37"/>
        <v>8;1E5E</v>
      </c>
      <c r="J102" s="38">
        <v>5</v>
      </c>
      <c r="K102" s="128">
        <f t="shared" si="38"/>
        <v>8.1631381815843618</v>
      </c>
      <c r="L102" s="39" t="str">
        <f>INDEX(powers!$H$2:$H$75,33+J102)</f>
        <v>terno cosmic</v>
      </c>
      <c r="M102" s="40" t="str">
        <f t="shared" si="39"/>
        <v>8</v>
      </c>
      <c r="N102" s="24">
        <f t="shared" si="40"/>
        <v>1.9576581790123413</v>
      </c>
      <c r="O102" s="41" t="str">
        <f t="shared" si="41"/>
        <v>1</v>
      </c>
      <c r="P102" s="24">
        <f t="shared" si="42"/>
        <v>11.491898148148096</v>
      </c>
      <c r="Q102" s="41" t="str">
        <f t="shared" si="43"/>
        <v>E</v>
      </c>
      <c r="R102" s="24">
        <f t="shared" si="44"/>
        <v>5.9027777777771462</v>
      </c>
      <c r="S102" s="41" t="str">
        <f t="shared" si="45"/>
        <v>5</v>
      </c>
      <c r="T102" s="24">
        <f t="shared" si="46"/>
        <v>10.833333333325754</v>
      </c>
      <c r="U102" s="41" t="str">
        <f t="shared" si="47"/>
        <v>E</v>
      </c>
      <c r="V102" s="24">
        <f t="shared" si="48"/>
        <v>9.9999999999090505</v>
      </c>
      <c r="W102" s="41" t="str">
        <f t="shared" si="49"/>
        <v/>
      </c>
      <c r="X102" s="24">
        <f t="shared" si="50"/>
        <v>11.999999998908606</v>
      </c>
      <c r="Y102" s="41" t="str">
        <f t="shared" si="51"/>
        <v/>
      </c>
      <c r="Z102" s="24">
        <f t="shared" si="52"/>
        <v>11.999999986903276</v>
      </c>
      <c r="AA102" s="41" t="str">
        <f t="shared" si="53"/>
        <v/>
      </c>
      <c r="AB102" s="24">
        <f t="shared" si="54"/>
        <v>11.999999842839316</v>
      </c>
      <c r="AC102" s="41" t="str">
        <f t="shared" si="55"/>
        <v/>
      </c>
      <c r="AD102" s="24">
        <f t="shared" si="56"/>
        <v>11.999998114071786</v>
      </c>
      <c r="AE102" s="41" t="str">
        <f t="shared" si="57"/>
        <v/>
      </c>
      <c r="AF102" s="24">
        <f t="shared" si="58"/>
        <v>11.999977368861437</v>
      </c>
      <c r="AG102" s="41" t="str">
        <f t="shared" si="59"/>
        <v/>
      </c>
      <c r="AH102" s="24">
        <f t="shared" si="60"/>
        <v>11.999728426337242</v>
      </c>
      <c r="AI102" s="41" t="str">
        <f t="shared" si="61"/>
        <v/>
      </c>
      <c r="AJ102" s="24">
        <f t="shared" si="62"/>
        <v>11.996741116046906</v>
      </c>
      <c r="AK102" s="41" t="str">
        <f t="shared" si="63"/>
        <v/>
      </c>
    </row>
    <row r="103" spans="1:37" ht="13.5" customHeight="1" x14ac:dyDescent="0.2">
      <c r="A103" s="642"/>
      <c r="B103" s="636"/>
      <c r="C103" s="636"/>
      <c r="D103" s="636"/>
      <c r="E103" s="497" t="s">
        <v>482</v>
      </c>
      <c r="F103" s="140">
        <v>-125000000</v>
      </c>
      <c r="G103" s="8">
        <v>4</v>
      </c>
      <c r="H103" s="21">
        <f t="shared" si="36"/>
        <v>1953125</v>
      </c>
      <c r="I103" s="37" t="str">
        <f t="shared" si="37"/>
        <v>7;X234</v>
      </c>
      <c r="J103" s="38">
        <v>5</v>
      </c>
      <c r="K103" s="128">
        <f t="shared" si="38"/>
        <v>7.8491713284465021</v>
      </c>
      <c r="L103" s="39" t="str">
        <f>INDEX(powers!$H$2:$H$75,33+J103)</f>
        <v>terno cosmic</v>
      </c>
      <c r="M103" s="40" t="str">
        <f t="shared" si="39"/>
        <v>7</v>
      </c>
      <c r="N103" s="24">
        <f t="shared" si="40"/>
        <v>10.190055941358025</v>
      </c>
      <c r="O103" s="41" t="str">
        <f t="shared" si="41"/>
        <v>X</v>
      </c>
      <c r="P103" s="24">
        <f t="shared" si="42"/>
        <v>2.2806712962963047</v>
      </c>
      <c r="Q103" s="41" t="str">
        <f t="shared" si="43"/>
        <v>2</v>
      </c>
      <c r="R103" s="24">
        <f t="shared" si="44"/>
        <v>3.3680555555556566</v>
      </c>
      <c r="S103" s="41" t="str">
        <f t="shared" si="45"/>
        <v>3</v>
      </c>
      <c r="T103" s="24">
        <f t="shared" si="46"/>
        <v>4.4166666666678793</v>
      </c>
      <c r="U103" s="41" t="str">
        <f t="shared" si="47"/>
        <v>4</v>
      </c>
      <c r="V103" s="24">
        <f t="shared" si="48"/>
        <v>5.0000000000145519</v>
      </c>
      <c r="W103" s="41" t="str">
        <f t="shared" si="49"/>
        <v/>
      </c>
      <c r="X103" s="24">
        <f t="shared" si="50"/>
        <v>1.7462298274040222E-10</v>
      </c>
      <c r="Y103" s="41" t="str">
        <f t="shared" si="51"/>
        <v/>
      </c>
      <c r="Z103" s="24">
        <f t="shared" si="52"/>
        <v>2.0954757928848267E-9</v>
      </c>
      <c r="AA103" s="41" t="str">
        <f t="shared" si="53"/>
        <v/>
      </c>
      <c r="AB103" s="24">
        <f t="shared" si="54"/>
        <v>2.514570951461792E-8</v>
      </c>
      <c r="AC103" s="41" t="str">
        <f t="shared" si="55"/>
        <v/>
      </c>
      <c r="AD103" s="24">
        <f t="shared" si="56"/>
        <v>3.0174851417541504E-7</v>
      </c>
      <c r="AE103" s="41" t="str">
        <f t="shared" si="57"/>
        <v/>
      </c>
      <c r="AF103" s="24">
        <f t="shared" si="58"/>
        <v>3.6209821701049805E-6</v>
      </c>
      <c r="AG103" s="41" t="str">
        <f t="shared" si="59"/>
        <v/>
      </c>
      <c r="AH103" s="24">
        <f t="shared" si="60"/>
        <v>4.3451786041259766E-5</v>
      </c>
      <c r="AI103" s="41" t="str">
        <f t="shared" si="61"/>
        <v/>
      </c>
      <c r="AJ103" s="24">
        <f t="shared" si="62"/>
        <v>5.2142143249511719E-4</v>
      </c>
      <c r="AK103" s="41" t="str">
        <f t="shared" si="63"/>
        <v/>
      </c>
    </row>
    <row r="104" spans="1:37" ht="13.5" customHeight="1" x14ac:dyDescent="0.2">
      <c r="A104" s="642"/>
      <c r="B104" s="636"/>
      <c r="C104" s="636"/>
      <c r="D104" s="637"/>
      <c r="E104" s="497" t="s">
        <v>483</v>
      </c>
      <c r="F104" s="140">
        <v>-112000000</v>
      </c>
      <c r="G104" s="8">
        <v>4</v>
      </c>
      <c r="H104" s="21">
        <f t="shared" si="36"/>
        <v>1750000</v>
      </c>
      <c r="I104" s="37" t="str">
        <f t="shared" si="37"/>
        <v>7;0489</v>
      </c>
      <c r="J104" s="38">
        <v>5</v>
      </c>
      <c r="K104" s="128">
        <f t="shared" si="38"/>
        <v>7.0328575102880659</v>
      </c>
      <c r="L104" s="39" t="str">
        <f>INDEX(powers!$H$2:$H$75,33+J104)</f>
        <v>terno cosmic</v>
      </c>
      <c r="M104" s="40" t="str">
        <f t="shared" si="39"/>
        <v>7</v>
      </c>
      <c r="N104" s="24">
        <f t="shared" si="40"/>
        <v>0.39429012345679126</v>
      </c>
      <c r="O104" s="41" t="str">
        <f t="shared" si="41"/>
        <v>0</v>
      </c>
      <c r="P104" s="24">
        <f t="shared" si="42"/>
        <v>4.7314814814814952</v>
      </c>
      <c r="Q104" s="41" t="str">
        <f t="shared" si="43"/>
        <v>4</v>
      </c>
      <c r="R104" s="24">
        <f t="shared" si="44"/>
        <v>8.777777777777942</v>
      </c>
      <c r="S104" s="41" t="str">
        <f t="shared" si="45"/>
        <v>8</v>
      </c>
      <c r="T104" s="24">
        <f t="shared" si="46"/>
        <v>9.3333333333353039</v>
      </c>
      <c r="U104" s="41" t="str">
        <f t="shared" si="47"/>
        <v>9</v>
      </c>
      <c r="V104" s="24">
        <f t="shared" si="48"/>
        <v>4.0000000000236469</v>
      </c>
      <c r="W104" s="41" t="str">
        <f t="shared" si="49"/>
        <v/>
      </c>
      <c r="X104" s="24">
        <f t="shared" si="50"/>
        <v>2.8376234695315361E-10</v>
      </c>
      <c r="Y104" s="41" t="str">
        <f t="shared" si="51"/>
        <v/>
      </c>
      <c r="Z104" s="24">
        <f t="shared" si="52"/>
        <v>3.4051481634378433E-9</v>
      </c>
      <c r="AA104" s="41" t="str">
        <f t="shared" si="53"/>
        <v/>
      </c>
      <c r="AB104" s="24">
        <f t="shared" si="54"/>
        <v>4.086177796125412E-8</v>
      </c>
      <c r="AC104" s="41" t="str">
        <f t="shared" si="55"/>
        <v/>
      </c>
      <c r="AD104" s="24">
        <f t="shared" si="56"/>
        <v>4.9034133553504944E-7</v>
      </c>
      <c r="AE104" s="41" t="str">
        <f t="shared" si="57"/>
        <v/>
      </c>
      <c r="AF104" s="24">
        <f t="shared" si="58"/>
        <v>5.8840960264205933E-6</v>
      </c>
      <c r="AG104" s="41" t="str">
        <f t="shared" si="59"/>
        <v/>
      </c>
      <c r="AH104" s="24">
        <f t="shared" si="60"/>
        <v>7.0609152317047119E-5</v>
      </c>
      <c r="AI104" s="41" t="str">
        <f t="shared" si="61"/>
        <v/>
      </c>
      <c r="AJ104" s="24">
        <f t="shared" si="62"/>
        <v>8.4730982780456543E-4</v>
      </c>
      <c r="AK104" s="41" t="str">
        <f t="shared" si="63"/>
        <v/>
      </c>
    </row>
    <row r="105" spans="1:37" ht="13.5" customHeight="1" x14ac:dyDescent="0.2">
      <c r="A105" s="642"/>
      <c r="B105" s="636"/>
      <c r="C105" s="636"/>
      <c r="D105" s="635" t="s">
        <v>484</v>
      </c>
      <c r="E105" s="497" t="s">
        <v>485</v>
      </c>
      <c r="F105" s="140">
        <v>-99600000</v>
      </c>
      <c r="G105" s="8">
        <v>4</v>
      </c>
      <c r="H105" s="21">
        <f t="shared" si="36"/>
        <v>1556250</v>
      </c>
      <c r="I105" s="37" t="str">
        <f t="shared" si="37"/>
        <v>6;3073</v>
      </c>
      <c r="J105" s="38">
        <v>5</v>
      </c>
      <c r="K105" s="128">
        <f t="shared" si="38"/>
        <v>6.2542197145061724</v>
      </c>
      <c r="L105" s="39" t="str">
        <f>INDEX(powers!$H$2:$H$75,33+J105)</f>
        <v>terno cosmic</v>
      </c>
      <c r="M105" s="40" t="str">
        <f t="shared" si="39"/>
        <v>6</v>
      </c>
      <c r="N105" s="24">
        <f t="shared" si="40"/>
        <v>3.0506365740740691</v>
      </c>
      <c r="O105" s="41" t="str">
        <f t="shared" si="41"/>
        <v>3</v>
      </c>
      <c r="P105" s="24">
        <f t="shared" si="42"/>
        <v>0.60763888888882889</v>
      </c>
      <c r="Q105" s="41" t="str">
        <f t="shared" si="43"/>
        <v>0</v>
      </c>
      <c r="R105" s="24">
        <f t="shared" si="44"/>
        <v>7.2916666666659467</v>
      </c>
      <c r="S105" s="41" t="str">
        <f t="shared" si="45"/>
        <v>7</v>
      </c>
      <c r="T105" s="24">
        <f t="shared" si="46"/>
        <v>3.4999999999913598</v>
      </c>
      <c r="U105" s="41" t="str">
        <f t="shared" si="47"/>
        <v>3</v>
      </c>
      <c r="V105" s="24">
        <f t="shared" si="48"/>
        <v>5.9999999998963176</v>
      </c>
      <c r="W105" s="41" t="str">
        <f t="shared" si="49"/>
        <v/>
      </c>
      <c r="X105" s="24">
        <f t="shared" si="50"/>
        <v>11.999999998755811</v>
      </c>
      <c r="Y105" s="41" t="str">
        <f t="shared" si="51"/>
        <v/>
      </c>
      <c r="Z105" s="24">
        <f t="shared" si="52"/>
        <v>11.999999985069735</v>
      </c>
      <c r="AA105" s="41" t="str">
        <f t="shared" si="53"/>
        <v/>
      </c>
      <c r="AB105" s="24">
        <f t="shared" si="54"/>
        <v>11.99999982083682</v>
      </c>
      <c r="AC105" s="41" t="str">
        <f t="shared" si="55"/>
        <v/>
      </c>
      <c r="AD105" s="24">
        <f t="shared" si="56"/>
        <v>11.999997850041837</v>
      </c>
      <c r="AE105" s="41" t="str">
        <f t="shared" si="57"/>
        <v/>
      </c>
      <c r="AF105" s="24">
        <f t="shared" si="58"/>
        <v>11.999974200502038</v>
      </c>
      <c r="AG105" s="41" t="str">
        <f t="shared" si="59"/>
        <v/>
      </c>
      <c r="AH105" s="24">
        <f t="shared" si="60"/>
        <v>11.999690406024456</v>
      </c>
      <c r="AI105" s="41" t="str">
        <f t="shared" si="61"/>
        <v/>
      </c>
      <c r="AJ105" s="24">
        <f t="shared" si="62"/>
        <v>11.996284872293472</v>
      </c>
      <c r="AK105" s="41" t="str">
        <f t="shared" si="63"/>
        <v/>
      </c>
    </row>
    <row r="106" spans="1:37" ht="13.5" customHeight="1" x14ac:dyDescent="0.2">
      <c r="A106" s="642"/>
      <c r="B106" s="636"/>
      <c r="C106" s="636"/>
      <c r="D106" s="636"/>
      <c r="E106" s="497" t="s">
        <v>486</v>
      </c>
      <c r="F106" s="140">
        <v>-93600000</v>
      </c>
      <c r="G106" s="8">
        <v>4</v>
      </c>
      <c r="H106" s="21">
        <f t="shared" si="36"/>
        <v>1462500</v>
      </c>
      <c r="I106" s="37" t="str">
        <f t="shared" si="37"/>
        <v>5;X643</v>
      </c>
      <c r="J106" s="38">
        <v>5</v>
      </c>
      <c r="K106" s="128">
        <f t="shared" si="38"/>
        <v>5.8774594907407405</v>
      </c>
      <c r="L106" s="39" t="str">
        <f>INDEX(powers!$H$2:$H$75,33+J106)</f>
        <v>terno cosmic</v>
      </c>
      <c r="M106" s="40" t="str">
        <f t="shared" si="39"/>
        <v>5</v>
      </c>
      <c r="N106" s="24">
        <f t="shared" si="40"/>
        <v>10.529513888888886</v>
      </c>
      <c r="O106" s="41" t="str">
        <f t="shared" si="41"/>
        <v>X</v>
      </c>
      <c r="P106" s="24">
        <f t="shared" si="42"/>
        <v>6.3541666666666288</v>
      </c>
      <c r="Q106" s="41" t="str">
        <f t="shared" si="43"/>
        <v>6</v>
      </c>
      <c r="R106" s="24">
        <f t="shared" si="44"/>
        <v>4.2499999999995453</v>
      </c>
      <c r="S106" s="41" t="str">
        <f t="shared" si="45"/>
        <v>4</v>
      </c>
      <c r="T106" s="24">
        <f t="shared" si="46"/>
        <v>2.999999999994543</v>
      </c>
      <c r="U106" s="41" t="str">
        <f t="shared" si="47"/>
        <v>3</v>
      </c>
      <c r="V106" s="24">
        <f t="shared" si="48"/>
        <v>11.999999999934516</v>
      </c>
      <c r="W106" s="41" t="str">
        <f t="shared" si="49"/>
        <v/>
      </c>
      <c r="X106" s="24">
        <f t="shared" si="50"/>
        <v>11.999999999214197</v>
      </c>
      <c r="Y106" s="41" t="str">
        <f t="shared" si="51"/>
        <v/>
      </c>
      <c r="Z106" s="24">
        <f t="shared" si="52"/>
        <v>11.999999990570359</v>
      </c>
      <c r="AA106" s="41" t="str">
        <f t="shared" si="53"/>
        <v/>
      </c>
      <c r="AB106" s="24">
        <f t="shared" si="54"/>
        <v>11.999999886844307</v>
      </c>
      <c r="AC106" s="41" t="str">
        <f t="shared" si="55"/>
        <v/>
      </c>
      <c r="AD106" s="24">
        <f t="shared" si="56"/>
        <v>11.999998642131686</v>
      </c>
      <c r="AE106" s="41" t="str">
        <f t="shared" si="57"/>
        <v/>
      </c>
      <c r="AF106" s="24">
        <f t="shared" si="58"/>
        <v>11.999983705580235</v>
      </c>
      <c r="AG106" s="41" t="str">
        <f t="shared" si="59"/>
        <v/>
      </c>
      <c r="AH106" s="24">
        <f t="shared" si="60"/>
        <v>11.999804466962814</v>
      </c>
      <c r="AI106" s="41" t="str">
        <f t="shared" si="61"/>
        <v/>
      </c>
      <c r="AJ106" s="24">
        <f t="shared" si="62"/>
        <v>11.997653603553772</v>
      </c>
      <c r="AK106" s="41" t="str">
        <f t="shared" si="63"/>
        <v/>
      </c>
    </row>
    <row r="107" spans="1:37" ht="13.5" customHeight="1" x14ac:dyDescent="0.2">
      <c r="A107" s="642"/>
      <c r="B107" s="636"/>
      <c r="C107" s="636"/>
      <c r="D107" s="636"/>
      <c r="E107" s="497" t="s">
        <v>487</v>
      </c>
      <c r="F107" s="140">
        <v>-88600000</v>
      </c>
      <c r="G107" s="8">
        <v>4</v>
      </c>
      <c r="H107" s="21">
        <f t="shared" si="36"/>
        <v>1384375</v>
      </c>
      <c r="I107" s="37" t="str">
        <f t="shared" si="37"/>
        <v>5;6919</v>
      </c>
      <c r="J107" s="38">
        <v>5</v>
      </c>
      <c r="K107" s="128">
        <f t="shared" si="38"/>
        <v>5.5634926376028808</v>
      </c>
      <c r="L107" s="39" t="str">
        <f>INDEX(powers!$H$2:$H$75,33+J107)</f>
        <v>terno cosmic</v>
      </c>
      <c r="M107" s="40" t="str">
        <f t="shared" si="39"/>
        <v>5</v>
      </c>
      <c r="N107" s="24">
        <f t="shared" si="40"/>
        <v>6.7619116512345698</v>
      </c>
      <c r="O107" s="41" t="str">
        <f t="shared" si="41"/>
        <v>6</v>
      </c>
      <c r="P107" s="24">
        <f t="shared" si="42"/>
        <v>9.142939814814838</v>
      </c>
      <c r="Q107" s="41" t="str">
        <f t="shared" si="43"/>
        <v>9</v>
      </c>
      <c r="R107" s="24">
        <f t="shared" si="44"/>
        <v>1.7152777777780557</v>
      </c>
      <c r="S107" s="41" t="str">
        <f t="shared" si="45"/>
        <v>1</v>
      </c>
      <c r="T107" s="24">
        <f t="shared" si="46"/>
        <v>8.5833333333366681</v>
      </c>
      <c r="U107" s="41" t="str">
        <f t="shared" si="47"/>
        <v>9</v>
      </c>
      <c r="V107" s="24">
        <f t="shared" si="48"/>
        <v>7.0000000000400178</v>
      </c>
      <c r="W107" s="41" t="str">
        <f t="shared" si="49"/>
        <v/>
      </c>
      <c r="X107" s="24">
        <f t="shared" si="50"/>
        <v>4.8021320253610611E-10</v>
      </c>
      <c r="Y107" s="41" t="str">
        <f t="shared" si="51"/>
        <v/>
      </c>
      <c r="Z107" s="24">
        <f t="shared" si="52"/>
        <v>5.7625584304332733E-9</v>
      </c>
      <c r="AA107" s="41" t="str">
        <f t="shared" si="53"/>
        <v/>
      </c>
      <c r="AB107" s="24">
        <f t="shared" si="54"/>
        <v>6.915070116519928E-8</v>
      </c>
      <c r="AC107" s="41" t="str">
        <f t="shared" si="55"/>
        <v/>
      </c>
      <c r="AD107" s="24">
        <f t="shared" si="56"/>
        <v>8.2980841398239136E-7</v>
      </c>
      <c r="AE107" s="41" t="str">
        <f t="shared" si="57"/>
        <v/>
      </c>
      <c r="AF107" s="24">
        <f t="shared" si="58"/>
        <v>9.9577009677886963E-6</v>
      </c>
      <c r="AG107" s="41" t="str">
        <f t="shared" si="59"/>
        <v/>
      </c>
      <c r="AH107" s="24">
        <f t="shared" si="60"/>
        <v>1.1949241161346436E-4</v>
      </c>
      <c r="AI107" s="41" t="str">
        <f t="shared" si="61"/>
        <v/>
      </c>
      <c r="AJ107" s="24">
        <f t="shared" si="62"/>
        <v>1.4339089393615723E-3</v>
      </c>
      <c r="AK107" s="41" t="str">
        <f t="shared" si="63"/>
        <v/>
      </c>
    </row>
    <row r="108" spans="1:37" ht="13.5" customHeight="1" x14ac:dyDescent="0.2">
      <c r="A108" s="642"/>
      <c r="B108" s="636"/>
      <c r="C108" s="636"/>
      <c r="D108" s="636"/>
      <c r="E108" s="497" t="s">
        <v>488</v>
      </c>
      <c r="F108" s="140">
        <v>-85800000</v>
      </c>
      <c r="G108" s="8">
        <v>4</v>
      </c>
      <c r="H108" s="21">
        <f t="shared" si="36"/>
        <v>1340625</v>
      </c>
      <c r="I108" s="37" t="str">
        <f t="shared" si="37"/>
        <v>5;479E</v>
      </c>
      <c r="J108" s="38">
        <v>5</v>
      </c>
      <c r="K108" s="128">
        <f t="shared" si="38"/>
        <v>5.3876711998456788</v>
      </c>
      <c r="L108" s="39" t="str">
        <f>INDEX(powers!$H$2:$H$75,33+J108)</f>
        <v>terno cosmic</v>
      </c>
      <c r="M108" s="40" t="str">
        <f t="shared" si="39"/>
        <v>5</v>
      </c>
      <c r="N108" s="24">
        <f t="shared" si="40"/>
        <v>4.6520543981481453</v>
      </c>
      <c r="O108" s="41" t="str">
        <f t="shared" si="41"/>
        <v>4</v>
      </c>
      <c r="P108" s="24">
        <f t="shared" si="42"/>
        <v>7.824652777777743</v>
      </c>
      <c r="Q108" s="41" t="str">
        <f t="shared" si="43"/>
        <v>7</v>
      </c>
      <c r="R108" s="24">
        <f t="shared" si="44"/>
        <v>9.8958333333329165</v>
      </c>
      <c r="S108" s="41" t="str">
        <f t="shared" si="45"/>
        <v>9</v>
      </c>
      <c r="T108" s="24">
        <f t="shared" si="46"/>
        <v>10.749999999994998</v>
      </c>
      <c r="U108" s="41" t="str">
        <f t="shared" si="47"/>
        <v>E</v>
      </c>
      <c r="V108" s="24">
        <f t="shared" si="48"/>
        <v>8.9999999999399733</v>
      </c>
      <c r="W108" s="41" t="str">
        <f t="shared" si="49"/>
        <v/>
      </c>
      <c r="X108" s="24">
        <f t="shared" si="50"/>
        <v>11.99999999927968</v>
      </c>
      <c r="Y108" s="41" t="str">
        <f t="shared" si="51"/>
        <v/>
      </c>
      <c r="Z108" s="24">
        <f t="shared" si="52"/>
        <v>11.999999991356162</v>
      </c>
      <c r="AA108" s="41" t="str">
        <f t="shared" si="53"/>
        <v/>
      </c>
      <c r="AB108" s="24">
        <f t="shared" si="54"/>
        <v>11.999999896273948</v>
      </c>
      <c r="AC108" s="41" t="str">
        <f t="shared" si="55"/>
        <v/>
      </c>
      <c r="AD108" s="24">
        <f t="shared" si="56"/>
        <v>11.999998755287379</v>
      </c>
      <c r="AE108" s="41" t="str">
        <f t="shared" si="57"/>
        <v/>
      </c>
      <c r="AF108" s="24">
        <f t="shared" si="58"/>
        <v>11.999985063448548</v>
      </c>
      <c r="AG108" s="41" t="str">
        <f t="shared" si="59"/>
        <v/>
      </c>
      <c r="AH108" s="24">
        <f t="shared" si="60"/>
        <v>11.99982076138258</v>
      </c>
      <c r="AI108" s="41" t="str">
        <f t="shared" si="61"/>
        <v/>
      </c>
      <c r="AJ108" s="24">
        <f t="shared" si="62"/>
        <v>11.997849136590958</v>
      </c>
      <c r="AK108" s="41" t="str">
        <f t="shared" si="63"/>
        <v/>
      </c>
    </row>
    <row r="109" spans="1:37" ht="13.5" customHeight="1" x14ac:dyDescent="0.2">
      <c r="A109" s="642"/>
      <c r="B109" s="636"/>
      <c r="C109" s="636"/>
      <c r="D109" s="636"/>
      <c r="E109" s="497" t="s">
        <v>489</v>
      </c>
      <c r="F109" s="140">
        <v>-83500000</v>
      </c>
      <c r="G109" s="8">
        <v>4</v>
      </c>
      <c r="H109" s="21">
        <f t="shared" si="36"/>
        <v>1304687.5</v>
      </c>
      <c r="I109" s="37" t="str">
        <f t="shared" si="37"/>
        <v>5;2E04</v>
      </c>
      <c r="J109" s="38">
        <v>5</v>
      </c>
      <c r="K109" s="128">
        <f t="shared" si="38"/>
        <v>5.2432464474022638</v>
      </c>
      <c r="L109" s="39" t="str">
        <f>INDEX(powers!$H$2:$H$75,33+J109)</f>
        <v>terno cosmic</v>
      </c>
      <c r="M109" s="40" t="str">
        <f t="shared" si="39"/>
        <v>5</v>
      </c>
      <c r="N109" s="24">
        <f t="shared" si="40"/>
        <v>2.9189573688271651</v>
      </c>
      <c r="O109" s="41" t="str">
        <f t="shared" si="41"/>
        <v>2</v>
      </c>
      <c r="P109" s="24">
        <f t="shared" si="42"/>
        <v>11.027488425925981</v>
      </c>
      <c r="Q109" s="41" t="str">
        <f t="shared" si="43"/>
        <v>E</v>
      </c>
      <c r="R109" s="24">
        <f t="shared" si="44"/>
        <v>0.32986111111176797</v>
      </c>
      <c r="S109" s="41" t="str">
        <f t="shared" si="45"/>
        <v>0</v>
      </c>
      <c r="T109" s="24">
        <f t="shared" si="46"/>
        <v>3.9583333333412156</v>
      </c>
      <c r="U109" s="41" t="str">
        <f t="shared" si="47"/>
        <v>4</v>
      </c>
      <c r="V109" s="24">
        <f t="shared" si="48"/>
        <v>11.500000000094587</v>
      </c>
      <c r="W109" s="41" t="str">
        <f t="shared" si="49"/>
        <v/>
      </c>
      <c r="X109" s="24">
        <f t="shared" si="50"/>
        <v>6.0000000011350494</v>
      </c>
      <c r="Y109" s="41" t="str">
        <f t="shared" si="51"/>
        <v/>
      </c>
      <c r="Z109" s="24">
        <f t="shared" si="52"/>
        <v>1.3620592653751373E-8</v>
      </c>
      <c r="AA109" s="41" t="str">
        <f t="shared" si="53"/>
        <v/>
      </c>
      <c r="AB109" s="24">
        <f t="shared" si="54"/>
        <v>1.6344711184501648E-7</v>
      </c>
      <c r="AC109" s="41" t="str">
        <f t="shared" si="55"/>
        <v/>
      </c>
      <c r="AD109" s="24">
        <f t="shared" si="56"/>
        <v>1.9613653421401978E-6</v>
      </c>
      <c r="AE109" s="41" t="str">
        <f t="shared" si="57"/>
        <v/>
      </c>
      <c r="AF109" s="24">
        <f t="shared" si="58"/>
        <v>2.3536384105682373E-5</v>
      </c>
      <c r="AG109" s="41" t="str">
        <f t="shared" si="59"/>
        <v/>
      </c>
      <c r="AH109" s="24">
        <f t="shared" si="60"/>
        <v>2.8243660926818848E-4</v>
      </c>
      <c r="AI109" s="41" t="str">
        <f t="shared" si="61"/>
        <v/>
      </c>
      <c r="AJ109" s="24">
        <f t="shared" si="62"/>
        <v>3.3892393112182617E-3</v>
      </c>
      <c r="AK109" s="41" t="str">
        <f t="shared" si="63"/>
        <v/>
      </c>
    </row>
    <row r="110" spans="1:37" ht="13.5" customHeight="1" x14ac:dyDescent="0.2">
      <c r="A110" s="642"/>
      <c r="B110" s="637"/>
      <c r="C110" s="637"/>
      <c r="D110" s="637"/>
      <c r="E110" s="497" t="s">
        <v>490</v>
      </c>
      <c r="F110" s="140">
        <v>-70600000</v>
      </c>
      <c r="G110" s="8">
        <v>4</v>
      </c>
      <c r="H110" s="21">
        <f t="shared" si="36"/>
        <v>1103125</v>
      </c>
      <c r="I110" s="37" t="str">
        <f t="shared" si="37"/>
        <v>4;5247</v>
      </c>
      <c r="J110" s="38">
        <v>5</v>
      </c>
      <c r="K110" s="128">
        <f t="shared" si="38"/>
        <v>4.4332119663065841</v>
      </c>
      <c r="L110" s="39" t="str">
        <f>INDEX(powers!$H$2:$H$75,33+J110)</f>
        <v>terno cosmic</v>
      </c>
      <c r="M110" s="40" t="str">
        <f t="shared" si="39"/>
        <v>4</v>
      </c>
      <c r="N110" s="24">
        <f t="shared" si="40"/>
        <v>5.1985435956790091</v>
      </c>
      <c r="O110" s="41" t="str">
        <f t="shared" si="41"/>
        <v>5</v>
      </c>
      <c r="P110" s="24">
        <f t="shared" si="42"/>
        <v>2.3825231481481097</v>
      </c>
      <c r="Q110" s="41" t="str">
        <f t="shared" si="43"/>
        <v>2</v>
      </c>
      <c r="R110" s="24">
        <f t="shared" si="44"/>
        <v>4.5902777777773167</v>
      </c>
      <c r="S110" s="41" t="str">
        <f t="shared" si="45"/>
        <v>4</v>
      </c>
      <c r="T110" s="24">
        <f t="shared" si="46"/>
        <v>7.0833333333278006</v>
      </c>
      <c r="U110" s="41" t="str">
        <f t="shared" si="47"/>
        <v>7</v>
      </c>
      <c r="V110" s="24">
        <f t="shared" si="48"/>
        <v>0.99999999993360689</v>
      </c>
      <c r="W110" s="41" t="str">
        <f t="shared" si="49"/>
        <v/>
      </c>
      <c r="X110" s="24">
        <f t="shared" si="50"/>
        <v>11.999999999203283</v>
      </c>
      <c r="Y110" s="41" t="str">
        <f t="shared" si="51"/>
        <v/>
      </c>
      <c r="Z110" s="24">
        <f t="shared" si="52"/>
        <v>11.999999990439392</v>
      </c>
      <c r="AA110" s="41" t="str">
        <f t="shared" si="53"/>
        <v/>
      </c>
      <c r="AB110" s="24">
        <f t="shared" si="54"/>
        <v>11.9999998852727</v>
      </c>
      <c r="AC110" s="41" t="str">
        <f t="shared" si="55"/>
        <v/>
      </c>
      <c r="AD110" s="24">
        <f t="shared" si="56"/>
        <v>11.999998623272404</v>
      </c>
      <c r="AE110" s="41" t="str">
        <f t="shared" si="57"/>
        <v/>
      </c>
      <c r="AF110" s="24">
        <f t="shared" si="58"/>
        <v>11.999983479268849</v>
      </c>
      <c r="AG110" s="41" t="str">
        <f t="shared" si="59"/>
        <v/>
      </c>
      <c r="AH110" s="24">
        <f t="shared" si="60"/>
        <v>11.999801751226187</v>
      </c>
      <c r="AI110" s="41" t="str">
        <f t="shared" si="61"/>
        <v/>
      </c>
      <c r="AJ110" s="24">
        <f t="shared" si="62"/>
        <v>11.997621014714241</v>
      </c>
      <c r="AK110" s="41" t="str">
        <f t="shared" si="63"/>
        <v/>
      </c>
    </row>
    <row r="111" spans="1:37" ht="13.5" customHeight="1" x14ac:dyDescent="0.2">
      <c r="A111" s="642"/>
      <c r="B111" s="635" t="s">
        <v>491</v>
      </c>
      <c r="C111" s="635" t="s">
        <v>492</v>
      </c>
      <c r="D111" s="635" t="s">
        <v>493</v>
      </c>
      <c r="E111" s="497" t="s">
        <v>494</v>
      </c>
      <c r="F111" s="140">
        <v>-65500000</v>
      </c>
      <c r="G111" s="8">
        <v>4</v>
      </c>
      <c r="H111" s="21">
        <f t="shared" si="36"/>
        <v>1023437.5</v>
      </c>
      <c r="I111" s="37" t="str">
        <f t="shared" si="37"/>
        <v>4;1432</v>
      </c>
      <c r="J111" s="38">
        <v>5</v>
      </c>
      <c r="K111" s="128">
        <f t="shared" si="38"/>
        <v>4.112965776105967</v>
      </c>
      <c r="L111" s="39" t="str">
        <f>INDEX(powers!$H$2:$H$75,33+J111)</f>
        <v>terno cosmic</v>
      </c>
      <c r="M111" s="40" t="str">
        <f t="shared" si="39"/>
        <v>4</v>
      </c>
      <c r="N111" s="24">
        <f t="shared" si="40"/>
        <v>1.3555893132716044</v>
      </c>
      <c r="O111" s="41" t="str">
        <f t="shared" si="41"/>
        <v>1</v>
      </c>
      <c r="P111" s="24">
        <f t="shared" si="42"/>
        <v>4.2670717592592524</v>
      </c>
      <c r="Q111" s="41" t="str">
        <f t="shared" si="43"/>
        <v>4</v>
      </c>
      <c r="R111" s="24">
        <f t="shared" si="44"/>
        <v>3.204861111111029</v>
      </c>
      <c r="S111" s="41" t="str">
        <f t="shared" si="45"/>
        <v>3</v>
      </c>
      <c r="T111" s="24">
        <f t="shared" si="46"/>
        <v>2.458333333332348</v>
      </c>
      <c r="U111" s="41" t="str">
        <f t="shared" si="47"/>
        <v>2</v>
      </c>
      <c r="V111" s="24">
        <f t="shared" si="48"/>
        <v>5.4999999999881766</v>
      </c>
      <c r="W111" s="41" t="str">
        <f t="shared" si="49"/>
        <v/>
      </c>
      <c r="X111" s="24">
        <f t="shared" si="50"/>
        <v>5.9999999998581188</v>
      </c>
      <c r="Y111" s="41" t="str">
        <f t="shared" si="51"/>
        <v/>
      </c>
      <c r="Z111" s="24">
        <f t="shared" si="52"/>
        <v>11.999999998297426</v>
      </c>
      <c r="AA111" s="41" t="str">
        <f t="shared" si="53"/>
        <v/>
      </c>
      <c r="AB111" s="24">
        <f t="shared" si="54"/>
        <v>11.999999979569111</v>
      </c>
      <c r="AC111" s="41" t="str">
        <f t="shared" si="55"/>
        <v/>
      </c>
      <c r="AD111" s="24">
        <f t="shared" si="56"/>
        <v>11.999999754829332</v>
      </c>
      <c r="AE111" s="41" t="str">
        <f t="shared" si="57"/>
        <v/>
      </c>
      <c r="AF111" s="24">
        <f t="shared" si="58"/>
        <v>11.999997057951987</v>
      </c>
      <c r="AG111" s="41" t="str">
        <f t="shared" si="59"/>
        <v/>
      </c>
      <c r="AH111" s="24">
        <f t="shared" si="60"/>
        <v>11.999964695423841</v>
      </c>
      <c r="AI111" s="41" t="str">
        <f t="shared" si="61"/>
        <v/>
      </c>
      <c r="AJ111" s="24">
        <f t="shared" si="62"/>
        <v>11.999576345086098</v>
      </c>
      <c r="AK111" s="41" t="str">
        <f t="shared" si="63"/>
        <v/>
      </c>
    </row>
    <row r="112" spans="1:37" ht="13.5" customHeight="1" x14ac:dyDescent="0.2">
      <c r="A112" s="642"/>
      <c r="B112" s="636"/>
      <c r="C112" s="636"/>
      <c r="D112" s="636"/>
      <c r="E112" s="497" t="s">
        <v>495</v>
      </c>
      <c r="F112" s="140">
        <v>-61100000</v>
      </c>
      <c r="G112" s="8">
        <v>4</v>
      </c>
      <c r="H112" s="21">
        <f t="shared" si="36"/>
        <v>954687.5</v>
      </c>
      <c r="I112" s="37" t="str">
        <f t="shared" si="37"/>
        <v>3;X059</v>
      </c>
      <c r="J112" s="38">
        <v>5</v>
      </c>
      <c r="K112" s="128">
        <f t="shared" si="38"/>
        <v>3.83667494534465</v>
      </c>
      <c r="L112" s="39" t="str">
        <f>INDEX(powers!$H$2:$H$75,33+J112)</f>
        <v>terno cosmic</v>
      </c>
      <c r="M112" s="40" t="str">
        <f t="shared" si="39"/>
        <v>3</v>
      </c>
      <c r="N112" s="24">
        <f t="shared" si="40"/>
        <v>10.0400993441358</v>
      </c>
      <c r="O112" s="41" t="str">
        <f t="shared" si="41"/>
        <v>X</v>
      </c>
      <c r="P112" s="24">
        <f t="shared" si="42"/>
        <v>0.48119212962960489</v>
      </c>
      <c r="Q112" s="41" t="str">
        <f t="shared" si="43"/>
        <v>0</v>
      </c>
      <c r="R112" s="24">
        <f t="shared" si="44"/>
        <v>5.7743055555552587</v>
      </c>
      <c r="S112" s="41" t="str">
        <f t="shared" si="45"/>
        <v>5</v>
      </c>
      <c r="T112" s="24">
        <f t="shared" si="46"/>
        <v>9.2916666666631045</v>
      </c>
      <c r="U112" s="41" t="str">
        <f t="shared" si="47"/>
        <v>9</v>
      </c>
      <c r="V112" s="24">
        <f t="shared" si="48"/>
        <v>3.4999999999572537</v>
      </c>
      <c r="W112" s="41" t="str">
        <f t="shared" si="49"/>
        <v/>
      </c>
      <c r="X112" s="24">
        <f t="shared" si="50"/>
        <v>5.999999999487045</v>
      </c>
      <c r="Y112" s="41" t="str">
        <f t="shared" si="51"/>
        <v/>
      </c>
      <c r="Z112" s="24">
        <f t="shared" si="52"/>
        <v>11.99999999384454</v>
      </c>
      <c r="AA112" s="41" t="str">
        <f t="shared" si="53"/>
        <v/>
      </c>
      <c r="AB112" s="24">
        <f t="shared" si="54"/>
        <v>11.999999926134478</v>
      </c>
      <c r="AC112" s="41" t="str">
        <f t="shared" si="55"/>
        <v/>
      </c>
      <c r="AD112" s="24">
        <f t="shared" si="56"/>
        <v>11.99999911361374</v>
      </c>
      <c r="AE112" s="41" t="str">
        <f t="shared" si="57"/>
        <v/>
      </c>
      <c r="AF112" s="24">
        <f t="shared" si="58"/>
        <v>11.999989363364875</v>
      </c>
      <c r="AG112" s="41" t="str">
        <f t="shared" si="59"/>
        <v/>
      </c>
      <c r="AH112" s="24">
        <f t="shared" si="60"/>
        <v>11.999872360378504</v>
      </c>
      <c r="AI112" s="41" t="str">
        <f t="shared" si="61"/>
        <v/>
      </c>
      <c r="AJ112" s="24">
        <f t="shared" si="62"/>
        <v>11.998468324542046</v>
      </c>
      <c r="AK112" s="41" t="str">
        <f t="shared" si="63"/>
        <v/>
      </c>
    </row>
    <row r="113" spans="1:37" ht="13.5" customHeight="1" x14ac:dyDescent="0.2">
      <c r="A113" s="642"/>
      <c r="B113" s="636"/>
      <c r="C113" s="636"/>
      <c r="D113" s="637"/>
      <c r="E113" s="497" t="s">
        <v>496</v>
      </c>
      <c r="F113" s="140">
        <v>-58700000</v>
      </c>
      <c r="G113" s="8">
        <v>4</v>
      </c>
      <c r="H113" s="21">
        <f t="shared" si="36"/>
        <v>917187.5</v>
      </c>
      <c r="I113" s="37" t="str">
        <f t="shared" si="37"/>
        <v>3;8294</v>
      </c>
      <c r="J113" s="38">
        <v>5</v>
      </c>
      <c r="K113" s="128">
        <f t="shared" si="38"/>
        <v>3.6859708558384772</v>
      </c>
      <c r="L113" s="39" t="str">
        <f>INDEX(powers!$H$2:$H$75,33+J113)</f>
        <v>terno cosmic</v>
      </c>
      <c r="M113" s="40" t="str">
        <f t="shared" si="39"/>
        <v>3</v>
      </c>
      <c r="N113" s="24">
        <f t="shared" si="40"/>
        <v>8.231650270061726</v>
      </c>
      <c r="O113" s="41" t="str">
        <f t="shared" si="41"/>
        <v>8</v>
      </c>
      <c r="P113" s="24">
        <f t="shared" si="42"/>
        <v>2.7798032407407121</v>
      </c>
      <c r="Q113" s="41" t="str">
        <f t="shared" si="43"/>
        <v>2</v>
      </c>
      <c r="R113" s="24">
        <f t="shared" si="44"/>
        <v>9.3576388888885447</v>
      </c>
      <c r="S113" s="41" t="str">
        <f t="shared" si="45"/>
        <v>9</v>
      </c>
      <c r="T113" s="24">
        <f t="shared" si="46"/>
        <v>4.291666666662536</v>
      </c>
      <c r="U113" s="41" t="str">
        <f t="shared" si="47"/>
        <v>4</v>
      </c>
      <c r="V113" s="24">
        <f t="shared" si="48"/>
        <v>3.4999999999504325</v>
      </c>
      <c r="W113" s="41" t="str">
        <f t="shared" si="49"/>
        <v/>
      </c>
      <c r="X113" s="24">
        <f t="shared" si="50"/>
        <v>5.9999999994051905</v>
      </c>
      <c r="Y113" s="41" t="str">
        <f t="shared" si="51"/>
        <v/>
      </c>
      <c r="Z113" s="24">
        <f t="shared" si="52"/>
        <v>11.999999992862286</v>
      </c>
      <c r="AA113" s="41" t="str">
        <f t="shared" si="53"/>
        <v/>
      </c>
      <c r="AB113" s="24">
        <f t="shared" si="54"/>
        <v>11.999999914347427</v>
      </c>
      <c r="AC113" s="41" t="str">
        <f t="shared" si="55"/>
        <v/>
      </c>
      <c r="AD113" s="24">
        <f t="shared" si="56"/>
        <v>11.999998972169124</v>
      </c>
      <c r="AE113" s="41" t="str">
        <f t="shared" si="57"/>
        <v/>
      </c>
      <c r="AF113" s="24">
        <f t="shared" si="58"/>
        <v>11.999987666029483</v>
      </c>
      <c r="AG113" s="41" t="str">
        <f t="shared" si="59"/>
        <v/>
      </c>
      <c r="AH113" s="24">
        <f t="shared" si="60"/>
        <v>11.999851992353797</v>
      </c>
      <c r="AI113" s="41" t="str">
        <f t="shared" si="61"/>
        <v/>
      </c>
      <c r="AJ113" s="24">
        <f t="shared" si="62"/>
        <v>11.998223908245564</v>
      </c>
      <c r="AK113" s="41" t="str">
        <f t="shared" si="63"/>
        <v/>
      </c>
    </row>
    <row r="114" spans="1:37" ht="13.5" customHeight="1" x14ac:dyDescent="0.2">
      <c r="A114" s="642"/>
      <c r="B114" s="636"/>
      <c r="C114" s="636"/>
      <c r="D114" s="635" t="s">
        <v>497</v>
      </c>
      <c r="E114" s="497" t="s">
        <v>498</v>
      </c>
      <c r="F114" s="140">
        <v>-55800000</v>
      </c>
      <c r="G114" s="8">
        <v>4</v>
      </c>
      <c r="H114" s="21">
        <f t="shared" si="36"/>
        <v>871875</v>
      </c>
      <c r="I114" s="37" t="str">
        <f t="shared" si="37"/>
        <v>3;6068</v>
      </c>
      <c r="J114" s="38">
        <v>5</v>
      </c>
      <c r="K114" s="128">
        <f t="shared" si="38"/>
        <v>3.5038700810185186</v>
      </c>
      <c r="L114" s="39" t="str">
        <f>INDEX(powers!$H$2:$H$75,33+J114)</f>
        <v>terno cosmic</v>
      </c>
      <c r="M114" s="40" t="str">
        <f t="shared" si="39"/>
        <v>3</v>
      </c>
      <c r="N114" s="24">
        <f t="shared" si="40"/>
        <v>6.0464409722222232</v>
      </c>
      <c r="O114" s="41" t="str">
        <f t="shared" si="41"/>
        <v>6</v>
      </c>
      <c r="P114" s="24">
        <f t="shared" si="42"/>
        <v>0.55729166666667851</v>
      </c>
      <c r="Q114" s="41" t="str">
        <f t="shared" si="43"/>
        <v>0</v>
      </c>
      <c r="R114" s="24">
        <f t="shared" si="44"/>
        <v>6.6875000000001421</v>
      </c>
      <c r="S114" s="41" t="str">
        <f t="shared" si="45"/>
        <v>6</v>
      </c>
      <c r="T114" s="24">
        <f t="shared" si="46"/>
        <v>8.2500000000017053</v>
      </c>
      <c r="U114" s="41" t="str">
        <f t="shared" si="47"/>
        <v>8</v>
      </c>
      <c r="V114" s="24">
        <f t="shared" si="48"/>
        <v>3.0000000000204636</v>
      </c>
      <c r="W114" s="41" t="str">
        <f t="shared" si="49"/>
        <v/>
      </c>
      <c r="X114" s="24">
        <f t="shared" si="50"/>
        <v>2.4556356947869062E-10</v>
      </c>
      <c r="Y114" s="41" t="str">
        <f t="shared" si="51"/>
        <v/>
      </c>
      <c r="Z114" s="24">
        <f t="shared" si="52"/>
        <v>2.9467628337442875E-9</v>
      </c>
      <c r="AA114" s="41" t="str">
        <f t="shared" si="53"/>
        <v/>
      </c>
      <c r="AB114" s="24">
        <f t="shared" si="54"/>
        <v>3.536115400493145E-8</v>
      </c>
      <c r="AC114" s="41" t="str">
        <f t="shared" si="55"/>
        <v/>
      </c>
      <c r="AD114" s="24">
        <f t="shared" si="56"/>
        <v>4.243338480591774E-7</v>
      </c>
      <c r="AE114" s="41" t="str">
        <f t="shared" si="57"/>
        <v/>
      </c>
      <c r="AF114" s="24">
        <f t="shared" si="58"/>
        <v>5.0920061767101288E-6</v>
      </c>
      <c r="AG114" s="41" t="str">
        <f t="shared" si="59"/>
        <v/>
      </c>
      <c r="AH114" s="24">
        <f t="shared" si="60"/>
        <v>6.1104074120521545E-5</v>
      </c>
      <c r="AI114" s="41" t="str">
        <f t="shared" si="61"/>
        <v/>
      </c>
      <c r="AJ114" s="24">
        <f t="shared" si="62"/>
        <v>7.3324888944625854E-4</v>
      </c>
      <c r="AK114" s="41" t="str">
        <f t="shared" si="63"/>
        <v/>
      </c>
    </row>
    <row r="115" spans="1:37" ht="13.5" customHeight="1" x14ac:dyDescent="0.2">
      <c r="A115" s="642"/>
      <c r="B115" s="636"/>
      <c r="C115" s="636"/>
      <c r="D115" s="636"/>
      <c r="E115" s="497" t="s">
        <v>499</v>
      </c>
      <c r="F115" s="140">
        <v>-48600000</v>
      </c>
      <c r="G115" s="8">
        <v>4</v>
      </c>
      <c r="H115" s="21">
        <f t="shared" si="36"/>
        <v>759375</v>
      </c>
      <c r="I115" s="37" t="str">
        <f t="shared" si="37"/>
        <v>3;0755</v>
      </c>
      <c r="J115" s="38">
        <v>5</v>
      </c>
      <c r="K115" s="128">
        <f t="shared" si="38"/>
        <v>3.0517578125</v>
      </c>
      <c r="L115" s="39" t="str">
        <f>INDEX(powers!$H$2:$H$75,33+J115)</f>
        <v>terno cosmic</v>
      </c>
      <c r="M115" s="40" t="str">
        <f t="shared" ref="M115:M132" si="64">IF($G115&gt;=M$17,MID($J$17,IF($G115&gt;M$17,INT(K115),ROUND(K115,0))+1,1),"")</f>
        <v>3</v>
      </c>
      <c r="N115" s="24">
        <f t="shared" si="40"/>
        <v>0.62109375</v>
      </c>
      <c r="O115" s="41" t="str">
        <f t="shared" ref="O115:O132" si="65">IF($G115&gt;=O$17,MID($J$17,IF($G115&gt;O$17,INT(N115),ROUND(N115,0))+1,1),"")</f>
        <v>0</v>
      </c>
      <c r="P115" s="24">
        <f t="shared" si="42"/>
        <v>7.453125</v>
      </c>
      <c r="Q115" s="41" t="str">
        <f t="shared" ref="Q115:Q132" si="66">IF($G115&gt;=Q$17,MID($J$17,IF($G115&gt;Q$17,INT(P115),ROUND(P115,0))+1,1),"")</f>
        <v>7</v>
      </c>
      <c r="R115" s="24">
        <f t="shared" si="44"/>
        <v>5.4375</v>
      </c>
      <c r="S115" s="41" t="str">
        <f t="shared" ref="S115:S132" si="67">IF($G115&gt;=S$17,MID($J$17,IF($G115&gt;S$17,INT(R115),ROUND(R115,0))+1,1),"")</f>
        <v>5</v>
      </c>
      <c r="T115" s="24">
        <f t="shared" si="46"/>
        <v>5.25</v>
      </c>
      <c r="U115" s="41" t="str">
        <f t="shared" ref="U115:U132" si="68">IF($G115&gt;=U$17,MID($J$17,IF($G115&gt;U$17,INT(T115),ROUND(T115,0))+1,1),"")</f>
        <v>5</v>
      </c>
      <c r="V115" s="24">
        <f t="shared" si="48"/>
        <v>3</v>
      </c>
      <c r="W115" s="41" t="str">
        <f t="shared" ref="W115:W132" si="69">IF($G115&gt;=W$17,MID($J$17,IF($G115&gt;W$17,INT(V115),ROUND(V115,0))+1,1),"")</f>
        <v/>
      </c>
      <c r="X115" s="24">
        <f t="shared" si="50"/>
        <v>0</v>
      </c>
      <c r="Y115" s="41" t="str">
        <f t="shared" ref="Y115:Y132" si="70">IF($G115&gt;=Y$17,MID($J$17,IF($G115&gt;Y$17,INT(X115),ROUND(X115,0))+1,1),"")</f>
        <v/>
      </c>
      <c r="Z115" s="24">
        <f t="shared" si="52"/>
        <v>0</v>
      </c>
      <c r="AA115" s="41" t="str">
        <f t="shared" ref="AA115:AA132" si="71">IF($G115&gt;=AA$17,MID($J$17,IF($G115&gt;AA$17,INT(Z115),ROUND(Z115,0))+1,1),"")</f>
        <v/>
      </c>
      <c r="AB115" s="24">
        <f t="shared" si="54"/>
        <v>0</v>
      </c>
      <c r="AC115" s="41" t="str">
        <f t="shared" ref="AC115:AC132" si="72">IF($G115&gt;=AC$17,MID($J$17,IF($G115&gt;AC$17,INT(AB115),ROUND(AB115,0))+1,1),"")</f>
        <v/>
      </c>
      <c r="AD115" s="24">
        <f t="shared" si="56"/>
        <v>0</v>
      </c>
      <c r="AE115" s="41" t="str">
        <f t="shared" ref="AE115:AE132" si="73">IF($G115&gt;=AE$17,MID($J$17,IF($G115&gt;AE$17,INT(AD115),ROUND(AD115,0))+1,1),"")</f>
        <v/>
      </c>
      <c r="AF115" s="24">
        <f t="shared" si="58"/>
        <v>0</v>
      </c>
      <c r="AG115" s="41" t="str">
        <f t="shared" ref="AG115:AG132" si="74">IF($G115&gt;=AG$17,MID($J$17,IF($G115&gt;AG$17,INT(AF115),ROUND(AF115,0))+1,1),"")</f>
        <v/>
      </c>
      <c r="AH115" s="24">
        <f t="shared" si="60"/>
        <v>0</v>
      </c>
      <c r="AI115" s="41" t="str">
        <f t="shared" ref="AI115:AI132" si="75">IF($G115&gt;=AI$17,MID($J$17,IF($G115&gt;AI$17,INT(AH115),ROUND(AH115,0))+1,1),"")</f>
        <v/>
      </c>
      <c r="AJ115" s="24">
        <f t="shared" si="62"/>
        <v>0</v>
      </c>
      <c r="AK115" s="41" t="str">
        <f t="shared" ref="AK115:AK132" si="76">IF($G115&gt;=AK$17,MID($J$17,IF($G115&gt;AK$17,INT(AJ115),ROUND(AJ115,0))+1,1),"")</f>
        <v/>
      </c>
    </row>
    <row r="116" spans="1:37" ht="13.5" customHeight="1" x14ac:dyDescent="0.2">
      <c r="A116" s="642"/>
      <c r="B116" s="636"/>
      <c r="C116" s="636"/>
      <c r="D116" s="636"/>
      <c r="E116" s="497" t="s">
        <v>500</v>
      </c>
      <c r="F116" s="140">
        <v>-40400000</v>
      </c>
      <c r="G116" s="8">
        <v>4</v>
      </c>
      <c r="H116" s="21">
        <f t="shared" si="36"/>
        <v>631250</v>
      </c>
      <c r="I116" s="37" t="str">
        <f t="shared" si="37"/>
        <v>2;6538</v>
      </c>
      <c r="J116" s="38">
        <v>5</v>
      </c>
      <c r="K116" s="128">
        <f t="shared" si="38"/>
        <v>2.5368521733539096</v>
      </c>
      <c r="L116" s="39" t="str">
        <f>INDEX(powers!$H$2:$H$75,33+J116)</f>
        <v>terno cosmic</v>
      </c>
      <c r="M116" s="40" t="str">
        <f t="shared" si="64"/>
        <v>2</v>
      </c>
      <c r="N116" s="24">
        <f t="shared" si="40"/>
        <v>6.4422260802469147</v>
      </c>
      <c r="O116" s="41" t="str">
        <f t="shared" si="65"/>
        <v>6</v>
      </c>
      <c r="P116" s="24">
        <f t="shared" si="42"/>
        <v>5.3067129629629761</v>
      </c>
      <c r="Q116" s="41" t="str">
        <f t="shared" si="66"/>
        <v>5</v>
      </c>
      <c r="R116" s="24">
        <f t="shared" si="44"/>
        <v>3.6805555555557135</v>
      </c>
      <c r="S116" s="41" t="str">
        <f t="shared" si="67"/>
        <v>3</v>
      </c>
      <c r="T116" s="24">
        <f t="shared" si="46"/>
        <v>8.1666666666685614</v>
      </c>
      <c r="U116" s="41" t="str">
        <f t="shared" si="68"/>
        <v>8</v>
      </c>
      <c r="V116" s="24">
        <f t="shared" si="48"/>
        <v>2.0000000000227374</v>
      </c>
      <c r="W116" s="41" t="str">
        <f t="shared" si="69"/>
        <v/>
      </c>
      <c r="X116" s="24">
        <f t="shared" si="50"/>
        <v>2.7284841053187847E-10</v>
      </c>
      <c r="Y116" s="41" t="str">
        <f t="shared" si="70"/>
        <v/>
      </c>
      <c r="Z116" s="24">
        <f t="shared" si="52"/>
        <v>3.2741809263825417E-9</v>
      </c>
      <c r="AA116" s="41" t="str">
        <f t="shared" si="71"/>
        <v/>
      </c>
      <c r="AB116" s="24">
        <f t="shared" si="54"/>
        <v>3.92901711165905E-8</v>
      </c>
      <c r="AC116" s="41" t="str">
        <f t="shared" si="72"/>
        <v/>
      </c>
      <c r="AD116" s="24">
        <f t="shared" si="56"/>
        <v>4.71482053399086E-7</v>
      </c>
      <c r="AE116" s="41" t="str">
        <f t="shared" si="73"/>
        <v/>
      </c>
      <c r="AF116" s="24">
        <f t="shared" si="58"/>
        <v>5.657784640789032E-6</v>
      </c>
      <c r="AG116" s="41" t="str">
        <f t="shared" si="74"/>
        <v/>
      </c>
      <c r="AH116" s="24">
        <f t="shared" si="60"/>
        <v>6.7893415689468384E-5</v>
      </c>
      <c r="AI116" s="41" t="str">
        <f t="shared" si="75"/>
        <v/>
      </c>
      <c r="AJ116" s="24">
        <f t="shared" si="62"/>
        <v>8.1472098827362061E-4</v>
      </c>
      <c r="AK116" s="41" t="str">
        <f t="shared" si="76"/>
        <v/>
      </c>
    </row>
    <row r="117" spans="1:37" ht="13.5" customHeight="1" x14ac:dyDescent="0.2">
      <c r="A117" s="642"/>
      <c r="B117" s="636"/>
      <c r="C117" s="636"/>
      <c r="D117" s="637"/>
      <c r="E117" s="497" t="s">
        <v>501</v>
      </c>
      <c r="F117" s="140">
        <v>-37200000</v>
      </c>
      <c r="G117" s="8">
        <v>4</v>
      </c>
      <c r="H117" s="21">
        <f t="shared" si="36"/>
        <v>581250</v>
      </c>
      <c r="I117" s="37" t="str">
        <f t="shared" si="37"/>
        <v>2;4046</v>
      </c>
      <c r="J117" s="38">
        <v>5</v>
      </c>
      <c r="K117" s="128">
        <f t="shared" si="38"/>
        <v>2.3359133873456792</v>
      </c>
      <c r="L117" s="39" t="str">
        <f>INDEX(powers!$H$2:$H$75,33+J117)</f>
        <v>terno cosmic</v>
      </c>
      <c r="M117" s="40" t="str">
        <f t="shared" si="64"/>
        <v>2</v>
      </c>
      <c r="N117" s="24">
        <f t="shared" si="40"/>
        <v>4.0309606481481506</v>
      </c>
      <c r="O117" s="41" t="str">
        <f t="shared" si="65"/>
        <v>4</v>
      </c>
      <c r="P117" s="24">
        <f t="shared" si="42"/>
        <v>0.37152777777780699</v>
      </c>
      <c r="Q117" s="41" t="str">
        <f t="shared" si="66"/>
        <v>0</v>
      </c>
      <c r="R117" s="24">
        <f t="shared" si="44"/>
        <v>4.4583333333336839</v>
      </c>
      <c r="S117" s="41" t="str">
        <f t="shared" si="67"/>
        <v>4</v>
      </c>
      <c r="T117" s="24">
        <f t="shared" si="46"/>
        <v>5.5000000000042064</v>
      </c>
      <c r="U117" s="41" t="str">
        <f t="shared" si="68"/>
        <v>6</v>
      </c>
      <c r="V117" s="24">
        <f t="shared" si="48"/>
        <v>6.000000000050477</v>
      </c>
      <c r="W117" s="41" t="str">
        <f t="shared" si="69"/>
        <v/>
      </c>
      <c r="X117" s="24">
        <f t="shared" si="50"/>
        <v>6.0572347138077021E-10</v>
      </c>
      <c r="Y117" s="41" t="str">
        <f t="shared" si="70"/>
        <v/>
      </c>
      <c r="Z117" s="24">
        <f t="shared" si="52"/>
        <v>7.2686816565692425E-9</v>
      </c>
      <c r="AA117" s="41" t="str">
        <f t="shared" si="71"/>
        <v/>
      </c>
      <c r="AB117" s="24">
        <f t="shared" si="54"/>
        <v>8.722417987883091E-8</v>
      </c>
      <c r="AC117" s="41" t="str">
        <f t="shared" si="72"/>
        <v/>
      </c>
      <c r="AD117" s="24">
        <f t="shared" si="56"/>
        <v>1.0466901585459709E-6</v>
      </c>
      <c r="AE117" s="41" t="str">
        <f t="shared" si="73"/>
        <v/>
      </c>
      <c r="AF117" s="24">
        <f t="shared" si="58"/>
        <v>1.2560281902551651E-5</v>
      </c>
      <c r="AG117" s="41" t="str">
        <f t="shared" si="74"/>
        <v/>
      </c>
      <c r="AH117" s="24">
        <f t="shared" si="60"/>
        <v>1.5072338283061981E-4</v>
      </c>
      <c r="AI117" s="41" t="str">
        <f t="shared" si="75"/>
        <v/>
      </c>
      <c r="AJ117" s="24">
        <f t="shared" si="62"/>
        <v>1.8086805939674377E-3</v>
      </c>
      <c r="AK117" s="41" t="str">
        <f t="shared" si="76"/>
        <v/>
      </c>
    </row>
    <row r="118" spans="1:37" ht="13.5" customHeight="1" x14ac:dyDescent="0.2">
      <c r="A118" s="642"/>
      <c r="B118" s="636"/>
      <c r="C118" s="636"/>
      <c r="D118" s="635" t="s">
        <v>502</v>
      </c>
      <c r="E118" s="497" t="s">
        <v>503</v>
      </c>
      <c r="F118" s="140">
        <v>-33900000</v>
      </c>
      <c r="G118" s="8">
        <v>4</v>
      </c>
      <c r="H118" s="21">
        <f t="shared" si="36"/>
        <v>529687.5</v>
      </c>
      <c r="I118" s="37" t="str">
        <f t="shared" si="37"/>
        <v>2;1665</v>
      </c>
      <c r="J118" s="38">
        <v>5</v>
      </c>
      <c r="K118" s="128">
        <f t="shared" si="38"/>
        <v>2.1286952642746915</v>
      </c>
      <c r="L118" s="39" t="str">
        <f>INDEX(powers!$H$2:$H$75,33+J118)</f>
        <v>terno cosmic</v>
      </c>
      <c r="M118" s="40" t="str">
        <f t="shared" si="64"/>
        <v>2</v>
      </c>
      <c r="N118" s="24">
        <f t="shared" si="40"/>
        <v>1.5443431712962976</v>
      </c>
      <c r="O118" s="41" t="str">
        <f t="shared" si="65"/>
        <v>1</v>
      </c>
      <c r="P118" s="24">
        <f t="shared" si="42"/>
        <v>6.5321180555555713</v>
      </c>
      <c r="Q118" s="41" t="str">
        <f t="shared" si="66"/>
        <v>6</v>
      </c>
      <c r="R118" s="24">
        <f t="shared" si="44"/>
        <v>6.3854166666668561</v>
      </c>
      <c r="S118" s="41" t="str">
        <f t="shared" si="67"/>
        <v>6</v>
      </c>
      <c r="T118" s="24">
        <f t="shared" si="46"/>
        <v>4.6250000000022737</v>
      </c>
      <c r="U118" s="41" t="str">
        <f t="shared" si="68"/>
        <v>5</v>
      </c>
      <c r="V118" s="24">
        <f t="shared" si="48"/>
        <v>7.5000000000272848</v>
      </c>
      <c r="W118" s="41" t="str">
        <f t="shared" si="69"/>
        <v/>
      </c>
      <c r="X118" s="24">
        <f t="shared" si="50"/>
        <v>6.0000000003274181</v>
      </c>
      <c r="Y118" s="41" t="str">
        <f t="shared" si="70"/>
        <v/>
      </c>
      <c r="Z118" s="24">
        <f t="shared" si="52"/>
        <v>3.92901711165905E-9</v>
      </c>
      <c r="AA118" s="41" t="str">
        <f t="shared" si="71"/>
        <v/>
      </c>
      <c r="AB118" s="24">
        <f t="shared" si="54"/>
        <v>4.71482053399086E-8</v>
      </c>
      <c r="AC118" s="41" t="str">
        <f t="shared" si="72"/>
        <v/>
      </c>
      <c r="AD118" s="24">
        <f t="shared" si="56"/>
        <v>5.657784640789032E-7</v>
      </c>
      <c r="AE118" s="41" t="str">
        <f t="shared" si="73"/>
        <v/>
      </c>
      <c r="AF118" s="24">
        <f t="shared" si="58"/>
        <v>6.7893415689468384E-6</v>
      </c>
      <c r="AG118" s="41" t="str">
        <f t="shared" si="74"/>
        <v/>
      </c>
      <c r="AH118" s="24">
        <f t="shared" si="60"/>
        <v>8.1472098827362061E-5</v>
      </c>
      <c r="AI118" s="41" t="str">
        <f t="shared" si="75"/>
        <v/>
      </c>
      <c r="AJ118" s="24">
        <f t="shared" si="62"/>
        <v>9.7766518592834473E-4</v>
      </c>
      <c r="AK118" s="41" t="str">
        <f t="shared" si="76"/>
        <v/>
      </c>
    </row>
    <row r="119" spans="1:37" ht="13.5" customHeight="1" x14ac:dyDescent="0.2">
      <c r="A119" s="642"/>
      <c r="B119" s="636"/>
      <c r="C119" s="637"/>
      <c r="D119" s="637"/>
      <c r="E119" s="497" t="s">
        <v>504</v>
      </c>
      <c r="F119" s="140">
        <v>-28400000</v>
      </c>
      <c r="G119" s="8">
        <v>4</v>
      </c>
      <c r="H119" s="21">
        <f t="shared" si="36"/>
        <v>443750</v>
      </c>
      <c r="I119" s="37" t="str">
        <f t="shared" si="37"/>
        <v>1;9497</v>
      </c>
      <c r="J119" s="38">
        <v>5</v>
      </c>
      <c r="K119" s="128">
        <f t="shared" si="38"/>
        <v>1.7833317258230452</v>
      </c>
      <c r="L119" s="39" t="str">
        <f>INDEX(powers!$H$2:$H$75,33+J119)</f>
        <v>terno cosmic</v>
      </c>
      <c r="M119" s="40" t="str">
        <f t="shared" si="64"/>
        <v>1</v>
      </c>
      <c r="N119" s="24">
        <f t="shared" si="40"/>
        <v>9.3999807098765427</v>
      </c>
      <c r="O119" s="41" t="str">
        <f t="shared" si="65"/>
        <v>9</v>
      </c>
      <c r="P119" s="24">
        <f t="shared" si="42"/>
        <v>4.7997685185185119</v>
      </c>
      <c r="Q119" s="41" t="str">
        <f t="shared" si="66"/>
        <v>4</v>
      </c>
      <c r="R119" s="24">
        <f t="shared" si="44"/>
        <v>9.5972222222221433</v>
      </c>
      <c r="S119" s="41" t="str">
        <f t="shared" si="67"/>
        <v>9</v>
      </c>
      <c r="T119" s="24">
        <f t="shared" si="46"/>
        <v>7.1666666666657193</v>
      </c>
      <c r="U119" s="41" t="str">
        <f t="shared" si="68"/>
        <v>7</v>
      </c>
      <c r="V119" s="24">
        <f t="shared" si="48"/>
        <v>1.9999999999886313</v>
      </c>
      <c r="W119" s="41" t="str">
        <f t="shared" si="69"/>
        <v/>
      </c>
      <c r="X119" s="24">
        <f t="shared" si="50"/>
        <v>11.999999999863576</v>
      </c>
      <c r="Y119" s="41" t="str">
        <f t="shared" si="70"/>
        <v/>
      </c>
      <c r="Z119" s="24">
        <f t="shared" si="52"/>
        <v>11.99999999836291</v>
      </c>
      <c r="AA119" s="41" t="str">
        <f t="shared" si="71"/>
        <v/>
      </c>
      <c r="AB119" s="24">
        <f t="shared" si="54"/>
        <v>11.999999980354914</v>
      </c>
      <c r="AC119" s="41" t="str">
        <f t="shared" si="72"/>
        <v/>
      </c>
      <c r="AD119" s="24">
        <f t="shared" si="56"/>
        <v>11.999999764258973</v>
      </c>
      <c r="AE119" s="41" t="str">
        <f t="shared" si="73"/>
        <v/>
      </c>
      <c r="AF119" s="24">
        <f t="shared" si="58"/>
        <v>11.99999717110768</v>
      </c>
      <c r="AG119" s="41" t="str">
        <f t="shared" si="74"/>
        <v/>
      </c>
      <c r="AH119" s="24">
        <f t="shared" si="60"/>
        <v>11.999966053292155</v>
      </c>
      <c r="AI119" s="41" t="str">
        <f t="shared" si="75"/>
        <v/>
      </c>
      <c r="AJ119" s="24">
        <f t="shared" si="62"/>
        <v>11.999592639505863</v>
      </c>
      <c r="AK119" s="41" t="str">
        <f t="shared" si="76"/>
        <v/>
      </c>
    </row>
    <row r="120" spans="1:37" ht="13.5" customHeight="1" x14ac:dyDescent="0.2">
      <c r="A120" s="642"/>
      <c r="B120" s="636"/>
      <c r="C120" s="635" t="s">
        <v>505</v>
      </c>
      <c r="D120" s="635" t="s">
        <v>506</v>
      </c>
      <c r="E120" s="497" t="s">
        <v>507</v>
      </c>
      <c r="F120" s="140">
        <v>-23030000</v>
      </c>
      <c r="G120" s="8">
        <v>4</v>
      </c>
      <c r="H120" s="21">
        <f t="shared" si="36"/>
        <v>359843.75</v>
      </c>
      <c r="I120" s="37" t="str">
        <f t="shared" si="37"/>
        <v>1;542E</v>
      </c>
      <c r="J120" s="38">
        <v>5</v>
      </c>
      <c r="K120" s="128">
        <f t="shared" si="38"/>
        <v>1.4461313255529835</v>
      </c>
      <c r="L120" s="39" t="str">
        <f>INDEX(powers!$H$2:$H$75,33+J120)</f>
        <v>terno cosmic</v>
      </c>
      <c r="M120" s="40" t="str">
        <f t="shared" si="64"/>
        <v>1</v>
      </c>
      <c r="N120" s="24">
        <f t="shared" si="40"/>
        <v>5.3535759066358022</v>
      </c>
      <c r="O120" s="41" t="str">
        <f t="shared" si="65"/>
        <v>5</v>
      </c>
      <c r="P120" s="24">
        <f t="shared" si="42"/>
        <v>4.2429108796296262</v>
      </c>
      <c r="Q120" s="41" t="str">
        <f t="shared" si="66"/>
        <v>4</v>
      </c>
      <c r="R120" s="24">
        <f t="shared" si="44"/>
        <v>2.9149305555555145</v>
      </c>
      <c r="S120" s="41" t="str">
        <f t="shared" si="67"/>
        <v>2</v>
      </c>
      <c r="T120" s="24">
        <f t="shared" si="46"/>
        <v>10.979166666666174</v>
      </c>
      <c r="U120" s="41" t="str">
        <f t="shared" si="68"/>
        <v>E</v>
      </c>
      <c r="V120" s="24">
        <f t="shared" si="48"/>
        <v>11.749999999994088</v>
      </c>
      <c r="W120" s="41" t="str">
        <f t="shared" si="69"/>
        <v/>
      </c>
      <c r="X120" s="24">
        <f t="shared" si="50"/>
        <v>8.9999999999290594</v>
      </c>
      <c r="Y120" s="41" t="str">
        <f t="shared" si="70"/>
        <v/>
      </c>
      <c r="Z120" s="24">
        <f t="shared" si="52"/>
        <v>11.999999999148713</v>
      </c>
      <c r="AA120" s="41" t="str">
        <f t="shared" si="71"/>
        <v/>
      </c>
      <c r="AB120" s="24">
        <f t="shared" si="54"/>
        <v>11.999999989784556</v>
      </c>
      <c r="AC120" s="41" t="str">
        <f t="shared" si="72"/>
        <v/>
      </c>
      <c r="AD120" s="24">
        <f t="shared" si="56"/>
        <v>11.999999877414666</v>
      </c>
      <c r="AE120" s="41" t="str">
        <f t="shared" si="73"/>
        <v/>
      </c>
      <c r="AF120" s="24">
        <f t="shared" si="58"/>
        <v>11.999998528975993</v>
      </c>
      <c r="AG120" s="41" t="str">
        <f t="shared" si="74"/>
        <v/>
      </c>
      <c r="AH120" s="24">
        <f t="shared" si="60"/>
        <v>11.999982347711921</v>
      </c>
      <c r="AI120" s="41" t="str">
        <f t="shared" si="75"/>
        <v/>
      </c>
      <c r="AJ120" s="24">
        <f t="shared" si="62"/>
        <v>11.999788172543049</v>
      </c>
      <c r="AK120" s="41" t="str">
        <f t="shared" si="76"/>
        <v/>
      </c>
    </row>
    <row r="121" spans="1:37" ht="13.5" customHeight="1" x14ac:dyDescent="0.2">
      <c r="A121" s="642"/>
      <c r="B121" s="636"/>
      <c r="C121" s="636"/>
      <c r="D121" s="636"/>
      <c r="E121" s="497" t="s">
        <v>508</v>
      </c>
      <c r="F121" s="140">
        <v>-20430000</v>
      </c>
      <c r="G121" s="8">
        <v>4</v>
      </c>
      <c r="H121" s="21">
        <f t="shared" si="36"/>
        <v>319218.75</v>
      </c>
      <c r="I121" s="37" t="str">
        <f t="shared" si="37"/>
        <v>1;348X</v>
      </c>
      <c r="J121" s="38">
        <v>5</v>
      </c>
      <c r="K121" s="128">
        <f t="shared" si="38"/>
        <v>1.2828685619212963</v>
      </c>
      <c r="L121" s="39" t="str">
        <f>INDEX(powers!$H$2:$H$75,33+J121)</f>
        <v>terno cosmic</v>
      </c>
      <c r="M121" s="40" t="str">
        <f t="shared" si="64"/>
        <v>1</v>
      </c>
      <c r="N121" s="24">
        <f t="shared" si="40"/>
        <v>3.3944227430555554</v>
      </c>
      <c r="O121" s="41" t="str">
        <f t="shared" si="65"/>
        <v>3</v>
      </c>
      <c r="P121" s="24">
        <f t="shared" si="42"/>
        <v>4.7330729166666643</v>
      </c>
      <c r="Q121" s="41" t="str">
        <f t="shared" si="66"/>
        <v>4</v>
      </c>
      <c r="R121" s="24">
        <f t="shared" si="44"/>
        <v>8.7968749999999716</v>
      </c>
      <c r="S121" s="41" t="str">
        <f t="shared" si="67"/>
        <v>8</v>
      </c>
      <c r="T121" s="24">
        <f t="shared" si="46"/>
        <v>9.5624999999996589</v>
      </c>
      <c r="U121" s="41" t="str">
        <f t="shared" si="68"/>
        <v>X</v>
      </c>
      <c r="V121" s="24">
        <f t="shared" si="48"/>
        <v>6.7499999999959073</v>
      </c>
      <c r="W121" s="41" t="str">
        <f t="shared" si="69"/>
        <v/>
      </c>
      <c r="X121" s="24">
        <f t="shared" si="50"/>
        <v>8.9999999999508873</v>
      </c>
      <c r="Y121" s="41" t="str">
        <f t="shared" si="70"/>
        <v/>
      </c>
      <c r="Z121" s="24">
        <f t="shared" si="52"/>
        <v>11.999999999410647</v>
      </c>
      <c r="AA121" s="41" t="str">
        <f t="shared" si="71"/>
        <v/>
      </c>
      <c r="AB121" s="24">
        <f t="shared" si="54"/>
        <v>11.999999992927769</v>
      </c>
      <c r="AC121" s="41" t="str">
        <f t="shared" si="72"/>
        <v/>
      </c>
      <c r="AD121" s="24">
        <f t="shared" si="56"/>
        <v>11.99999991513323</v>
      </c>
      <c r="AE121" s="41" t="str">
        <f t="shared" si="73"/>
        <v/>
      </c>
      <c r="AF121" s="24">
        <f t="shared" si="58"/>
        <v>11.999998981598765</v>
      </c>
      <c r="AG121" s="41" t="str">
        <f t="shared" si="74"/>
        <v/>
      </c>
      <c r="AH121" s="24">
        <f t="shared" si="60"/>
        <v>11.999987779185176</v>
      </c>
      <c r="AI121" s="41" t="str">
        <f t="shared" si="75"/>
        <v/>
      </c>
      <c r="AJ121" s="24">
        <f t="shared" si="62"/>
        <v>11.999853350222111</v>
      </c>
      <c r="AK121" s="41" t="str">
        <f t="shared" si="76"/>
        <v/>
      </c>
    </row>
    <row r="122" spans="1:37" ht="13.5" customHeight="1" x14ac:dyDescent="0.2">
      <c r="A122" s="642"/>
      <c r="B122" s="636"/>
      <c r="C122" s="636"/>
      <c r="D122" s="636"/>
      <c r="E122" s="497" t="s">
        <v>509</v>
      </c>
      <c r="F122" s="140">
        <v>-15970000</v>
      </c>
      <c r="G122" s="8">
        <v>4</v>
      </c>
      <c r="H122" s="21">
        <f t="shared" si="36"/>
        <v>249531.25</v>
      </c>
      <c r="I122" s="37" t="str">
        <f t="shared" si="37"/>
        <v>1;004X</v>
      </c>
      <c r="J122" s="38">
        <v>5</v>
      </c>
      <c r="K122" s="128">
        <f t="shared" si="38"/>
        <v>1.002810128922325</v>
      </c>
      <c r="L122" s="39" t="str">
        <f>INDEX(powers!$H$2:$H$75,33+J122)</f>
        <v>terno cosmic</v>
      </c>
      <c r="M122" s="40" t="str">
        <f t="shared" si="64"/>
        <v>1</v>
      </c>
      <c r="N122" s="24">
        <f t="shared" si="40"/>
        <v>3.3721547067900204E-2</v>
      </c>
      <c r="O122" s="41" t="str">
        <f t="shared" si="65"/>
        <v>0</v>
      </c>
      <c r="P122" s="24">
        <f t="shared" si="42"/>
        <v>0.40465856481480245</v>
      </c>
      <c r="Q122" s="41" t="str">
        <f t="shared" si="66"/>
        <v>0</v>
      </c>
      <c r="R122" s="24">
        <f t="shared" si="44"/>
        <v>4.8559027777776294</v>
      </c>
      <c r="S122" s="41" t="str">
        <f t="shared" si="67"/>
        <v>4</v>
      </c>
      <c r="T122" s="24">
        <f t="shared" si="46"/>
        <v>10.270833333331552</v>
      </c>
      <c r="U122" s="41" t="str">
        <f t="shared" si="68"/>
        <v>X</v>
      </c>
      <c r="V122" s="24">
        <f t="shared" si="48"/>
        <v>3.2499999999786269</v>
      </c>
      <c r="W122" s="41" t="str">
        <f t="shared" si="69"/>
        <v/>
      </c>
      <c r="X122" s="24">
        <f t="shared" si="50"/>
        <v>2.9999999997435225</v>
      </c>
      <c r="Y122" s="41" t="str">
        <f t="shared" si="70"/>
        <v/>
      </c>
      <c r="Z122" s="24">
        <f t="shared" si="52"/>
        <v>11.99999999692227</v>
      </c>
      <c r="AA122" s="41" t="str">
        <f t="shared" si="71"/>
        <v/>
      </c>
      <c r="AB122" s="24">
        <f t="shared" si="54"/>
        <v>11.999999963067239</v>
      </c>
      <c r="AC122" s="41" t="str">
        <f t="shared" si="72"/>
        <v/>
      </c>
      <c r="AD122" s="24">
        <f t="shared" si="56"/>
        <v>11.99999955680687</v>
      </c>
      <c r="AE122" s="41" t="str">
        <f t="shared" si="73"/>
        <v/>
      </c>
      <c r="AF122" s="24">
        <f t="shared" si="58"/>
        <v>11.999994681682438</v>
      </c>
      <c r="AG122" s="41" t="str">
        <f t="shared" si="74"/>
        <v/>
      </c>
      <c r="AH122" s="24">
        <f t="shared" si="60"/>
        <v>11.999936180189252</v>
      </c>
      <c r="AI122" s="41" t="str">
        <f t="shared" si="75"/>
        <v/>
      </c>
      <c r="AJ122" s="24">
        <f t="shared" si="62"/>
        <v>11.999234162271023</v>
      </c>
      <c r="AK122" s="41" t="str">
        <f t="shared" si="76"/>
        <v/>
      </c>
    </row>
    <row r="123" spans="1:37" ht="13.5" customHeight="1" x14ac:dyDescent="0.2">
      <c r="A123" s="642"/>
      <c r="B123" s="636"/>
      <c r="C123" s="636"/>
      <c r="D123" s="636"/>
      <c r="E123" s="497" t="s">
        <v>510</v>
      </c>
      <c r="F123" s="140">
        <v>-13820000</v>
      </c>
      <c r="G123" s="8">
        <v>4</v>
      </c>
      <c r="H123" s="21">
        <f t="shared" si="36"/>
        <v>215937.5</v>
      </c>
      <c r="I123" s="37" t="str">
        <f t="shared" si="37"/>
        <v>X;4E69</v>
      </c>
      <c r="J123" s="38">
        <v>4</v>
      </c>
      <c r="K123" s="128">
        <f t="shared" si="38"/>
        <v>10.413652584876543</v>
      </c>
      <c r="L123" s="39" t="str">
        <f>INDEX(powers!$H$2:$H$75,33+J123)</f>
        <v>hyper</v>
      </c>
      <c r="M123" s="40" t="str">
        <f t="shared" si="64"/>
        <v>X</v>
      </c>
      <c r="N123" s="24">
        <f t="shared" si="40"/>
        <v>4.9638310185185119</v>
      </c>
      <c r="O123" s="41" t="str">
        <f t="shared" si="65"/>
        <v>4</v>
      </c>
      <c r="P123" s="24">
        <f t="shared" si="42"/>
        <v>11.565972222222143</v>
      </c>
      <c r="Q123" s="41" t="str">
        <f t="shared" si="66"/>
        <v>E</v>
      </c>
      <c r="R123" s="24">
        <f t="shared" si="44"/>
        <v>6.7916666666657193</v>
      </c>
      <c r="S123" s="41" t="str">
        <f t="shared" si="67"/>
        <v>6</v>
      </c>
      <c r="T123" s="24">
        <f t="shared" si="46"/>
        <v>9.4999999999886313</v>
      </c>
      <c r="U123" s="41" t="str">
        <f t="shared" si="68"/>
        <v>9</v>
      </c>
      <c r="V123" s="24">
        <f t="shared" si="48"/>
        <v>5.9999999998635758</v>
      </c>
      <c r="W123" s="41" t="str">
        <f t="shared" si="69"/>
        <v/>
      </c>
      <c r="X123" s="24">
        <f t="shared" si="50"/>
        <v>11.99999999836291</v>
      </c>
      <c r="Y123" s="41" t="str">
        <f t="shared" si="70"/>
        <v/>
      </c>
      <c r="Z123" s="24">
        <f t="shared" si="52"/>
        <v>11.999999980354914</v>
      </c>
      <c r="AA123" s="41" t="str">
        <f t="shared" si="71"/>
        <v/>
      </c>
      <c r="AB123" s="24">
        <f t="shared" si="54"/>
        <v>11.999999764258973</v>
      </c>
      <c r="AC123" s="41" t="str">
        <f t="shared" si="72"/>
        <v/>
      </c>
      <c r="AD123" s="24">
        <f t="shared" si="56"/>
        <v>11.99999717110768</v>
      </c>
      <c r="AE123" s="41" t="str">
        <f t="shared" si="73"/>
        <v/>
      </c>
      <c r="AF123" s="24">
        <f t="shared" si="58"/>
        <v>11.999966053292155</v>
      </c>
      <c r="AG123" s="41" t="str">
        <f t="shared" si="74"/>
        <v/>
      </c>
      <c r="AH123" s="24">
        <f t="shared" si="60"/>
        <v>11.999592639505863</v>
      </c>
      <c r="AI123" s="41" t="str">
        <f t="shared" si="75"/>
        <v/>
      </c>
      <c r="AJ123" s="24">
        <f t="shared" si="62"/>
        <v>11.995111674070358</v>
      </c>
      <c r="AK123" s="41" t="str">
        <f t="shared" si="76"/>
        <v/>
      </c>
    </row>
    <row r="124" spans="1:37" ht="13.5" customHeight="1" x14ac:dyDescent="0.2">
      <c r="A124" s="642"/>
      <c r="B124" s="636"/>
      <c r="C124" s="636"/>
      <c r="D124" s="636"/>
      <c r="E124" s="497" t="s">
        <v>511</v>
      </c>
      <c r="F124" s="140">
        <v>-11608000</v>
      </c>
      <c r="G124" s="8">
        <v>4</v>
      </c>
      <c r="H124" s="21">
        <f t="shared" si="36"/>
        <v>181375</v>
      </c>
      <c r="I124" s="37" t="str">
        <f t="shared" si="37"/>
        <v>8;8E67</v>
      </c>
      <c r="J124" s="38">
        <v>4</v>
      </c>
      <c r="K124" s="128">
        <f t="shared" si="38"/>
        <v>8.7468653549382722</v>
      </c>
      <c r="L124" s="39" t="str">
        <f>INDEX(powers!$H$2:$H$75,33+J124)</f>
        <v>hyper</v>
      </c>
      <c r="M124" s="40" t="str">
        <f t="shared" si="64"/>
        <v>8</v>
      </c>
      <c r="N124" s="24">
        <f t="shared" si="40"/>
        <v>8.9623842592592666</v>
      </c>
      <c r="O124" s="41" t="str">
        <f t="shared" si="65"/>
        <v>8</v>
      </c>
      <c r="P124" s="24">
        <f t="shared" si="42"/>
        <v>11.5486111111112</v>
      </c>
      <c r="Q124" s="41" t="str">
        <f t="shared" si="66"/>
        <v>E</v>
      </c>
      <c r="R124" s="24">
        <f t="shared" si="44"/>
        <v>6.5833333333343944</v>
      </c>
      <c r="S124" s="41" t="str">
        <f t="shared" si="67"/>
        <v>6</v>
      </c>
      <c r="T124" s="24">
        <f t="shared" si="46"/>
        <v>7.0000000000127329</v>
      </c>
      <c r="U124" s="41" t="str">
        <f t="shared" si="68"/>
        <v>7</v>
      </c>
      <c r="V124" s="24">
        <f t="shared" si="48"/>
        <v>1.5279510989785194E-10</v>
      </c>
      <c r="W124" s="41" t="str">
        <f t="shared" si="69"/>
        <v/>
      </c>
      <c r="X124" s="24">
        <f t="shared" si="50"/>
        <v>1.8335413187742233E-9</v>
      </c>
      <c r="Y124" s="41" t="str">
        <f t="shared" si="70"/>
        <v/>
      </c>
      <c r="Z124" s="24">
        <f t="shared" si="52"/>
        <v>2.200249582529068E-8</v>
      </c>
      <c r="AA124" s="41" t="str">
        <f t="shared" si="71"/>
        <v/>
      </c>
      <c r="AB124" s="24">
        <f t="shared" si="54"/>
        <v>2.6402994990348816E-7</v>
      </c>
      <c r="AC124" s="41" t="str">
        <f t="shared" si="72"/>
        <v/>
      </c>
      <c r="AD124" s="24">
        <f t="shared" si="56"/>
        <v>3.1683593988418579E-6</v>
      </c>
      <c r="AE124" s="41" t="str">
        <f t="shared" si="73"/>
        <v/>
      </c>
      <c r="AF124" s="24">
        <f t="shared" si="58"/>
        <v>3.8020312786102295E-5</v>
      </c>
      <c r="AG124" s="41" t="str">
        <f t="shared" si="74"/>
        <v/>
      </c>
      <c r="AH124" s="24">
        <f t="shared" si="60"/>
        <v>4.5624375343322754E-4</v>
      </c>
      <c r="AI124" s="41" t="str">
        <f t="shared" si="75"/>
        <v/>
      </c>
      <c r="AJ124" s="24">
        <f t="shared" si="62"/>
        <v>5.4749250411987305E-3</v>
      </c>
      <c r="AK124" s="41" t="str">
        <f t="shared" si="76"/>
        <v/>
      </c>
    </row>
    <row r="125" spans="1:37" ht="13.5" customHeight="1" x14ac:dyDescent="0.2">
      <c r="A125" s="642"/>
      <c r="B125" s="636"/>
      <c r="C125" s="636"/>
      <c r="D125" s="637"/>
      <c r="E125" s="497" t="s">
        <v>512</v>
      </c>
      <c r="F125" s="140">
        <v>-7246000</v>
      </c>
      <c r="G125" s="8">
        <v>4</v>
      </c>
      <c r="H125" s="21">
        <f t="shared" si="36"/>
        <v>113218.75</v>
      </c>
      <c r="I125" s="37" t="str">
        <f t="shared" si="37"/>
        <v>5;562E</v>
      </c>
      <c r="J125" s="38">
        <v>4</v>
      </c>
      <c r="K125" s="128">
        <f t="shared" si="38"/>
        <v>5.4600091628086416</v>
      </c>
      <c r="L125" s="39" t="str">
        <f>INDEX(powers!$H$2:$H$75,33+J125)</f>
        <v>hyper</v>
      </c>
      <c r="M125" s="40" t="str">
        <f t="shared" si="64"/>
        <v>5</v>
      </c>
      <c r="N125" s="24">
        <f t="shared" si="40"/>
        <v>5.5201099537036988</v>
      </c>
      <c r="O125" s="41" t="str">
        <f t="shared" si="65"/>
        <v>5</v>
      </c>
      <c r="P125" s="24">
        <f t="shared" si="42"/>
        <v>6.241319444444386</v>
      </c>
      <c r="Q125" s="41" t="str">
        <f t="shared" si="66"/>
        <v>6</v>
      </c>
      <c r="R125" s="24">
        <f t="shared" si="44"/>
        <v>2.8958333333326323</v>
      </c>
      <c r="S125" s="41" t="str">
        <f t="shared" si="67"/>
        <v>2</v>
      </c>
      <c r="T125" s="24">
        <f t="shared" si="46"/>
        <v>10.749999999991587</v>
      </c>
      <c r="U125" s="41" t="str">
        <f t="shared" si="68"/>
        <v>E</v>
      </c>
      <c r="V125" s="24">
        <f t="shared" si="48"/>
        <v>8.9999999998990461</v>
      </c>
      <c r="W125" s="41" t="str">
        <f t="shared" si="69"/>
        <v/>
      </c>
      <c r="X125" s="24">
        <f t="shared" si="50"/>
        <v>11.999999998788553</v>
      </c>
      <c r="Y125" s="41" t="str">
        <f t="shared" si="70"/>
        <v/>
      </c>
      <c r="Z125" s="24">
        <f t="shared" si="52"/>
        <v>11.999999985462637</v>
      </c>
      <c r="AA125" s="41" t="str">
        <f t="shared" si="71"/>
        <v/>
      </c>
      <c r="AB125" s="24">
        <f t="shared" si="54"/>
        <v>11.99999982555164</v>
      </c>
      <c r="AC125" s="41" t="str">
        <f t="shared" si="72"/>
        <v/>
      </c>
      <c r="AD125" s="24">
        <f t="shared" si="56"/>
        <v>11.999997906619683</v>
      </c>
      <c r="AE125" s="41" t="str">
        <f t="shared" si="73"/>
        <v/>
      </c>
      <c r="AF125" s="24">
        <f t="shared" si="58"/>
        <v>11.999974879436195</v>
      </c>
      <c r="AG125" s="41" t="str">
        <f t="shared" si="74"/>
        <v/>
      </c>
      <c r="AH125" s="24">
        <f t="shared" si="60"/>
        <v>11.999698553234339</v>
      </c>
      <c r="AI125" s="41" t="str">
        <f t="shared" si="75"/>
        <v/>
      </c>
      <c r="AJ125" s="24">
        <f t="shared" si="62"/>
        <v>11.996382638812065</v>
      </c>
      <c r="AK125" s="41" t="str">
        <f t="shared" si="76"/>
        <v/>
      </c>
    </row>
    <row r="126" spans="1:37" ht="13.5" customHeight="1" x14ac:dyDescent="0.2">
      <c r="A126" s="642"/>
      <c r="B126" s="636"/>
      <c r="C126" s="636"/>
      <c r="D126" s="635" t="s">
        <v>513</v>
      </c>
      <c r="E126" s="497" t="s">
        <v>514</v>
      </c>
      <c r="F126" s="140">
        <v>-5332000</v>
      </c>
      <c r="G126" s="8">
        <v>4</v>
      </c>
      <c r="H126" s="21">
        <f t="shared" si="36"/>
        <v>83312.5</v>
      </c>
      <c r="I126" s="37" t="str">
        <f t="shared" si="37"/>
        <v>4;0269</v>
      </c>
      <c r="J126" s="38">
        <v>4</v>
      </c>
      <c r="K126" s="128">
        <f t="shared" si="38"/>
        <v>4.0177710262345681</v>
      </c>
      <c r="L126" s="39" t="str">
        <f>INDEX(powers!$H$2:$H$75,33+J126)</f>
        <v>hyper</v>
      </c>
      <c r="M126" s="40" t="str">
        <f t="shared" si="64"/>
        <v>4</v>
      </c>
      <c r="N126" s="24">
        <f t="shared" si="40"/>
        <v>0.21325231481481666</v>
      </c>
      <c r="O126" s="41" t="str">
        <f t="shared" si="65"/>
        <v>0</v>
      </c>
      <c r="P126" s="24">
        <f t="shared" si="42"/>
        <v>2.5590277777777999</v>
      </c>
      <c r="Q126" s="41" t="str">
        <f t="shared" si="66"/>
        <v>2</v>
      </c>
      <c r="R126" s="24">
        <f t="shared" si="44"/>
        <v>6.7083333333335986</v>
      </c>
      <c r="S126" s="41" t="str">
        <f t="shared" si="67"/>
        <v>6</v>
      </c>
      <c r="T126" s="24">
        <f t="shared" si="46"/>
        <v>8.5000000000031832</v>
      </c>
      <c r="U126" s="41" t="str">
        <f t="shared" si="68"/>
        <v>9</v>
      </c>
      <c r="V126" s="24">
        <f t="shared" si="48"/>
        <v>6.0000000000381988</v>
      </c>
      <c r="W126" s="41" t="str">
        <f t="shared" si="69"/>
        <v/>
      </c>
      <c r="X126" s="24">
        <f t="shared" si="50"/>
        <v>4.5838532969355583E-10</v>
      </c>
      <c r="Y126" s="41" t="str">
        <f t="shared" si="70"/>
        <v/>
      </c>
      <c r="Z126" s="24">
        <f t="shared" si="52"/>
        <v>5.50062395632267E-9</v>
      </c>
      <c r="AA126" s="41" t="str">
        <f t="shared" si="71"/>
        <v/>
      </c>
      <c r="AB126" s="24">
        <f t="shared" si="54"/>
        <v>6.600748747587204E-8</v>
      </c>
      <c r="AC126" s="41" t="str">
        <f t="shared" si="72"/>
        <v/>
      </c>
      <c r="AD126" s="24">
        <f t="shared" si="56"/>
        <v>7.9208984971046448E-7</v>
      </c>
      <c r="AE126" s="41" t="str">
        <f t="shared" si="73"/>
        <v/>
      </c>
      <c r="AF126" s="24">
        <f t="shared" si="58"/>
        <v>9.5050781965255737E-6</v>
      </c>
      <c r="AG126" s="41" t="str">
        <f t="shared" si="74"/>
        <v/>
      </c>
      <c r="AH126" s="24">
        <f t="shared" si="60"/>
        <v>1.1406093835830688E-4</v>
      </c>
      <c r="AI126" s="41" t="str">
        <f t="shared" si="75"/>
        <v/>
      </c>
      <c r="AJ126" s="24">
        <f t="shared" si="62"/>
        <v>1.3687312602996826E-3</v>
      </c>
      <c r="AK126" s="41" t="str">
        <f t="shared" si="76"/>
        <v/>
      </c>
    </row>
    <row r="127" spans="1:37" ht="13.5" customHeight="1" x14ac:dyDescent="0.2">
      <c r="A127" s="642"/>
      <c r="B127" s="636"/>
      <c r="C127" s="637"/>
      <c r="D127" s="637"/>
      <c r="E127" s="497" t="s">
        <v>515</v>
      </c>
      <c r="F127" s="140">
        <v>-3600000</v>
      </c>
      <c r="G127" s="8">
        <v>4</v>
      </c>
      <c r="H127" s="21">
        <f t="shared" si="36"/>
        <v>56250</v>
      </c>
      <c r="I127" s="37" t="str">
        <f t="shared" si="37"/>
        <v>2;8676</v>
      </c>
      <c r="J127" s="38">
        <v>4</v>
      </c>
      <c r="K127" s="128">
        <f t="shared" si="38"/>
        <v>2.7126736111111112</v>
      </c>
      <c r="L127" s="39" t="str">
        <f>INDEX(powers!$H$2:$H$75,33+J127)</f>
        <v>hyper</v>
      </c>
      <c r="M127" s="40" t="str">
        <f t="shared" si="64"/>
        <v>2</v>
      </c>
      <c r="N127" s="24">
        <f t="shared" si="40"/>
        <v>8.5520833333333339</v>
      </c>
      <c r="O127" s="41" t="str">
        <f t="shared" si="65"/>
        <v>8</v>
      </c>
      <c r="P127" s="24">
        <f t="shared" si="42"/>
        <v>6.6250000000000071</v>
      </c>
      <c r="Q127" s="41" t="str">
        <f t="shared" si="66"/>
        <v>6</v>
      </c>
      <c r="R127" s="24">
        <f t="shared" si="44"/>
        <v>7.5000000000000853</v>
      </c>
      <c r="S127" s="41" t="str">
        <f t="shared" si="67"/>
        <v>7</v>
      </c>
      <c r="T127" s="24">
        <f t="shared" si="46"/>
        <v>6.0000000000010232</v>
      </c>
      <c r="U127" s="41" t="str">
        <f t="shared" si="68"/>
        <v>6</v>
      </c>
      <c r="V127" s="24">
        <f t="shared" si="48"/>
        <v>1.2278178473934531E-11</v>
      </c>
      <c r="W127" s="41" t="str">
        <f t="shared" si="69"/>
        <v/>
      </c>
      <c r="X127" s="24">
        <f t="shared" si="50"/>
        <v>1.4733814168721437E-10</v>
      </c>
      <c r="Y127" s="41" t="str">
        <f t="shared" si="70"/>
        <v/>
      </c>
      <c r="Z127" s="24">
        <f t="shared" si="52"/>
        <v>1.7680577002465725E-9</v>
      </c>
      <c r="AA127" s="41" t="str">
        <f t="shared" si="71"/>
        <v/>
      </c>
      <c r="AB127" s="24">
        <f t="shared" si="54"/>
        <v>2.121669240295887E-8</v>
      </c>
      <c r="AC127" s="41" t="str">
        <f t="shared" si="72"/>
        <v/>
      </c>
      <c r="AD127" s="24">
        <f t="shared" si="56"/>
        <v>2.5460030883550644E-7</v>
      </c>
      <c r="AE127" s="41" t="str">
        <f t="shared" si="73"/>
        <v/>
      </c>
      <c r="AF127" s="24">
        <f t="shared" si="58"/>
        <v>3.0552037060260773E-6</v>
      </c>
      <c r="AG127" s="41" t="str">
        <f t="shared" si="74"/>
        <v/>
      </c>
      <c r="AH127" s="24">
        <f t="shared" si="60"/>
        <v>3.6662444472312927E-5</v>
      </c>
      <c r="AI127" s="41" t="str">
        <f t="shared" si="75"/>
        <v/>
      </c>
      <c r="AJ127" s="24">
        <f t="shared" si="62"/>
        <v>4.3994933366775513E-4</v>
      </c>
      <c r="AK127" s="41" t="str">
        <f t="shared" si="76"/>
        <v/>
      </c>
    </row>
    <row r="128" spans="1:37" ht="13.5" customHeight="1" x14ac:dyDescent="0.2">
      <c r="A128" s="642"/>
      <c r="B128" s="636"/>
      <c r="C128" s="635" t="s">
        <v>516</v>
      </c>
      <c r="D128" s="635" t="s">
        <v>517</v>
      </c>
      <c r="E128" s="497" t="s">
        <v>518</v>
      </c>
      <c r="F128" s="140">
        <v>-2588000</v>
      </c>
      <c r="G128" s="8">
        <v>4</v>
      </c>
      <c r="H128" s="21">
        <f t="shared" si="36"/>
        <v>40437.5</v>
      </c>
      <c r="I128" s="37" t="str">
        <f t="shared" si="37"/>
        <v>1;E49X</v>
      </c>
      <c r="J128" s="38">
        <v>4</v>
      </c>
      <c r="K128" s="128">
        <f t="shared" si="38"/>
        <v>1.9501109182098766</v>
      </c>
      <c r="L128" s="39" t="str">
        <f>INDEX(powers!$H$2:$H$75,33+J128)</f>
        <v>hyper</v>
      </c>
      <c r="M128" s="40" t="str">
        <f t="shared" si="64"/>
        <v>1</v>
      </c>
      <c r="N128" s="24">
        <f t="shared" si="40"/>
        <v>11.401331018518519</v>
      </c>
      <c r="O128" s="41" t="str">
        <f t="shared" si="65"/>
        <v>E</v>
      </c>
      <c r="P128" s="24">
        <f t="shared" si="42"/>
        <v>4.8159722222222285</v>
      </c>
      <c r="Q128" s="41" t="str">
        <f t="shared" si="66"/>
        <v>4</v>
      </c>
      <c r="R128" s="24">
        <f t="shared" si="44"/>
        <v>9.7916666666667425</v>
      </c>
      <c r="S128" s="41" t="str">
        <f t="shared" si="67"/>
        <v>9</v>
      </c>
      <c r="T128" s="24">
        <f t="shared" si="46"/>
        <v>9.5000000000009095</v>
      </c>
      <c r="U128" s="41" t="str">
        <f t="shared" si="68"/>
        <v>X</v>
      </c>
      <c r="V128" s="24">
        <f t="shared" si="48"/>
        <v>6.0000000000109139</v>
      </c>
      <c r="W128" s="41" t="str">
        <f t="shared" si="69"/>
        <v/>
      </c>
      <c r="X128" s="24">
        <f t="shared" si="50"/>
        <v>1.3096723705530167E-10</v>
      </c>
      <c r="Y128" s="41" t="str">
        <f t="shared" si="70"/>
        <v/>
      </c>
      <c r="Z128" s="24">
        <f t="shared" si="52"/>
        <v>1.57160684466362E-9</v>
      </c>
      <c r="AA128" s="41" t="str">
        <f t="shared" si="71"/>
        <v/>
      </c>
      <c r="AB128" s="24">
        <f t="shared" si="54"/>
        <v>1.885928213596344E-8</v>
      </c>
      <c r="AC128" s="41" t="str">
        <f t="shared" si="72"/>
        <v/>
      </c>
      <c r="AD128" s="24">
        <f t="shared" si="56"/>
        <v>2.2631138563156128E-7</v>
      </c>
      <c r="AE128" s="41" t="str">
        <f t="shared" si="73"/>
        <v/>
      </c>
      <c r="AF128" s="24">
        <f t="shared" si="58"/>
        <v>2.7157366275787354E-6</v>
      </c>
      <c r="AG128" s="41" t="str">
        <f t="shared" si="74"/>
        <v/>
      </c>
      <c r="AH128" s="24">
        <f t="shared" si="60"/>
        <v>3.2588839530944824E-5</v>
      </c>
      <c r="AI128" s="41" t="str">
        <f t="shared" si="75"/>
        <v/>
      </c>
      <c r="AJ128" s="24">
        <f t="shared" si="62"/>
        <v>3.9106607437133789E-4</v>
      </c>
      <c r="AK128" s="41" t="str">
        <f t="shared" si="76"/>
        <v/>
      </c>
    </row>
    <row r="129" spans="1:37" ht="13.5" customHeight="1" x14ac:dyDescent="0.2">
      <c r="A129" s="642"/>
      <c r="B129" s="636"/>
      <c r="C129" s="636"/>
      <c r="D129" s="636"/>
      <c r="E129" s="497" t="s">
        <v>519</v>
      </c>
      <c r="F129" s="140">
        <v>-1806000</v>
      </c>
      <c r="G129" s="8">
        <v>4</v>
      </c>
      <c r="H129" s="21">
        <f t="shared" si="36"/>
        <v>28218.75</v>
      </c>
      <c r="I129" s="37" t="str">
        <f t="shared" si="37"/>
        <v>1;43E7</v>
      </c>
      <c r="J129" s="38">
        <v>4</v>
      </c>
      <c r="K129" s="128">
        <f t="shared" si="38"/>
        <v>1.3608579282407407</v>
      </c>
      <c r="L129" s="39" t="str">
        <f>INDEX(powers!$H$2:$H$75,33+J129)</f>
        <v>hyper</v>
      </c>
      <c r="M129" s="40" t="str">
        <f t="shared" si="64"/>
        <v>1</v>
      </c>
      <c r="N129" s="24">
        <f t="shared" si="40"/>
        <v>4.3302951388888884</v>
      </c>
      <c r="O129" s="41" t="str">
        <f t="shared" si="65"/>
        <v>4</v>
      </c>
      <c r="P129" s="24">
        <f t="shared" si="42"/>
        <v>3.9635416666666607</v>
      </c>
      <c r="Q129" s="41" t="str">
        <f t="shared" si="66"/>
        <v>3</v>
      </c>
      <c r="R129" s="24">
        <f t="shared" si="44"/>
        <v>11.562499999999929</v>
      </c>
      <c r="S129" s="41" t="str">
        <f t="shared" si="67"/>
        <v>E</v>
      </c>
      <c r="T129" s="24">
        <f t="shared" si="46"/>
        <v>6.7499999999991473</v>
      </c>
      <c r="U129" s="41" t="str">
        <f t="shared" si="68"/>
        <v>7</v>
      </c>
      <c r="V129" s="24">
        <f t="shared" si="48"/>
        <v>8.9999999999897682</v>
      </c>
      <c r="W129" s="41" t="str">
        <f t="shared" si="69"/>
        <v/>
      </c>
      <c r="X129" s="24">
        <f t="shared" si="50"/>
        <v>11.999999999877218</v>
      </c>
      <c r="Y129" s="41" t="str">
        <f t="shared" si="70"/>
        <v/>
      </c>
      <c r="Z129" s="24">
        <f t="shared" si="52"/>
        <v>11.999999998526619</v>
      </c>
      <c r="AA129" s="41" t="str">
        <f t="shared" si="71"/>
        <v/>
      </c>
      <c r="AB129" s="24">
        <f t="shared" si="54"/>
        <v>11.999999982319423</v>
      </c>
      <c r="AC129" s="41" t="str">
        <f t="shared" si="72"/>
        <v/>
      </c>
      <c r="AD129" s="24">
        <f t="shared" si="56"/>
        <v>11.999999787833076</v>
      </c>
      <c r="AE129" s="41" t="str">
        <f t="shared" si="73"/>
        <v/>
      </c>
      <c r="AF129" s="24">
        <f t="shared" si="58"/>
        <v>11.999997453996912</v>
      </c>
      <c r="AG129" s="41" t="str">
        <f t="shared" si="74"/>
        <v/>
      </c>
      <c r="AH129" s="24">
        <f t="shared" si="60"/>
        <v>11.99996944796294</v>
      </c>
      <c r="AI129" s="41" t="str">
        <f t="shared" si="75"/>
        <v/>
      </c>
      <c r="AJ129" s="24">
        <f t="shared" si="62"/>
        <v>11.999633375555277</v>
      </c>
      <c r="AK129" s="41" t="str">
        <f t="shared" si="76"/>
        <v/>
      </c>
    </row>
    <row r="130" spans="1:37" ht="13.5" customHeight="1" x14ac:dyDescent="0.2">
      <c r="A130" s="642"/>
      <c r="B130" s="636"/>
      <c r="C130" s="636"/>
      <c r="D130" s="636"/>
      <c r="E130" s="497" t="s">
        <v>520</v>
      </c>
      <c r="F130" s="140">
        <v>-781000</v>
      </c>
      <c r="G130" s="8">
        <v>3</v>
      </c>
      <c r="H130" s="21">
        <f t="shared" si="36"/>
        <v>12203.125</v>
      </c>
      <c r="I130" s="37" t="str">
        <f t="shared" si="37"/>
        <v>7;08E</v>
      </c>
      <c r="J130" s="38">
        <v>3</v>
      </c>
      <c r="K130" s="128">
        <f t="shared" si="38"/>
        <v>7.0619936342592595</v>
      </c>
      <c r="L130" s="39" t="str">
        <f>INDEX(powers!$H$2:$H$75,33+J130)</f>
        <v>doz gross</v>
      </c>
      <c r="M130" s="40" t="str">
        <f t="shared" si="64"/>
        <v>7</v>
      </c>
      <c r="N130" s="24">
        <f t="shared" si="40"/>
        <v>0.74392361111111427</v>
      </c>
      <c r="O130" s="41" t="str">
        <f t="shared" si="65"/>
        <v>0</v>
      </c>
      <c r="P130" s="24">
        <f t="shared" si="42"/>
        <v>8.9270833333333712</v>
      </c>
      <c r="Q130" s="41" t="str">
        <f t="shared" si="66"/>
        <v>8</v>
      </c>
      <c r="R130" s="24">
        <f t="shared" si="44"/>
        <v>11.125000000000455</v>
      </c>
      <c r="S130" s="41" t="str">
        <f t="shared" si="67"/>
        <v>E</v>
      </c>
      <c r="T130" s="24">
        <f t="shared" si="46"/>
        <v>1.500000000005457</v>
      </c>
      <c r="U130" s="41" t="str">
        <f t="shared" si="68"/>
        <v/>
      </c>
      <c r="V130" s="24">
        <f t="shared" si="48"/>
        <v>6.0000000000654836</v>
      </c>
      <c r="W130" s="41" t="str">
        <f t="shared" si="69"/>
        <v/>
      </c>
      <c r="X130" s="24">
        <f t="shared" si="50"/>
        <v>7.8580342233181E-10</v>
      </c>
      <c r="Y130" s="41" t="str">
        <f t="shared" si="70"/>
        <v/>
      </c>
      <c r="Z130" s="24">
        <f t="shared" si="52"/>
        <v>9.42964106798172E-9</v>
      </c>
      <c r="AA130" s="41" t="str">
        <f t="shared" si="71"/>
        <v/>
      </c>
      <c r="AB130" s="24">
        <f t="shared" si="54"/>
        <v>1.1315569281578064E-7</v>
      </c>
      <c r="AC130" s="41" t="str">
        <f t="shared" si="72"/>
        <v/>
      </c>
      <c r="AD130" s="24">
        <f t="shared" si="56"/>
        <v>1.3578683137893677E-6</v>
      </c>
      <c r="AE130" s="41" t="str">
        <f t="shared" si="73"/>
        <v/>
      </c>
      <c r="AF130" s="24">
        <f t="shared" si="58"/>
        <v>1.6294419765472412E-5</v>
      </c>
      <c r="AG130" s="41" t="str">
        <f t="shared" si="74"/>
        <v/>
      </c>
      <c r="AH130" s="24">
        <f t="shared" si="60"/>
        <v>1.9553303718566895E-4</v>
      </c>
      <c r="AI130" s="41" t="str">
        <f t="shared" si="75"/>
        <v/>
      </c>
      <c r="AJ130" s="24">
        <f t="shared" si="62"/>
        <v>2.3463964462280273E-3</v>
      </c>
      <c r="AK130" s="41" t="str">
        <f t="shared" si="76"/>
        <v/>
      </c>
    </row>
    <row r="131" spans="1:37" ht="13.5" customHeight="1" x14ac:dyDescent="0.2">
      <c r="A131" s="642"/>
      <c r="B131" s="636"/>
      <c r="C131" s="636"/>
      <c r="D131" s="637"/>
      <c r="E131" s="497" t="s">
        <v>521</v>
      </c>
      <c r="F131" s="140">
        <v>-126000</v>
      </c>
      <c r="G131" s="8">
        <v>3</v>
      </c>
      <c r="H131" s="21">
        <f t="shared" si="36"/>
        <v>1968.75</v>
      </c>
      <c r="I131" s="37" t="str">
        <f t="shared" si="37"/>
        <v>1;181</v>
      </c>
      <c r="J131" s="38">
        <v>3</v>
      </c>
      <c r="K131" s="128">
        <f t="shared" si="38"/>
        <v>1.1393229166666667</v>
      </c>
      <c r="L131" s="39" t="str">
        <f>INDEX(powers!$H$2:$H$75,33+J131)</f>
        <v>doz gross</v>
      </c>
      <c r="M131" s="40" t="str">
        <f t="shared" si="64"/>
        <v>1</v>
      </c>
      <c r="N131" s="24">
        <f t="shared" si="40"/>
        <v>1.6718750000000009</v>
      </c>
      <c r="O131" s="41" t="str">
        <f t="shared" si="65"/>
        <v>1</v>
      </c>
      <c r="P131" s="24">
        <f t="shared" si="42"/>
        <v>8.0625000000000107</v>
      </c>
      <c r="Q131" s="41" t="str">
        <f t="shared" si="66"/>
        <v>8</v>
      </c>
      <c r="R131" s="24">
        <f t="shared" si="44"/>
        <v>0.7500000000001279</v>
      </c>
      <c r="S131" s="41" t="str">
        <f t="shared" si="67"/>
        <v>1</v>
      </c>
      <c r="T131" s="24">
        <f t="shared" si="46"/>
        <v>9.0000000000015348</v>
      </c>
      <c r="U131" s="41" t="str">
        <f t="shared" si="68"/>
        <v/>
      </c>
      <c r="V131" s="24">
        <f t="shared" si="48"/>
        <v>1.8417267710901797E-11</v>
      </c>
      <c r="W131" s="41" t="str">
        <f t="shared" si="69"/>
        <v/>
      </c>
      <c r="X131" s="24">
        <f t="shared" si="50"/>
        <v>2.2100721253082156E-10</v>
      </c>
      <c r="Y131" s="41" t="str">
        <f t="shared" si="70"/>
        <v/>
      </c>
      <c r="Z131" s="24">
        <f t="shared" si="52"/>
        <v>2.6520865503698587E-9</v>
      </c>
      <c r="AA131" s="41" t="str">
        <f t="shared" si="71"/>
        <v/>
      </c>
      <c r="AB131" s="24">
        <f t="shared" si="54"/>
        <v>3.1825038604438305E-8</v>
      </c>
      <c r="AC131" s="41" t="str">
        <f t="shared" si="72"/>
        <v/>
      </c>
      <c r="AD131" s="24">
        <f t="shared" si="56"/>
        <v>3.8190046325325966E-7</v>
      </c>
      <c r="AE131" s="41" t="str">
        <f t="shared" si="73"/>
        <v/>
      </c>
      <c r="AF131" s="24">
        <f t="shared" si="58"/>
        <v>4.5828055590391159E-6</v>
      </c>
      <c r="AG131" s="41" t="str">
        <f t="shared" si="74"/>
        <v/>
      </c>
      <c r="AH131" s="24">
        <f t="shared" si="60"/>
        <v>5.4993666708469391E-5</v>
      </c>
      <c r="AI131" s="41" t="str">
        <f t="shared" si="75"/>
        <v/>
      </c>
      <c r="AJ131" s="24">
        <f t="shared" si="62"/>
        <v>6.5992400050163269E-4</v>
      </c>
      <c r="AK131" s="41" t="str">
        <f t="shared" si="76"/>
        <v/>
      </c>
    </row>
    <row r="132" spans="1:37" ht="14.25" customHeight="1" thickBot="1" x14ac:dyDescent="0.25">
      <c r="A132" s="644"/>
      <c r="B132" s="639"/>
      <c r="C132" s="639"/>
      <c r="D132" s="633" t="s">
        <v>522</v>
      </c>
      <c r="E132" s="634"/>
      <c r="F132" s="141">
        <v>-11700</v>
      </c>
      <c r="G132" s="33">
        <v>2</v>
      </c>
      <c r="H132" s="32">
        <f t="shared" si="36"/>
        <v>182.8125</v>
      </c>
      <c r="I132" s="47" t="str">
        <f t="shared" si="37"/>
        <v>1;33</v>
      </c>
      <c r="J132" s="48">
        <v>2</v>
      </c>
      <c r="K132" s="106">
        <f t="shared" si="38"/>
        <v>1.26953125</v>
      </c>
      <c r="L132" s="49" t="str">
        <f>INDEX(powers!$H$2:$H$75,33+J132)</f>
        <v>gross</v>
      </c>
      <c r="M132" s="40" t="str">
        <f t="shared" si="64"/>
        <v>1</v>
      </c>
      <c r="N132" s="24">
        <f t="shared" si="40"/>
        <v>3.234375</v>
      </c>
      <c r="O132" s="41" t="str">
        <f t="shared" si="65"/>
        <v>3</v>
      </c>
      <c r="P132" s="24">
        <f t="shared" si="42"/>
        <v>2.8125</v>
      </c>
      <c r="Q132" s="41" t="str">
        <f t="shared" si="66"/>
        <v>3</v>
      </c>
      <c r="R132" s="24">
        <f t="shared" si="44"/>
        <v>9.75</v>
      </c>
      <c r="S132" s="41" t="str">
        <f t="shared" si="67"/>
        <v/>
      </c>
      <c r="T132" s="24">
        <f t="shared" si="46"/>
        <v>9</v>
      </c>
      <c r="U132" s="41" t="str">
        <f t="shared" si="68"/>
        <v/>
      </c>
      <c r="V132" s="24">
        <f t="shared" si="48"/>
        <v>0</v>
      </c>
      <c r="W132" s="41" t="str">
        <f t="shared" si="69"/>
        <v/>
      </c>
      <c r="X132" s="24">
        <f t="shared" si="50"/>
        <v>0</v>
      </c>
      <c r="Y132" s="41" t="str">
        <f t="shared" si="70"/>
        <v/>
      </c>
      <c r="Z132" s="24">
        <f t="shared" si="52"/>
        <v>0</v>
      </c>
      <c r="AA132" s="41" t="str">
        <f t="shared" si="71"/>
        <v/>
      </c>
      <c r="AB132" s="24">
        <f t="shared" si="54"/>
        <v>0</v>
      </c>
      <c r="AC132" s="41" t="str">
        <f t="shared" si="72"/>
        <v/>
      </c>
      <c r="AD132" s="24">
        <f t="shared" si="56"/>
        <v>0</v>
      </c>
      <c r="AE132" s="41" t="str">
        <f t="shared" si="73"/>
        <v/>
      </c>
      <c r="AF132" s="24">
        <f t="shared" si="58"/>
        <v>0</v>
      </c>
      <c r="AG132" s="41" t="str">
        <f t="shared" si="74"/>
        <v/>
      </c>
      <c r="AH132" s="24">
        <f t="shared" si="60"/>
        <v>0</v>
      </c>
      <c r="AI132" s="41" t="str">
        <f t="shared" si="75"/>
        <v/>
      </c>
      <c r="AJ132" s="24">
        <f t="shared" si="62"/>
        <v>0</v>
      </c>
      <c r="AK132" s="41" t="str">
        <f t="shared" si="76"/>
        <v/>
      </c>
    </row>
    <row r="133" spans="1:37" ht="14.25" customHeight="1" x14ac:dyDescent="0.2">
      <c r="A133" s="247"/>
      <c r="B133" s="247"/>
      <c r="C133" s="247"/>
      <c r="D133" s="247"/>
      <c r="E133" s="498"/>
      <c r="F133" s="248"/>
      <c r="H133" s="193"/>
      <c r="I133" s="234"/>
      <c r="J133" s="235"/>
      <c r="K133" s="236"/>
      <c r="L133" s="236"/>
      <c r="M133" s="237"/>
      <c r="O133" s="237"/>
      <c r="Q133" s="237"/>
      <c r="S133" s="237"/>
      <c r="U133" s="237"/>
      <c r="W133" s="237"/>
      <c r="Y133" s="237"/>
      <c r="AA133" s="237"/>
      <c r="AC133" s="237"/>
      <c r="AE133" s="237"/>
      <c r="AG133" s="237"/>
      <c r="AI133" s="237"/>
      <c r="AK133" s="237"/>
    </row>
    <row r="134" spans="1:37" ht="12" thickBot="1" x14ac:dyDescent="0.25">
      <c r="F134" s="54" t="s">
        <v>642</v>
      </c>
    </row>
    <row r="135" spans="1:37" x14ac:dyDescent="0.2">
      <c r="D135" s="14" t="s">
        <v>644</v>
      </c>
      <c r="F135" s="245">
        <f t="shared" ref="F135:F166" si="77">F$187+(H135-H$187)*H$15</f>
        <v>-9676</v>
      </c>
      <c r="G135" s="143">
        <v>2</v>
      </c>
      <c r="H135" s="246">
        <v>1E-13</v>
      </c>
      <c r="I135" s="145" t="str">
        <f t="shared" ref="I135" si="78">M135&amp;";"&amp;O135&amp;Q135&amp;S135&amp;U135&amp;W135&amp;Y135&amp;AA135&amp;AC135&amp;AE135&amp;AG135&amp;AI135&amp;AK135</f>
        <v>0;00</v>
      </c>
      <c r="J135" s="146">
        <v>2</v>
      </c>
      <c r="K135" s="194">
        <f t="shared" ref="K135" si="79">H135/POWER(12,J135)</f>
        <v>6.944444444444445E-16</v>
      </c>
      <c r="L135" s="147" t="str">
        <f>INDEX(powers!$H$2:$H$75,33+J135)</f>
        <v>gross</v>
      </c>
      <c r="M135" s="40" t="str">
        <f t="shared" ref="M135" si="80">IF($G135&gt;=M$17,MID($J$17,IF($G135&gt;M$17,INT(K135),ROUND(K135,0))+1,1),"")</f>
        <v>0</v>
      </c>
      <c r="N135" s="24">
        <f t="shared" ref="N135" si="81">(K135-INT(K135))*12</f>
        <v>8.3333333333333336E-15</v>
      </c>
      <c r="O135" s="41" t="str">
        <f t="shared" ref="O135" si="82">IF($G135&gt;=O$17,MID($J$17,IF($G135&gt;O$17,INT(N135),ROUND(N135,0))+1,1),"")</f>
        <v>0</v>
      </c>
      <c r="P135" s="24">
        <f t="shared" ref="P135" si="83">(N135-INT(N135))*12</f>
        <v>1E-13</v>
      </c>
      <c r="Q135" s="41" t="str">
        <f t="shared" ref="Q135" si="84">IF($G135&gt;=Q$17,MID($J$17,IF($G135&gt;Q$17,INT(P135),ROUND(P135,0))+1,1),"")</f>
        <v>0</v>
      </c>
      <c r="R135" s="24">
        <f t="shared" ref="R135" si="85">(P135-INT(P135))*12</f>
        <v>1.2000000000000001E-12</v>
      </c>
      <c r="S135" s="41" t="str">
        <f t="shared" ref="S135" si="86">IF($G135&gt;=S$17,MID($J$17,IF($G135&gt;S$17,INT(R135),ROUND(R135,0))+1,1),"")</f>
        <v/>
      </c>
      <c r="T135" s="24">
        <f t="shared" ref="T135" si="87">(R135-INT(R135))*12</f>
        <v>1.4400000000000002E-11</v>
      </c>
      <c r="U135" s="41" t="str">
        <f t="shared" ref="U135" si="88">IF($G135&gt;=U$17,MID($J$17,IF($G135&gt;U$17,INT(T135),ROUND(T135,0))+1,1),"")</f>
        <v/>
      </c>
      <c r="V135" s="24">
        <f t="shared" ref="V135" si="89">(T135-INT(T135))*12</f>
        <v>1.7280000000000001E-10</v>
      </c>
      <c r="W135" s="41" t="str">
        <f t="shared" ref="W135" si="90">IF($G135&gt;=W$17,MID($J$17,IF($G135&gt;W$17,INT(V135),ROUND(V135,0))+1,1),"")</f>
        <v/>
      </c>
      <c r="X135" s="24">
        <f t="shared" ref="X135" si="91">(V135-INT(V135))*12</f>
        <v>2.0736E-9</v>
      </c>
      <c r="Y135" s="41" t="str">
        <f t="shared" ref="Y135" si="92">IF($G135&gt;=Y$17,MID($J$17,IF($G135&gt;Y$17,INT(X135),ROUND(X135,0))+1,1),"")</f>
        <v/>
      </c>
      <c r="Z135" s="24">
        <f t="shared" ref="Z135" si="93">(X135-INT(X135))*12</f>
        <v>2.4883199999999999E-8</v>
      </c>
      <c r="AA135" s="41" t="str">
        <f t="shared" ref="AA135" si="94">IF($G135&gt;=AA$17,MID($J$17,IF($G135&gt;AA$17,INT(Z135),ROUND(Z135,0))+1,1),"")</f>
        <v/>
      </c>
      <c r="AB135" s="24">
        <f t="shared" ref="AB135" si="95">(Z135-INT(Z135))*12</f>
        <v>2.9859840000000001E-7</v>
      </c>
      <c r="AC135" s="41" t="str">
        <f t="shared" ref="AC135" si="96">IF($G135&gt;=AC$17,MID($J$17,IF($G135&gt;AC$17,INT(AB135),ROUND(AB135,0))+1,1),"")</f>
        <v/>
      </c>
      <c r="AD135" s="24">
        <f t="shared" ref="AD135" si="97">(AB135-INT(AB135))*12</f>
        <v>3.5831808000000001E-6</v>
      </c>
      <c r="AE135" s="41" t="str">
        <f t="shared" ref="AE135" si="98">IF($G135&gt;=AE$17,MID($J$17,IF($G135&gt;AE$17,INT(AD135),ROUND(AD135,0))+1,1),"")</f>
        <v/>
      </c>
      <c r="AF135" s="24">
        <f t="shared" ref="AF135" si="99">(AD135-INT(AD135))*12</f>
        <v>4.2998169600000003E-5</v>
      </c>
      <c r="AG135" s="41" t="str">
        <f t="shared" ref="AG135" si="100">IF($G135&gt;=AG$17,MID($J$17,IF($G135&gt;AG$17,INT(AF135),ROUND(AF135,0))+1,1),"")</f>
        <v/>
      </c>
      <c r="AH135" s="24">
        <f t="shared" ref="AH135" si="101">(AF135-INT(AF135))*12</f>
        <v>5.1597803520000009E-4</v>
      </c>
      <c r="AI135" s="41" t="str">
        <f t="shared" ref="AI135" si="102">IF($G135&gt;=AI$17,MID($J$17,IF($G135&gt;AI$17,INT(AH135),ROUND(AH135,0))+1,1),"")</f>
        <v/>
      </c>
      <c r="AJ135" s="24">
        <f t="shared" ref="AJ135" si="103">(AH135-INT(AH135))*12</f>
        <v>6.191736422400001E-3</v>
      </c>
      <c r="AK135" s="41" t="str">
        <f t="shared" ref="AK135" si="104">IF($G135&gt;=AK$17,MID($J$17,IF($G135&gt;AK$17,INT(AJ135),ROUND(AJ135,0))+1,1),"")</f>
        <v/>
      </c>
    </row>
    <row r="136" spans="1:37" x14ac:dyDescent="0.2">
      <c r="F136" s="91">
        <f t="shared" si="77"/>
        <v>-8908</v>
      </c>
      <c r="G136" s="8">
        <v>2</v>
      </c>
      <c r="H136" s="8">
        <f>H135+12</f>
        <v>12.000000000000099</v>
      </c>
      <c r="I136" s="37" t="str">
        <f t="shared" ref="I136:I147" si="105">M136&amp;";"&amp;O136&amp;Q136&amp;S136&amp;U136&amp;W136&amp;Y136&amp;AA136&amp;AC136&amp;AE136&amp;AG136&amp;AI136&amp;AK136</f>
        <v>0;10</v>
      </c>
      <c r="J136" s="38">
        <v>2</v>
      </c>
      <c r="K136" s="128">
        <f t="shared" ref="K136:K147" si="106">H136/POWER(12,J136)</f>
        <v>8.3333333333334023E-2</v>
      </c>
      <c r="L136" s="39" t="str">
        <f>INDEX(powers!$H$2:$H$75,33+J136)</f>
        <v>gross</v>
      </c>
      <c r="M136" s="40" t="str">
        <f t="shared" ref="M136:M147" si="107">IF($G136&gt;=M$17,MID($J$17,IF($G136&gt;M$17,INT(K136),ROUND(K136,0))+1,1),"")</f>
        <v>0</v>
      </c>
      <c r="N136" s="24">
        <f t="shared" ref="N136:N147" si="108">(K136-INT(K136))*12</f>
        <v>1.0000000000000082</v>
      </c>
      <c r="O136" s="41" t="str">
        <f t="shared" ref="O136:O147" si="109">IF($G136&gt;=O$17,MID($J$17,IF($G136&gt;O$17,INT(N136),ROUND(N136,0))+1,1),"")</f>
        <v>1</v>
      </c>
      <c r="P136" s="24">
        <f t="shared" ref="P136:P147" si="110">(N136-INT(N136))*12</f>
        <v>9.8587804586713901E-14</v>
      </c>
      <c r="Q136" s="41" t="str">
        <f t="shared" ref="Q136:Q147" si="111">IF($G136&gt;=Q$17,MID($J$17,IF($G136&gt;Q$17,INT(P136),ROUND(P136,0))+1,1),"")</f>
        <v>0</v>
      </c>
      <c r="R136" s="24">
        <f t="shared" ref="R136:R147" si="112">(P136-INT(P136))*12</f>
        <v>1.1830536550405668E-12</v>
      </c>
      <c r="S136" s="41" t="str">
        <f t="shared" ref="S136:S147" si="113">IF($G136&gt;=S$17,MID($J$17,IF($G136&gt;S$17,INT(R136),ROUND(R136,0))+1,1),"")</f>
        <v/>
      </c>
      <c r="T136" s="24">
        <f t="shared" ref="T136:T147" si="114">(R136-INT(R136))*12</f>
        <v>1.4196643860486802E-11</v>
      </c>
      <c r="U136" s="41" t="str">
        <f t="shared" ref="U136:U147" si="115">IF($G136&gt;=U$17,MID($J$17,IF($G136&gt;U$17,INT(T136),ROUND(T136,0))+1,1),"")</f>
        <v/>
      </c>
      <c r="V136" s="24">
        <f t="shared" ref="V136:V147" si="116">(T136-INT(T136))*12</f>
        <v>1.7035972632584162E-10</v>
      </c>
      <c r="W136" s="41" t="str">
        <f t="shared" ref="W136:W147" si="117">IF($G136&gt;=W$17,MID($J$17,IF($G136&gt;W$17,INT(V136),ROUND(V136,0))+1,1),"")</f>
        <v/>
      </c>
      <c r="X136" s="24">
        <f t="shared" ref="X136:X147" si="118">(V136-INT(V136))*12</f>
        <v>2.0443167159100994E-9</v>
      </c>
      <c r="Y136" s="41" t="str">
        <f t="shared" ref="Y136:Y147" si="119">IF($G136&gt;=Y$17,MID($J$17,IF($G136&gt;Y$17,INT(X136),ROUND(X136,0))+1,1),"")</f>
        <v/>
      </c>
      <c r="Z136" s="24">
        <f t="shared" ref="Z136:Z147" si="120">(X136-INT(X136))*12</f>
        <v>2.4531800590921193E-8</v>
      </c>
      <c r="AA136" s="41" t="str">
        <f t="shared" ref="AA136:AA147" si="121">IF($G136&gt;=AA$17,MID($J$17,IF($G136&gt;AA$17,INT(Z136),ROUND(Z136,0))+1,1),"")</f>
        <v/>
      </c>
      <c r="AB136" s="24">
        <f t="shared" ref="AB136:AB147" si="122">(Z136-INT(Z136))*12</f>
        <v>2.9438160709105432E-7</v>
      </c>
      <c r="AC136" s="41" t="str">
        <f t="shared" ref="AC136:AC147" si="123">IF($G136&gt;=AC$17,MID($J$17,IF($G136&gt;AC$17,INT(AB136),ROUND(AB136,0))+1,1),"")</f>
        <v/>
      </c>
      <c r="AD136" s="24">
        <f t="shared" ref="AD136:AD147" si="124">(AB136-INT(AB136))*12</f>
        <v>3.5325792850926518E-6</v>
      </c>
      <c r="AE136" s="41" t="str">
        <f t="shared" ref="AE136:AE147" si="125">IF($G136&gt;=AE$17,MID($J$17,IF($G136&gt;AE$17,INT(AD136),ROUND(AD136,0))+1,1),"")</f>
        <v/>
      </c>
      <c r="AF136" s="24">
        <f t="shared" ref="AF136:AF147" si="126">(AD136-INT(AD136))*12</f>
        <v>4.2390951421111822E-5</v>
      </c>
      <c r="AG136" s="41" t="str">
        <f t="shared" ref="AG136:AG147" si="127">IF($G136&gt;=AG$17,MID($J$17,IF($G136&gt;AG$17,INT(AF136),ROUND(AF136,0))+1,1),"")</f>
        <v/>
      </c>
      <c r="AH136" s="24">
        <f t="shared" ref="AH136:AH147" si="128">(AF136-INT(AF136))*12</f>
        <v>5.0869141705334187E-4</v>
      </c>
      <c r="AI136" s="41" t="str">
        <f t="shared" ref="AI136:AI147" si="129">IF($G136&gt;=AI$17,MID($J$17,IF($G136&gt;AI$17,INT(AH136),ROUND(AH136,0))+1,1),"")</f>
        <v/>
      </c>
      <c r="AJ136" s="24">
        <f t="shared" ref="AJ136:AJ147" si="130">(AH136-INT(AH136))*12</f>
        <v>6.1042970046401024E-3</v>
      </c>
      <c r="AK136" s="41" t="str">
        <f t="shared" ref="AK136:AK147" si="131">IF($G136&gt;=AK$17,MID($J$17,IF($G136&gt;AK$17,INT(AJ136),ROUND(AJ136,0))+1,1),"")</f>
        <v/>
      </c>
    </row>
    <row r="137" spans="1:37" x14ac:dyDescent="0.2">
      <c r="F137" s="91">
        <f t="shared" si="77"/>
        <v>-8140</v>
      </c>
      <c r="G137" s="8">
        <v>2</v>
      </c>
      <c r="H137" s="8">
        <f>H136+12</f>
        <v>24.000000000000099</v>
      </c>
      <c r="I137" s="37" t="str">
        <f t="shared" si="105"/>
        <v>0;20</v>
      </c>
      <c r="J137" s="38">
        <v>2</v>
      </c>
      <c r="K137" s="128">
        <f t="shared" si="106"/>
        <v>0.16666666666666735</v>
      </c>
      <c r="L137" s="39" t="str">
        <f>INDEX(powers!$H$2:$H$75,33+J137)</f>
        <v>gross</v>
      </c>
      <c r="M137" s="40" t="str">
        <f t="shared" si="107"/>
        <v>0</v>
      </c>
      <c r="N137" s="24">
        <f t="shared" si="108"/>
        <v>2.000000000000008</v>
      </c>
      <c r="O137" s="41" t="str">
        <f t="shared" si="109"/>
        <v>2</v>
      </c>
      <c r="P137" s="24">
        <f t="shared" si="110"/>
        <v>9.5923269327613525E-14</v>
      </c>
      <c r="Q137" s="41" t="str">
        <f t="shared" si="111"/>
        <v>0</v>
      </c>
      <c r="R137" s="24">
        <f t="shared" si="112"/>
        <v>1.1510792319313623E-12</v>
      </c>
      <c r="S137" s="41" t="str">
        <f t="shared" si="113"/>
        <v/>
      </c>
      <c r="T137" s="24">
        <f t="shared" si="114"/>
        <v>1.3812950783176348E-11</v>
      </c>
      <c r="U137" s="41" t="str">
        <f t="shared" si="115"/>
        <v/>
      </c>
      <c r="V137" s="24">
        <f t="shared" si="116"/>
        <v>1.6575540939811617E-10</v>
      </c>
      <c r="W137" s="41" t="str">
        <f t="shared" si="117"/>
        <v/>
      </c>
      <c r="X137" s="24">
        <f t="shared" si="118"/>
        <v>1.9890649127773941E-9</v>
      </c>
      <c r="Y137" s="41" t="str">
        <f t="shared" si="119"/>
        <v/>
      </c>
      <c r="Z137" s="24">
        <f t="shared" si="120"/>
        <v>2.3868778953328729E-8</v>
      </c>
      <c r="AA137" s="41" t="str">
        <f t="shared" si="121"/>
        <v/>
      </c>
      <c r="AB137" s="24">
        <f t="shared" si="122"/>
        <v>2.8642534743994474E-7</v>
      </c>
      <c r="AC137" s="41" t="str">
        <f t="shared" si="123"/>
        <v/>
      </c>
      <c r="AD137" s="24">
        <f t="shared" si="124"/>
        <v>3.4371041692793369E-6</v>
      </c>
      <c r="AE137" s="41" t="str">
        <f t="shared" si="125"/>
        <v/>
      </c>
      <c r="AF137" s="24">
        <f t="shared" si="126"/>
        <v>4.1245250031352043E-5</v>
      </c>
      <c r="AG137" s="41" t="str">
        <f t="shared" si="127"/>
        <v/>
      </c>
      <c r="AH137" s="24">
        <f t="shared" si="128"/>
        <v>4.9494300037622452E-4</v>
      </c>
      <c r="AI137" s="41" t="str">
        <f t="shared" si="129"/>
        <v/>
      </c>
      <c r="AJ137" s="24">
        <f t="shared" si="130"/>
        <v>5.9393160045146942E-3</v>
      </c>
      <c r="AK137" s="41" t="str">
        <f t="shared" si="131"/>
        <v/>
      </c>
    </row>
    <row r="138" spans="1:37" x14ac:dyDescent="0.2">
      <c r="F138" s="91">
        <f t="shared" si="77"/>
        <v>-7372</v>
      </c>
      <c r="G138" s="8">
        <v>2</v>
      </c>
      <c r="H138" s="8">
        <f t="shared" ref="H138:H147" si="132">H137+12</f>
        <v>36.000000000000099</v>
      </c>
      <c r="I138" s="37" t="str">
        <f t="shared" si="105"/>
        <v>0;30</v>
      </c>
      <c r="J138" s="38">
        <v>2</v>
      </c>
      <c r="K138" s="128">
        <f t="shared" si="106"/>
        <v>0.25000000000000067</v>
      </c>
      <c r="L138" s="39" t="str">
        <f>INDEX(powers!$H$2:$H$75,33+J138)</f>
        <v>gross</v>
      </c>
      <c r="M138" s="40" t="str">
        <f t="shared" si="107"/>
        <v>0</v>
      </c>
      <c r="N138" s="24">
        <f t="shared" si="108"/>
        <v>3.000000000000008</v>
      </c>
      <c r="O138" s="41" t="str">
        <f t="shared" si="109"/>
        <v>3</v>
      </c>
      <c r="P138" s="24">
        <f t="shared" si="110"/>
        <v>9.5923269327613525E-14</v>
      </c>
      <c r="Q138" s="41" t="str">
        <f t="shared" si="111"/>
        <v>0</v>
      </c>
      <c r="R138" s="24">
        <f t="shared" si="112"/>
        <v>1.1510792319313623E-12</v>
      </c>
      <c r="S138" s="41" t="str">
        <f t="shared" si="113"/>
        <v/>
      </c>
      <c r="T138" s="24">
        <f t="shared" si="114"/>
        <v>1.3812950783176348E-11</v>
      </c>
      <c r="U138" s="41" t="str">
        <f t="shared" si="115"/>
        <v/>
      </c>
      <c r="V138" s="24">
        <f t="shared" si="116"/>
        <v>1.6575540939811617E-10</v>
      </c>
      <c r="W138" s="41" t="str">
        <f t="shared" si="117"/>
        <v/>
      </c>
      <c r="X138" s="24">
        <f t="shared" si="118"/>
        <v>1.9890649127773941E-9</v>
      </c>
      <c r="Y138" s="41" t="str">
        <f t="shared" si="119"/>
        <v/>
      </c>
      <c r="Z138" s="24">
        <f t="shared" si="120"/>
        <v>2.3868778953328729E-8</v>
      </c>
      <c r="AA138" s="41" t="str">
        <f t="shared" si="121"/>
        <v/>
      </c>
      <c r="AB138" s="24">
        <f t="shared" si="122"/>
        <v>2.8642534743994474E-7</v>
      </c>
      <c r="AC138" s="41" t="str">
        <f t="shared" si="123"/>
        <v/>
      </c>
      <c r="AD138" s="24">
        <f t="shared" si="124"/>
        <v>3.4371041692793369E-6</v>
      </c>
      <c r="AE138" s="41" t="str">
        <f t="shared" si="125"/>
        <v/>
      </c>
      <c r="AF138" s="24">
        <f t="shared" si="126"/>
        <v>4.1245250031352043E-5</v>
      </c>
      <c r="AG138" s="41" t="str">
        <f t="shared" si="127"/>
        <v/>
      </c>
      <c r="AH138" s="24">
        <f t="shared" si="128"/>
        <v>4.9494300037622452E-4</v>
      </c>
      <c r="AI138" s="41" t="str">
        <f t="shared" si="129"/>
        <v/>
      </c>
      <c r="AJ138" s="24">
        <f t="shared" si="130"/>
        <v>5.9393160045146942E-3</v>
      </c>
      <c r="AK138" s="41" t="str">
        <f t="shared" si="131"/>
        <v/>
      </c>
    </row>
    <row r="139" spans="1:37" x14ac:dyDescent="0.2">
      <c r="F139" s="91">
        <f t="shared" si="77"/>
        <v>-6604</v>
      </c>
      <c r="G139" s="8">
        <v>2</v>
      </c>
      <c r="H139" s="8">
        <f t="shared" si="132"/>
        <v>48.000000000000099</v>
      </c>
      <c r="I139" s="37" t="str">
        <f t="shared" si="105"/>
        <v>0;40</v>
      </c>
      <c r="J139" s="38">
        <v>2</v>
      </c>
      <c r="K139" s="128">
        <f t="shared" si="106"/>
        <v>0.33333333333333404</v>
      </c>
      <c r="L139" s="39" t="str">
        <f>INDEX(powers!$H$2:$H$75,33+J139)</f>
        <v>gross</v>
      </c>
      <c r="M139" s="40" t="str">
        <f t="shared" si="107"/>
        <v>0</v>
      </c>
      <c r="N139" s="24">
        <f t="shared" si="108"/>
        <v>4.0000000000000089</v>
      </c>
      <c r="O139" s="41" t="str">
        <f t="shared" si="109"/>
        <v>4</v>
      </c>
      <c r="P139" s="24">
        <f t="shared" si="110"/>
        <v>1.0658141036401503E-13</v>
      </c>
      <c r="Q139" s="41" t="str">
        <f t="shared" si="111"/>
        <v>0</v>
      </c>
      <c r="R139" s="24">
        <f t="shared" si="112"/>
        <v>1.2789769243681803E-12</v>
      </c>
      <c r="S139" s="41" t="str">
        <f t="shared" si="113"/>
        <v/>
      </c>
      <c r="T139" s="24">
        <f t="shared" si="114"/>
        <v>1.5347723092418164E-11</v>
      </c>
      <c r="U139" s="41" t="str">
        <f t="shared" si="115"/>
        <v/>
      </c>
      <c r="V139" s="24">
        <f t="shared" si="116"/>
        <v>1.8417267710901797E-10</v>
      </c>
      <c r="W139" s="41" t="str">
        <f t="shared" si="117"/>
        <v/>
      </c>
      <c r="X139" s="24">
        <f t="shared" si="118"/>
        <v>2.2100721253082156E-9</v>
      </c>
      <c r="Y139" s="41" t="str">
        <f t="shared" si="119"/>
        <v/>
      </c>
      <c r="Z139" s="24">
        <f t="shared" si="120"/>
        <v>2.6520865503698587E-8</v>
      </c>
      <c r="AA139" s="41" t="str">
        <f t="shared" si="121"/>
        <v/>
      </c>
      <c r="AB139" s="24">
        <f t="shared" si="122"/>
        <v>3.1825038604438305E-7</v>
      </c>
      <c r="AC139" s="41" t="str">
        <f t="shared" si="123"/>
        <v/>
      </c>
      <c r="AD139" s="24">
        <f t="shared" si="124"/>
        <v>3.8190046325325966E-6</v>
      </c>
      <c r="AE139" s="41" t="str">
        <f t="shared" si="125"/>
        <v/>
      </c>
      <c r="AF139" s="24">
        <f t="shared" si="126"/>
        <v>4.5828055590391159E-5</v>
      </c>
      <c r="AG139" s="41" t="str">
        <f t="shared" si="127"/>
        <v/>
      </c>
      <c r="AH139" s="24">
        <f t="shared" si="128"/>
        <v>5.4993666708469391E-4</v>
      </c>
      <c r="AI139" s="41" t="str">
        <f t="shared" si="129"/>
        <v/>
      </c>
      <c r="AJ139" s="24">
        <f t="shared" si="130"/>
        <v>6.5992400050163269E-3</v>
      </c>
      <c r="AK139" s="41" t="str">
        <f t="shared" si="131"/>
        <v/>
      </c>
    </row>
    <row r="140" spans="1:37" x14ac:dyDescent="0.2">
      <c r="F140" s="91">
        <f t="shared" si="77"/>
        <v>-5836.0000000000009</v>
      </c>
      <c r="G140" s="8">
        <v>2</v>
      </c>
      <c r="H140" s="8">
        <f t="shared" si="132"/>
        <v>60.000000000000099</v>
      </c>
      <c r="I140" s="37" t="str">
        <f t="shared" si="105"/>
        <v>0;50</v>
      </c>
      <c r="J140" s="38">
        <v>2</v>
      </c>
      <c r="K140" s="128">
        <f t="shared" si="106"/>
        <v>0.41666666666666735</v>
      </c>
      <c r="L140" s="39" t="str">
        <f>INDEX(powers!$H$2:$H$75,33+J140)</f>
        <v>gross</v>
      </c>
      <c r="M140" s="40" t="str">
        <f t="shared" si="107"/>
        <v>0</v>
      </c>
      <c r="N140" s="24">
        <f t="shared" si="108"/>
        <v>5.000000000000008</v>
      </c>
      <c r="O140" s="41" t="str">
        <f t="shared" si="109"/>
        <v>5</v>
      </c>
      <c r="P140" s="24">
        <f t="shared" si="110"/>
        <v>9.5923269327613525E-14</v>
      </c>
      <c r="Q140" s="41" t="str">
        <f t="shared" si="111"/>
        <v>0</v>
      </c>
      <c r="R140" s="24">
        <f t="shared" si="112"/>
        <v>1.1510792319313623E-12</v>
      </c>
      <c r="S140" s="41" t="str">
        <f t="shared" si="113"/>
        <v/>
      </c>
      <c r="T140" s="24">
        <f t="shared" si="114"/>
        <v>1.3812950783176348E-11</v>
      </c>
      <c r="U140" s="41" t="str">
        <f t="shared" si="115"/>
        <v/>
      </c>
      <c r="V140" s="24">
        <f t="shared" si="116"/>
        <v>1.6575540939811617E-10</v>
      </c>
      <c r="W140" s="41" t="str">
        <f t="shared" si="117"/>
        <v/>
      </c>
      <c r="X140" s="24">
        <f t="shared" si="118"/>
        <v>1.9890649127773941E-9</v>
      </c>
      <c r="Y140" s="41" t="str">
        <f t="shared" si="119"/>
        <v/>
      </c>
      <c r="Z140" s="24">
        <f t="shared" si="120"/>
        <v>2.3868778953328729E-8</v>
      </c>
      <c r="AA140" s="41" t="str">
        <f t="shared" si="121"/>
        <v/>
      </c>
      <c r="AB140" s="24">
        <f t="shared" si="122"/>
        <v>2.8642534743994474E-7</v>
      </c>
      <c r="AC140" s="41" t="str">
        <f t="shared" si="123"/>
        <v/>
      </c>
      <c r="AD140" s="24">
        <f t="shared" si="124"/>
        <v>3.4371041692793369E-6</v>
      </c>
      <c r="AE140" s="41" t="str">
        <f t="shared" si="125"/>
        <v/>
      </c>
      <c r="AF140" s="24">
        <f t="shared" si="126"/>
        <v>4.1245250031352043E-5</v>
      </c>
      <c r="AG140" s="41" t="str">
        <f t="shared" si="127"/>
        <v/>
      </c>
      <c r="AH140" s="24">
        <f t="shared" si="128"/>
        <v>4.9494300037622452E-4</v>
      </c>
      <c r="AI140" s="41" t="str">
        <f t="shared" si="129"/>
        <v/>
      </c>
      <c r="AJ140" s="24">
        <f t="shared" si="130"/>
        <v>5.9393160045146942E-3</v>
      </c>
      <c r="AK140" s="41" t="str">
        <f t="shared" si="131"/>
        <v/>
      </c>
    </row>
    <row r="141" spans="1:37" x14ac:dyDescent="0.2">
      <c r="F141" s="91">
        <f t="shared" si="77"/>
        <v>-5068.0000000000009</v>
      </c>
      <c r="G141" s="8">
        <v>2</v>
      </c>
      <c r="H141" s="8">
        <f t="shared" si="132"/>
        <v>72.000000000000099</v>
      </c>
      <c r="I141" s="37" t="str">
        <f t="shared" si="105"/>
        <v>0;60</v>
      </c>
      <c r="J141" s="38">
        <v>2</v>
      </c>
      <c r="K141" s="128">
        <f t="shared" si="106"/>
        <v>0.50000000000000067</v>
      </c>
      <c r="L141" s="39" t="str">
        <f>INDEX(powers!$H$2:$H$75,33+J141)</f>
        <v>gross</v>
      </c>
      <c r="M141" s="40" t="str">
        <f t="shared" si="107"/>
        <v>0</v>
      </c>
      <c r="N141" s="24">
        <f t="shared" si="108"/>
        <v>6.000000000000008</v>
      </c>
      <c r="O141" s="41" t="str">
        <f t="shared" si="109"/>
        <v>6</v>
      </c>
      <c r="P141" s="24">
        <f t="shared" si="110"/>
        <v>9.5923269327613525E-14</v>
      </c>
      <c r="Q141" s="41" t="str">
        <f t="shared" si="111"/>
        <v>0</v>
      </c>
      <c r="R141" s="24">
        <f t="shared" si="112"/>
        <v>1.1510792319313623E-12</v>
      </c>
      <c r="S141" s="41" t="str">
        <f t="shared" si="113"/>
        <v/>
      </c>
      <c r="T141" s="24">
        <f t="shared" si="114"/>
        <v>1.3812950783176348E-11</v>
      </c>
      <c r="U141" s="41" t="str">
        <f t="shared" si="115"/>
        <v/>
      </c>
      <c r="V141" s="24">
        <f t="shared" si="116"/>
        <v>1.6575540939811617E-10</v>
      </c>
      <c r="W141" s="41" t="str">
        <f t="shared" si="117"/>
        <v/>
      </c>
      <c r="X141" s="24">
        <f t="shared" si="118"/>
        <v>1.9890649127773941E-9</v>
      </c>
      <c r="Y141" s="41" t="str">
        <f t="shared" si="119"/>
        <v/>
      </c>
      <c r="Z141" s="24">
        <f t="shared" si="120"/>
        <v>2.3868778953328729E-8</v>
      </c>
      <c r="AA141" s="41" t="str">
        <f t="shared" si="121"/>
        <v/>
      </c>
      <c r="AB141" s="24">
        <f t="shared" si="122"/>
        <v>2.8642534743994474E-7</v>
      </c>
      <c r="AC141" s="41" t="str">
        <f t="shared" si="123"/>
        <v/>
      </c>
      <c r="AD141" s="24">
        <f t="shared" si="124"/>
        <v>3.4371041692793369E-6</v>
      </c>
      <c r="AE141" s="41" t="str">
        <f t="shared" si="125"/>
        <v/>
      </c>
      <c r="AF141" s="24">
        <f t="shared" si="126"/>
        <v>4.1245250031352043E-5</v>
      </c>
      <c r="AG141" s="41" t="str">
        <f t="shared" si="127"/>
        <v/>
      </c>
      <c r="AH141" s="24">
        <f t="shared" si="128"/>
        <v>4.9494300037622452E-4</v>
      </c>
      <c r="AI141" s="41" t="str">
        <f t="shared" si="129"/>
        <v/>
      </c>
      <c r="AJ141" s="24">
        <f t="shared" si="130"/>
        <v>5.9393160045146942E-3</v>
      </c>
      <c r="AK141" s="41" t="str">
        <f t="shared" si="131"/>
        <v/>
      </c>
    </row>
    <row r="142" spans="1:37" x14ac:dyDescent="0.2">
      <c r="F142" s="91">
        <f t="shared" si="77"/>
        <v>-4300.0000000000009</v>
      </c>
      <c r="G142" s="8">
        <v>2</v>
      </c>
      <c r="H142" s="8">
        <f t="shared" si="132"/>
        <v>84.000000000000099</v>
      </c>
      <c r="I142" s="37" t="str">
        <f t="shared" si="105"/>
        <v>0;70</v>
      </c>
      <c r="J142" s="38">
        <v>2</v>
      </c>
      <c r="K142" s="128">
        <f t="shared" si="106"/>
        <v>0.58333333333333404</v>
      </c>
      <c r="L142" s="39" t="str">
        <f>INDEX(powers!$H$2:$H$75,33+J142)</f>
        <v>gross</v>
      </c>
      <c r="M142" s="40" t="str">
        <f t="shared" si="107"/>
        <v>0</v>
      </c>
      <c r="N142" s="24">
        <f t="shared" si="108"/>
        <v>7.0000000000000089</v>
      </c>
      <c r="O142" s="41" t="str">
        <f t="shared" si="109"/>
        <v>7</v>
      </c>
      <c r="P142" s="24">
        <f t="shared" si="110"/>
        <v>1.0658141036401503E-13</v>
      </c>
      <c r="Q142" s="41" t="str">
        <f t="shared" si="111"/>
        <v>0</v>
      </c>
      <c r="R142" s="24">
        <f t="shared" si="112"/>
        <v>1.2789769243681803E-12</v>
      </c>
      <c r="S142" s="41" t="str">
        <f t="shared" si="113"/>
        <v/>
      </c>
      <c r="T142" s="24">
        <f t="shared" si="114"/>
        <v>1.5347723092418164E-11</v>
      </c>
      <c r="U142" s="41" t="str">
        <f t="shared" si="115"/>
        <v/>
      </c>
      <c r="V142" s="24">
        <f t="shared" si="116"/>
        <v>1.8417267710901797E-10</v>
      </c>
      <c r="W142" s="41" t="str">
        <f t="shared" si="117"/>
        <v/>
      </c>
      <c r="X142" s="24">
        <f t="shared" si="118"/>
        <v>2.2100721253082156E-9</v>
      </c>
      <c r="Y142" s="41" t="str">
        <f t="shared" si="119"/>
        <v/>
      </c>
      <c r="Z142" s="24">
        <f t="shared" si="120"/>
        <v>2.6520865503698587E-8</v>
      </c>
      <c r="AA142" s="41" t="str">
        <f t="shared" si="121"/>
        <v/>
      </c>
      <c r="AB142" s="24">
        <f t="shared" si="122"/>
        <v>3.1825038604438305E-7</v>
      </c>
      <c r="AC142" s="41" t="str">
        <f t="shared" si="123"/>
        <v/>
      </c>
      <c r="AD142" s="24">
        <f t="shared" si="124"/>
        <v>3.8190046325325966E-6</v>
      </c>
      <c r="AE142" s="41" t="str">
        <f t="shared" si="125"/>
        <v/>
      </c>
      <c r="AF142" s="24">
        <f t="shared" si="126"/>
        <v>4.5828055590391159E-5</v>
      </c>
      <c r="AG142" s="41" t="str">
        <f t="shared" si="127"/>
        <v/>
      </c>
      <c r="AH142" s="24">
        <f t="shared" si="128"/>
        <v>5.4993666708469391E-4</v>
      </c>
      <c r="AI142" s="41" t="str">
        <f t="shared" si="129"/>
        <v/>
      </c>
      <c r="AJ142" s="24">
        <f t="shared" si="130"/>
        <v>6.5992400050163269E-3</v>
      </c>
      <c r="AK142" s="41" t="str">
        <f t="shared" si="131"/>
        <v/>
      </c>
    </row>
    <row r="143" spans="1:37" x14ac:dyDescent="0.2">
      <c r="F143" s="91">
        <f t="shared" si="77"/>
        <v>-3532.0000000000009</v>
      </c>
      <c r="G143" s="8">
        <v>2</v>
      </c>
      <c r="H143" s="8">
        <f t="shared" si="132"/>
        <v>96.000000000000099</v>
      </c>
      <c r="I143" s="37" t="str">
        <f t="shared" si="105"/>
        <v>0;80</v>
      </c>
      <c r="J143" s="38">
        <v>2</v>
      </c>
      <c r="K143" s="128">
        <f t="shared" si="106"/>
        <v>0.66666666666666741</v>
      </c>
      <c r="L143" s="39" t="str">
        <f>INDEX(powers!$H$2:$H$75,33+J143)</f>
        <v>gross</v>
      </c>
      <c r="M143" s="40" t="str">
        <f t="shared" si="107"/>
        <v>0</v>
      </c>
      <c r="N143" s="24">
        <f t="shared" si="108"/>
        <v>8.0000000000000089</v>
      </c>
      <c r="O143" s="41" t="str">
        <f t="shared" si="109"/>
        <v>8</v>
      </c>
      <c r="P143" s="24">
        <f t="shared" si="110"/>
        <v>1.0658141036401503E-13</v>
      </c>
      <c r="Q143" s="41" t="str">
        <f t="shared" si="111"/>
        <v>0</v>
      </c>
      <c r="R143" s="24">
        <f t="shared" si="112"/>
        <v>1.2789769243681803E-12</v>
      </c>
      <c r="S143" s="41" t="str">
        <f t="shared" si="113"/>
        <v/>
      </c>
      <c r="T143" s="24">
        <f t="shared" si="114"/>
        <v>1.5347723092418164E-11</v>
      </c>
      <c r="U143" s="41" t="str">
        <f t="shared" si="115"/>
        <v/>
      </c>
      <c r="V143" s="24">
        <f t="shared" si="116"/>
        <v>1.8417267710901797E-10</v>
      </c>
      <c r="W143" s="41" t="str">
        <f t="shared" si="117"/>
        <v/>
      </c>
      <c r="X143" s="24">
        <f t="shared" si="118"/>
        <v>2.2100721253082156E-9</v>
      </c>
      <c r="Y143" s="41" t="str">
        <f t="shared" si="119"/>
        <v/>
      </c>
      <c r="Z143" s="24">
        <f t="shared" si="120"/>
        <v>2.6520865503698587E-8</v>
      </c>
      <c r="AA143" s="41" t="str">
        <f t="shared" si="121"/>
        <v/>
      </c>
      <c r="AB143" s="24">
        <f t="shared" si="122"/>
        <v>3.1825038604438305E-7</v>
      </c>
      <c r="AC143" s="41" t="str">
        <f t="shared" si="123"/>
        <v/>
      </c>
      <c r="AD143" s="24">
        <f t="shared" si="124"/>
        <v>3.8190046325325966E-6</v>
      </c>
      <c r="AE143" s="41" t="str">
        <f t="shared" si="125"/>
        <v/>
      </c>
      <c r="AF143" s="24">
        <f t="shared" si="126"/>
        <v>4.5828055590391159E-5</v>
      </c>
      <c r="AG143" s="41" t="str">
        <f t="shared" si="127"/>
        <v/>
      </c>
      <c r="AH143" s="24">
        <f t="shared" si="128"/>
        <v>5.4993666708469391E-4</v>
      </c>
      <c r="AI143" s="41" t="str">
        <f t="shared" si="129"/>
        <v/>
      </c>
      <c r="AJ143" s="24">
        <f t="shared" si="130"/>
        <v>6.5992400050163269E-3</v>
      </c>
      <c r="AK143" s="41" t="str">
        <f t="shared" si="131"/>
        <v/>
      </c>
    </row>
    <row r="144" spans="1:37" x14ac:dyDescent="0.2">
      <c r="F144" s="91">
        <f t="shared" si="77"/>
        <v>-2764.0000000000009</v>
      </c>
      <c r="G144" s="8">
        <v>2</v>
      </c>
      <c r="H144" s="8">
        <f t="shared" si="132"/>
        <v>108.0000000000001</v>
      </c>
      <c r="I144" s="37" t="str">
        <f t="shared" si="105"/>
        <v>0;90</v>
      </c>
      <c r="J144" s="38">
        <v>2</v>
      </c>
      <c r="K144" s="128">
        <f t="shared" si="106"/>
        <v>0.75000000000000067</v>
      </c>
      <c r="L144" s="39" t="str">
        <f>INDEX(powers!$H$2:$H$75,33+J144)</f>
        <v>gross</v>
      </c>
      <c r="M144" s="40" t="str">
        <f t="shared" si="107"/>
        <v>0</v>
      </c>
      <c r="N144" s="24">
        <f t="shared" si="108"/>
        <v>9.0000000000000071</v>
      </c>
      <c r="O144" s="41" t="str">
        <f t="shared" si="109"/>
        <v>9</v>
      </c>
      <c r="P144" s="24">
        <f t="shared" si="110"/>
        <v>8.5265128291212022E-14</v>
      </c>
      <c r="Q144" s="41" t="str">
        <f t="shared" si="111"/>
        <v>0</v>
      </c>
      <c r="R144" s="24">
        <f t="shared" si="112"/>
        <v>1.0231815394945443E-12</v>
      </c>
      <c r="S144" s="41" t="str">
        <f t="shared" si="113"/>
        <v/>
      </c>
      <c r="T144" s="24">
        <f t="shared" si="114"/>
        <v>1.2278178473934531E-11</v>
      </c>
      <c r="U144" s="41" t="str">
        <f t="shared" si="115"/>
        <v/>
      </c>
      <c r="V144" s="24">
        <f t="shared" si="116"/>
        <v>1.4733814168721437E-10</v>
      </c>
      <c r="W144" s="41" t="str">
        <f t="shared" si="117"/>
        <v/>
      </c>
      <c r="X144" s="24">
        <f t="shared" si="118"/>
        <v>1.7680577002465725E-9</v>
      </c>
      <c r="Y144" s="41" t="str">
        <f t="shared" si="119"/>
        <v/>
      </c>
      <c r="Z144" s="24">
        <f t="shared" si="120"/>
        <v>2.121669240295887E-8</v>
      </c>
      <c r="AA144" s="41" t="str">
        <f t="shared" si="121"/>
        <v/>
      </c>
      <c r="AB144" s="24">
        <f t="shared" si="122"/>
        <v>2.5460030883550644E-7</v>
      </c>
      <c r="AC144" s="41" t="str">
        <f t="shared" si="123"/>
        <v/>
      </c>
      <c r="AD144" s="24">
        <f t="shared" si="124"/>
        <v>3.0552037060260773E-6</v>
      </c>
      <c r="AE144" s="41" t="str">
        <f t="shared" si="125"/>
        <v/>
      </c>
      <c r="AF144" s="24">
        <f t="shared" si="126"/>
        <v>3.6662444472312927E-5</v>
      </c>
      <c r="AG144" s="41" t="str">
        <f t="shared" si="127"/>
        <v/>
      </c>
      <c r="AH144" s="24">
        <f t="shared" si="128"/>
        <v>4.3994933366775513E-4</v>
      </c>
      <c r="AI144" s="41" t="str">
        <f t="shared" si="129"/>
        <v/>
      </c>
      <c r="AJ144" s="24">
        <f t="shared" si="130"/>
        <v>5.2793920040130615E-3</v>
      </c>
      <c r="AK144" s="41" t="str">
        <f t="shared" si="131"/>
        <v/>
      </c>
    </row>
    <row r="145" spans="5:37" x14ac:dyDescent="0.2">
      <c r="F145" s="91">
        <f t="shared" si="77"/>
        <v>-1996.0000000000009</v>
      </c>
      <c r="G145" s="8">
        <v>2</v>
      </c>
      <c r="H145" s="8">
        <f t="shared" si="132"/>
        <v>120.0000000000001</v>
      </c>
      <c r="I145" s="37" t="str">
        <f t="shared" si="105"/>
        <v>0;X0</v>
      </c>
      <c r="J145" s="38">
        <v>2</v>
      </c>
      <c r="K145" s="128">
        <f t="shared" si="106"/>
        <v>0.83333333333333404</v>
      </c>
      <c r="L145" s="39" t="str">
        <f>INDEX(powers!$H$2:$H$75,33+J145)</f>
        <v>gross</v>
      </c>
      <c r="M145" s="40" t="str">
        <f t="shared" si="107"/>
        <v>0</v>
      </c>
      <c r="N145" s="24">
        <f t="shared" si="108"/>
        <v>10.000000000000009</v>
      </c>
      <c r="O145" s="41" t="str">
        <f t="shared" si="109"/>
        <v>X</v>
      </c>
      <c r="P145" s="24">
        <f t="shared" si="110"/>
        <v>1.0658141036401503E-13</v>
      </c>
      <c r="Q145" s="41" t="str">
        <f t="shared" si="111"/>
        <v>0</v>
      </c>
      <c r="R145" s="24">
        <f t="shared" si="112"/>
        <v>1.2789769243681803E-12</v>
      </c>
      <c r="S145" s="41" t="str">
        <f t="shared" si="113"/>
        <v/>
      </c>
      <c r="T145" s="24">
        <f t="shared" si="114"/>
        <v>1.5347723092418164E-11</v>
      </c>
      <c r="U145" s="41" t="str">
        <f t="shared" si="115"/>
        <v/>
      </c>
      <c r="V145" s="24">
        <f t="shared" si="116"/>
        <v>1.8417267710901797E-10</v>
      </c>
      <c r="W145" s="41" t="str">
        <f t="shared" si="117"/>
        <v/>
      </c>
      <c r="X145" s="24">
        <f t="shared" si="118"/>
        <v>2.2100721253082156E-9</v>
      </c>
      <c r="Y145" s="41" t="str">
        <f t="shared" si="119"/>
        <v/>
      </c>
      <c r="Z145" s="24">
        <f t="shared" si="120"/>
        <v>2.6520865503698587E-8</v>
      </c>
      <c r="AA145" s="41" t="str">
        <f t="shared" si="121"/>
        <v/>
      </c>
      <c r="AB145" s="24">
        <f t="shared" si="122"/>
        <v>3.1825038604438305E-7</v>
      </c>
      <c r="AC145" s="41" t="str">
        <f t="shared" si="123"/>
        <v/>
      </c>
      <c r="AD145" s="24">
        <f t="shared" si="124"/>
        <v>3.8190046325325966E-6</v>
      </c>
      <c r="AE145" s="41" t="str">
        <f t="shared" si="125"/>
        <v/>
      </c>
      <c r="AF145" s="24">
        <f t="shared" si="126"/>
        <v>4.5828055590391159E-5</v>
      </c>
      <c r="AG145" s="41" t="str">
        <f t="shared" si="127"/>
        <v/>
      </c>
      <c r="AH145" s="24">
        <f t="shared" si="128"/>
        <v>5.4993666708469391E-4</v>
      </c>
      <c r="AI145" s="41" t="str">
        <f t="shared" si="129"/>
        <v/>
      </c>
      <c r="AJ145" s="24">
        <f t="shared" si="130"/>
        <v>6.5992400050163269E-3</v>
      </c>
      <c r="AK145" s="41" t="str">
        <f t="shared" si="131"/>
        <v/>
      </c>
    </row>
    <row r="146" spans="5:37" x14ac:dyDescent="0.2">
      <c r="F146" s="91">
        <f t="shared" si="77"/>
        <v>-1228</v>
      </c>
      <c r="G146" s="8">
        <v>2</v>
      </c>
      <c r="H146" s="8">
        <f t="shared" si="132"/>
        <v>132.00000000000011</v>
      </c>
      <c r="I146" s="37" t="str">
        <f t="shared" si="105"/>
        <v>0;E0</v>
      </c>
      <c r="J146" s="38">
        <v>2</v>
      </c>
      <c r="K146" s="128">
        <f t="shared" si="106"/>
        <v>0.91666666666666741</v>
      </c>
      <c r="L146" s="39" t="str">
        <f>INDEX(powers!$H$2:$H$75,33+J146)</f>
        <v>gross</v>
      </c>
      <c r="M146" s="40" t="str">
        <f t="shared" si="107"/>
        <v>0</v>
      </c>
      <c r="N146" s="24">
        <f t="shared" si="108"/>
        <v>11.000000000000009</v>
      </c>
      <c r="O146" s="41" t="str">
        <f t="shared" si="109"/>
        <v>E</v>
      </c>
      <c r="P146" s="24">
        <f t="shared" si="110"/>
        <v>1.0658141036401503E-13</v>
      </c>
      <c r="Q146" s="41" t="str">
        <f t="shared" si="111"/>
        <v>0</v>
      </c>
      <c r="R146" s="24">
        <f t="shared" si="112"/>
        <v>1.2789769243681803E-12</v>
      </c>
      <c r="S146" s="41" t="str">
        <f t="shared" si="113"/>
        <v/>
      </c>
      <c r="T146" s="24">
        <f t="shared" si="114"/>
        <v>1.5347723092418164E-11</v>
      </c>
      <c r="U146" s="41" t="str">
        <f t="shared" si="115"/>
        <v/>
      </c>
      <c r="V146" s="24">
        <f t="shared" si="116"/>
        <v>1.8417267710901797E-10</v>
      </c>
      <c r="W146" s="41" t="str">
        <f t="shared" si="117"/>
        <v/>
      </c>
      <c r="X146" s="24">
        <f t="shared" si="118"/>
        <v>2.2100721253082156E-9</v>
      </c>
      <c r="Y146" s="41" t="str">
        <f t="shared" si="119"/>
        <v/>
      </c>
      <c r="Z146" s="24">
        <f t="shared" si="120"/>
        <v>2.6520865503698587E-8</v>
      </c>
      <c r="AA146" s="41" t="str">
        <f t="shared" si="121"/>
        <v/>
      </c>
      <c r="AB146" s="24">
        <f t="shared" si="122"/>
        <v>3.1825038604438305E-7</v>
      </c>
      <c r="AC146" s="41" t="str">
        <f t="shared" si="123"/>
        <v/>
      </c>
      <c r="AD146" s="24">
        <f t="shared" si="124"/>
        <v>3.8190046325325966E-6</v>
      </c>
      <c r="AE146" s="41" t="str">
        <f t="shared" si="125"/>
        <v/>
      </c>
      <c r="AF146" s="24">
        <f t="shared" si="126"/>
        <v>4.5828055590391159E-5</v>
      </c>
      <c r="AG146" s="41" t="str">
        <f t="shared" si="127"/>
        <v/>
      </c>
      <c r="AH146" s="24">
        <f t="shared" si="128"/>
        <v>5.4993666708469391E-4</v>
      </c>
      <c r="AI146" s="41" t="str">
        <f t="shared" si="129"/>
        <v/>
      </c>
      <c r="AJ146" s="24">
        <f t="shared" si="130"/>
        <v>6.5992400050163269E-3</v>
      </c>
      <c r="AK146" s="41" t="str">
        <f t="shared" si="131"/>
        <v/>
      </c>
    </row>
    <row r="147" spans="5:37" x14ac:dyDescent="0.2">
      <c r="E147" s="443" t="s">
        <v>1305</v>
      </c>
      <c r="F147" s="91">
        <f t="shared" si="77"/>
        <v>-460</v>
      </c>
      <c r="G147" s="8">
        <v>2</v>
      </c>
      <c r="H147" s="8">
        <f t="shared" si="132"/>
        <v>144.00000000000011</v>
      </c>
      <c r="I147" s="37" t="str">
        <f t="shared" si="105"/>
        <v>1;00</v>
      </c>
      <c r="J147" s="38">
        <v>2</v>
      </c>
      <c r="K147" s="128">
        <f t="shared" si="106"/>
        <v>1.0000000000000009</v>
      </c>
      <c r="L147" s="39" t="str">
        <f>INDEX(powers!$H$2:$H$75,33+J147)</f>
        <v>gross</v>
      </c>
      <c r="M147" s="40" t="str">
        <f t="shared" si="107"/>
        <v>1</v>
      </c>
      <c r="N147" s="24">
        <f t="shared" si="108"/>
        <v>1.0658141036401503E-14</v>
      </c>
      <c r="O147" s="41" t="str">
        <f t="shared" si="109"/>
        <v>0</v>
      </c>
      <c r="P147" s="24">
        <f t="shared" si="110"/>
        <v>1.2789769243681803E-13</v>
      </c>
      <c r="Q147" s="41" t="str">
        <f t="shared" si="111"/>
        <v>0</v>
      </c>
      <c r="R147" s="24">
        <f t="shared" si="112"/>
        <v>1.5347723092418164E-12</v>
      </c>
      <c r="S147" s="41" t="str">
        <f t="shared" si="113"/>
        <v/>
      </c>
      <c r="T147" s="24">
        <f t="shared" si="114"/>
        <v>1.8417267710901797E-11</v>
      </c>
      <c r="U147" s="41" t="str">
        <f t="shared" si="115"/>
        <v/>
      </c>
      <c r="V147" s="24">
        <f t="shared" si="116"/>
        <v>2.2100721253082156E-10</v>
      </c>
      <c r="W147" s="41" t="str">
        <f t="shared" si="117"/>
        <v/>
      </c>
      <c r="X147" s="24">
        <f t="shared" si="118"/>
        <v>2.6520865503698587E-9</v>
      </c>
      <c r="Y147" s="41" t="str">
        <f t="shared" si="119"/>
        <v/>
      </c>
      <c r="Z147" s="24">
        <f t="shared" si="120"/>
        <v>3.1825038604438305E-8</v>
      </c>
      <c r="AA147" s="41" t="str">
        <f t="shared" si="121"/>
        <v/>
      </c>
      <c r="AB147" s="24">
        <f t="shared" si="122"/>
        <v>3.8190046325325966E-7</v>
      </c>
      <c r="AC147" s="41" t="str">
        <f t="shared" si="123"/>
        <v/>
      </c>
      <c r="AD147" s="24">
        <f t="shared" si="124"/>
        <v>4.5828055590391159E-6</v>
      </c>
      <c r="AE147" s="41" t="str">
        <f t="shared" si="125"/>
        <v/>
      </c>
      <c r="AF147" s="24">
        <f t="shared" si="126"/>
        <v>5.4993666708469391E-5</v>
      </c>
      <c r="AG147" s="41" t="str">
        <f t="shared" si="127"/>
        <v/>
      </c>
      <c r="AH147" s="24">
        <f t="shared" si="128"/>
        <v>6.5992400050163269E-4</v>
      </c>
      <c r="AI147" s="41" t="str">
        <f t="shared" si="129"/>
        <v/>
      </c>
      <c r="AJ147" s="24">
        <f t="shared" si="130"/>
        <v>7.9190880060195923E-3</v>
      </c>
      <c r="AK147" s="41" t="str">
        <f t="shared" si="131"/>
        <v/>
      </c>
    </row>
    <row r="148" spans="5:37" x14ac:dyDescent="0.2">
      <c r="E148" s="443" t="s">
        <v>1306</v>
      </c>
      <c r="F148" s="91">
        <f t="shared" si="77"/>
        <v>-396</v>
      </c>
      <c r="G148" s="8">
        <v>2</v>
      </c>
      <c r="H148" s="8">
        <f>H147+1</f>
        <v>145.00000000000011</v>
      </c>
      <c r="I148" s="37" t="str">
        <f t="shared" ref="I148:I186" si="133">M148&amp;";"&amp;O148&amp;Q148&amp;S148&amp;U148&amp;W148&amp;Y148&amp;AA148&amp;AC148&amp;AE148&amp;AG148&amp;AI148&amp;AK148</f>
        <v>1;01</v>
      </c>
      <c r="J148" s="38">
        <v>2</v>
      </c>
      <c r="K148" s="128">
        <f t="shared" ref="K148:K186" si="134">H148/POWER(12,J148)</f>
        <v>1.0069444444444453</v>
      </c>
      <c r="L148" s="39" t="str">
        <f>INDEX(powers!$H$2:$H$75,33+J148)</f>
        <v>gross</v>
      </c>
      <c r="M148" s="40" t="str">
        <f t="shared" ref="M148:M186" si="135">IF($G148&gt;=M$17,MID($J$17,IF($G148&gt;M$17,INT(K148),ROUND(K148,0))+1,1),"")</f>
        <v>1</v>
      </c>
      <c r="N148" s="24">
        <f t="shared" ref="N148:N186" si="136">(K148-INT(K148))*12</f>
        <v>8.3333333333343695E-2</v>
      </c>
      <c r="O148" s="41" t="str">
        <f t="shared" ref="O148:O186" si="137">IF($G148&gt;=O$17,MID($J$17,IF($G148&gt;O$17,INT(N148),ROUND(N148,0))+1,1),"")</f>
        <v>0</v>
      </c>
      <c r="P148" s="24">
        <f t="shared" ref="P148:P186" si="138">(N148-INT(N148))*12</f>
        <v>1.0000000000001243</v>
      </c>
      <c r="Q148" s="41" t="str">
        <f t="shared" ref="Q148:Q186" si="139">IF($G148&gt;=Q$17,MID($J$17,IF($G148&gt;Q$17,INT(P148),ROUND(P148,0))+1,1),"")</f>
        <v>1</v>
      </c>
      <c r="R148" s="24">
        <f t="shared" ref="R148:R186" si="140">(P148-INT(P148))*12</f>
        <v>1.4921397450962104E-12</v>
      </c>
      <c r="S148" s="41" t="str">
        <f t="shared" ref="S148:S186" si="141">IF($G148&gt;=S$17,MID($J$17,IF($G148&gt;S$17,INT(R148),ROUND(R148,0))+1,1),"")</f>
        <v/>
      </c>
      <c r="T148" s="24">
        <f t="shared" ref="T148:T186" si="142">(R148-INT(R148))*12</f>
        <v>1.7905676941154525E-11</v>
      </c>
      <c r="U148" s="41" t="str">
        <f t="shared" ref="U148:U186" si="143">IF($G148&gt;=U$17,MID($J$17,IF($G148&gt;U$17,INT(T148),ROUND(T148,0))+1,1),"")</f>
        <v/>
      </c>
      <c r="V148" s="24">
        <f t="shared" ref="V148:V186" si="144">(T148-INT(T148))*12</f>
        <v>2.148681232938543E-10</v>
      </c>
      <c r="W148" s="41" t="str">
        <f t="shared" ref="W148:W186" si="145">IF($G148&gt;=W$17,MID($J$17,IF($G148&gt;W$17,INT(V148),ROUND(V148,0))+1,1),"")</f>
        <v/>
      </c>
      <c r="X148" s="24">
        <f t="shared" ref="X148:X186" si="146">(V148-INT(V148))*12</f>
        <v>2.5784174795262516E-9</v>
      </c>
      <c r="Y148" s="41" t="str">
        <f t="shared" ref="Y148:Y186" si="147">IF($G148&gt;=Y$17,MID($J$17,IF($G148&gt;Y$17,INT(X148),ROUND(X148,0))+1,1),"")</f>
        <v/>
      </c>
      <c r="Z148" s="24">
        <f t="shared" ref="Z148:Z186" si="148">(X148-INT(X148))*12</f>
        <v>3.0941009754315019E-8</v>
      </c>
      <c r="AA148" s="41" t="str">
        <f t="shared" ref="AA148:AA186" si="149">IF($G148&gt;=AA$17,MID($J$17,IF($G148&gt;AA$17,INT(Z148),ROUND(Z148,0))+1,1),"")</f>
        <v/>
      </c>
      <c r="AB148" s="24">
        <f t="shared" ref="AB148:AB186" si="150">(Z148-INT(Z148))*12</f>
        <v>3.7129211705178022E-7</v>
      </c>
      <c r="AC148" s="41" t="str">
        <f t="shared" ref="AC148:AC186" si="151">IF($G148&gt;=AC$17,MID($J$17,IF($G148&gt;AC$17,INT(AB148),ROUND(AB148,0))+1,1),"")</f>
        <v/>
      </c>
      <c r="AD148" s="24">
        <f t="shared" ref="AD148:AD186" si="152">(AB148-INT(AB148))*12</f>
        <v>4.4555054046213627E-6</v>
      </c>
      <c r="AE148" s="41" t="str">
        <f t="shared" ref="AE148:AE186" si="153">IF($G148&gt;=AE$17,MID($J$17,IF($G148&gt;AE$17,INT(AD148),ROUND(AD148,0))+1,1),"")</f>
        <v/>
      </c>
      <c r="AF148" s="24">
        <f t="shared" ref="AF148:AF186" si="154">(AD148-INT(AD148))*12</f>
        <v>5.3466064855456352E-5</v>
      </c>
      <c r="AG148" s="41" t="str">
        <f t="shared" ref="AG148:AG186" si="155">IF($G148&gt;=AG$17,MID($J$17,IF($G148&gt;AG$17,INT(AF148),ROUND(AF148,0))+1,1),"")</f>
        <v/>
      </c>
      <c r="AH148" s="24">
        <f t="shared" ref="AH148:AH186" si="156">(AF148-INT(AF148))*12</f>
        <v>6.4159277826547623E-4</v>
      </c>
      <c r="AI148" s="41" t="str">
        <f t="shared" ref="AI148:AI186" si="157">IF($G148&gt;=AI$17,MID($J$17,IF($G148&gt;AI$17,INT(AH148),ROUND(AH148,0))+1,1),"")</f>
        <v/>
      </c>
      <c r="AJ148" s="24">
        <f t="shared" ref="AJ148:AJ186" si="158">(AH148-INT(AH148))*12</f>
        <v>7.6991133391857147E-3</v>
      </c>
      <c r="AK148" s="41" t="str">
        <f t="shared" ref="AK148:AK186" si="159">IF($G148&gt;=AK$17,MID($J$17,IF($G148&gt;AK$17,INT(AJ148),ROUND(AJ148,0))+1,1),"")</f>
        <v/>
      </c>
    </row>
    <row r="149" spans="5:37" x14ac:dyDescent="0.2">
      <c r="E149" s="443" t="s">
        <v>1307</v>
      </c>
      <c r="F149" s="91">
        <f t="shared" si="77"/>
        <v>-332</v>
      </c>
      <c r="G149" s="8">
        <v>2</v>
      </c>
      <c r="H149" s="8">
        <f t="shared" ref="H149:H187" si="160">H148+1</f>
        <v>146.00000000000011</v>
      </c>
      <c r="I149" s="37" t="str">
        <f t="shared" si="133"/>
        <v>1;02</v>
      </c>
      <c r="J149" s="38">
        <v>2</v>
      </c>
      <c r="K149" s="128">
        <f t="shared" si="134"/>
        <v>1.0138888888888897</v>
      </c>
      <c r="L149" s="39" t="str">
        <f>INDEX(powers!$H$2:$H$75,33+J149)</f>
        <v>gross</v>
      </c>
      <c r="M149" s="40" t="str">
        <f t="shared" si="135"/>
        <v>1</v>
      </c>
      <c r="N149" s="24">
        <f t="shared" si="136"/>
        <v>0.16666666666667673</v>
      </c>
      <c r="O149" s="41" t="str">
        <f t="shared" si="137"/>
        <v>0</v>
      </c>
      <c r="P149" s="24">
        <f t="shared" si="138"/>
        <v>2.0000000000001208</v>
      </c>
      <c r="Q149" s="41" t="str">
        <f t="shared" si="139"/>
        <v>2</v>
      </c>
      <c r="R149" s="24">
        <f t="shared" si="140"/>
        <v>1.4495071809506044E-12</v>
      </c>
      <c r="S149" s="41" t="str">
        <f t="shared" si="141"/>
        <v/>
      </c>
      <c r="T149" s="24">
        <f t="shared" si="142"/>
        <v>1.7394086171407253E-11</v>
      </c>
      <c r="U149" s="41" t="str">
        <f t="shared" si="143"/>
        <v/>
      </c>
      <c r="V149" s="24">
        <f t="shared" si="144"/>
        <v>2.0872903405688703E-10</v>
      </c>
      <c r="W149" s="41" t="str">
        <f t="shared" si="145"/>
        <v/>
      </c>
      <c r="X149" s="24">
        <f t="shared" si="146"/>
        <v>2.5047484086826444E-9</v>
      </c>
      <c r="Y149" s="41" t="str">
        <f t="shared" si="147"/>
        <v/>
      </c>
      <c r="Z149" s="24">
        <f t="shared" si="148"/>
        <v>3.0056980904191732E-8</v>
      </c>
      <c r="AA149" s="41" t="str">
        <f t="shared" si="149"/>
        <v/>
      </c>
      <c r="AB149" s="24">
        <f t="shared" si="150"/>
        <v>3.6068377085030079E-7</v>
      </c>
      <c r="AC149" s="41" t="str">
        <f t="shared" si="151"/>
        <v/>
      </c>
      <c r="AD149" s="24">
        <f t="shared" si="152"/>
        <v>4.3282052502036095E-6</v>
      </c>
      <c r="AE149" s="41" t="str">
        <f t="shared" si="153"/>
        <v/>
      </c>
      <c r="AF149" s="24">
        <f t="shared" si="154"/>
        <v>5.1938463002443314E-5</v>
      </c>
      <c r="AG149" s="41" t="str">
        <f t="shared" si="155"/>
        <v/>
      </c>
      <c r="AH149" s="24">
        <f t="shared" si="156"/>
        <v>6.2326155602931976E-4</v>
      </c>
      <c r="AI149" s="41" t="str">
        <f t="shared" si="157"/>
        <v/>
      </c>
      <c r="AJ149" s="24">
        <f t="shared" si="158"/>
        <v>7.4791386723518372E-3</v>
      </c>
      <c r="AK149" s="41" t="str">
        <f t="shared" si="159"/>
        <v/>
      </c>
    </row>
    <row r="150" spans="5:37" x14ac:dyDescent="0.2">
      <c r="E150" s="443" t="s">
        <v>1308</v>
      </c>
      <c r="F150" s="91">
        <f t="shared" si="77"/>
        <v>-268</v>
      </c>
      <c r="G150" s="8">
        <v>2</v>
      </c>
      <c r="H150" s="8">
        <f t="shared" si="160"/>
        <v>147.00000000000011</v>
      </c>
      <c r="I150" s="37" t="str">
        <f t="shared" si="133"/>
        <v>1;03</v>
      </c>
      <c r="J150" s="38">
        <v>2</v>
      </c>
      <c r="K150" s="128">
        <f t="shared" si="134"/>
        <v>1.0208333333333341</v>
      </c>
      <c r="L150" s="39" t="str">
        <f>INDEX(powers!$H$2:$H$75,33+J150)</f>
        <v>gross</v>
      </c>
      <c r="M150" s="40" t="str">
        <f t="shared" si="135"/>
        <v>1</v>
      </c>
      <c r="N150" s="24">
        <f t="shared" si="136"/>
        <v>0.25000000000000977</v>
      </c>
      <c r="O150" s="41" t="str">
        <f t="shared" si="137"/>
        <v>0</v>
      </c>
      <c r="P150" s="24">
        <f t="shared" si="138"/>
        <v>3.0000000000001172</v>
      </c>
      <c r="Q150" s="41" t="str">
        <f t="shared" si="139"/>
        <v>3</v>
      </c>
      <c r="R150" s="24">
        <f t="shared" si="140"/>
        <v>1.4068746168049984E-12</v>
      </c>
      <c r="S150" s="41" t="str">
        <f t="shared" si="141"/>
        <v/>
      </c>
      <c r="T150" s="24">
        <f t="shared" si="142"/>
        <v>1.688249540165998E-11</v>
      </c>
      <c r="U150" s="41" t="str">
        <f t="shared" si="143"/>
        <v/>
      </c>
      <c r="V150" s="24">
        <f t="shared" si="144"/>
        <v>2.0258994481991976E-10</v>
      </c>
      <c r="W150" s="41" t="str">
        <f t="shared" si="145"/>
        <v/>
      </c>
      <c r="X150" s="24">
        <f t="shared" si="146"/>
        <v>2.4310793378390372E-9</v>
      </c>
      <c r="Y150" s="41" t="str">
        <f t="shared" si="147"/>
        <v/>
      </c>
      <c r="Z150" s="24">
        <f t="shared" si="148"/>
        <v>2.9172952054068446E-8</v>
      </c>
      <c r="AA150" s="41" t="str">
        <f t="shared" si="149"/>
        <v/>
      </c>
      <c r="AB150" s="24">
        <f t="shared" si="150"/>
        <v>3.5007542464882135E-7</v>
      </c>
      <c r="AC150" s="41" t="str">
        <f t="shared" si="151"/>
        <v/>
      </c>
      <c r="AD150" s="24">
        <f t="shared" si="152"/>
        <v>4.2009050957858562E-6</v>
      </c>
      <c r="AE150" s="41" t="str">
        <f t="shared" si="153"/>
        <v/>
      </c>
      <c r="AF150" s="24">
        <f t="shared" si="154"/>
        <v>5.0410861149430275E-5</v>
      </c>
      <c r="AG150" s="41" t="str">
        <f t="shared" si="155"/>
        <v/>
      </c>
      <c r="AH150" s="24">
        <f t="shared" si="156"/>
        <v>6.049303337931633E-4</v>
      </c>
      <c r="AI150" s="41" t="str">
        <f t="shared" si="157"/>
        <v/>
      </c>
      <c r="AJ150" s="24">
        <f t="shared" si="158"/>
        <v>7.2591640055179596E-3</v>
      </c>
      <c r="AK150" s="41" t="str">
        <f t="shared" si="159"/>
        <v/>
      </c>
    </row>
    <row r="151" spans="5:37" x14ac:dyDescent="0.2">
      <c r="E151" s="443" t="s">
        <v>1309</v>
      </c>
      <c r="F151" s="91">
        <f t="shared" si="77"/>
        <v>-204</v>
      </c>
      <c r="G151" s="8">
        <v>2</v>
      </c>
      <c r="H151" s="8">
        <f t="shared" si="160"/>
        <v>148.00000000000011</v>
      </c>
      <c r="I151" s="37" t="str">
        <f t="shared" si="133"/>
        <v>1;04</v>
      </c>
      <c r="J151" s="38">
        <v>2</v>
      </c>
      <c r="K151" s="128">
        <f t="shared" si="134"/>
        <v>1.0277777777777786</v>
      </c>
      <c r="L151" s="39" t="str">
        <f>INDEX(powers!$H$2:$H$75,33+J151)</f>
        <v>gross</v>
      </c>
      <c r="M151" s="40" t="str">
        <f t="shared" si="135"/>
        <v>1</v>
      </c>
      <c r="N151" s="24">
        <f t="shared" si="136"/>
        <v>0.33333333333334281</v>
      </c>
      <c r="O151" s="41" t="str">
        <f t="shared" si="137"/>
        <v>0</v>
      </c>
      <c r="P151" s="24">
        <f t="shared" si="138"/>
        <v>4.0000000000001137</v>
      </c>
      <c r="Q151" s="41" t="str">
        <f t="shared" si="139"/>
        <v>4</v>
      </c>
      <c r="R151" s="24">
        <f t="shared" si="140"/>
        <v>1.3642420526593924E-12</v>
      </c>
      <c r="S151" s="41" t="str">
        <f t="shared" si="141"/>
        <v/>
      </c>
      <c r="T151" s="24">
        <f t="shared" si="142"/>
        <v>1.6370904631912708E-11</v>
      </c>
      <c r="U151" s="41" t="str">
        <f t="shared" si="143"/>
        <v/>
      </c>
      <c r="V151" s="24">
        <f t="shared" si="144"/>
        <v>1.964508555829525E-10</v>
      </c>
      <c r="W151" s="41" t="str">
        <f t="shared" si="145"/>
        <v/>
      </c>
      <c r="X151" s="24">
        <f t="shared" si="146"/>
        <v>2.35741026699543E-9</v>
      </c>
      <c r="Y151" s="41" t="str">
        <f t="shared" si="147"/>
        <v/>
      </c>
      <c r="Z151" s="24">
        <f t="shared" si="148"/>
        <v>2.828892320394516E-8</v>
      </c>
      <c r="AA151" s="41" t="str">
        <f t="shared" si="149"/>
        <v/>
      </c>
      <c r="AB151" s="24">
        <f t="shared" si="150"/>
        <v>3.3946707844734192E-7</v>
      </c>
      <c r="AC151" s="41" t="str">
        <f t="shared" si="151"/>
        <v/>
      </c>
      <c r="AD151" s="24">
        <f t="shared" si="152"/>
        <v>4.073604941368103E-6</v>
      </c>
      <c r="AE151" s="41" t="str">
        <f t="shared" si="153"/>
        <v/>
      </c>
      <c r="AF151" s="24">
        <f t="shared" si="154"/>
        <v>4.8883259296417236E-5</v>
      </c>
      <c r="AG151" s="41" t="str">
        <f t="shared" si="155"/>
        <v/>
      </c>
      <c r="AH151" s="24">
        <f t="shared" si="156"/>
        <v>5.8659911155700684E-4</v>
      </c>
      <c r="AI151" s="41" t="str">
        <f t="shared" si="157"/>
        <v/>
      </c>
      <c r="AJ151" s="24">
        <f t="shared" si="158"/>
        <v>7.039189338684082E-3</v>
      </c>
      <c r="AK151" s="41" t="str">
        <f t="shared" si="159"/>
        <v/>
      </c>
    </row>
    <row r="152" spans="5:37" x14ac:dyDescent="0.2">
      <c r="E152" s="443" t="s">
        <v>1310</v>
      </c>
      <c r="F152" s="91">
        <f t="shared" si="77"/>
        <v>-140</v>
      </c>
      <c r="G152" s="8">
        <v>2</v>
      </c>
      <c r="H152" s="8">
        <f t="shared" si="160"/>
        <v>149.00000000000011</v>
      </c>
      <c r="I152" s="37" t="str">
        <f t="shared" si="133"/>
        <v>1;05</v>
      </c>
      <c r="J152" s="38">
        <v>2</v>
      </c>
      <c r="K152" s="128">
        <f t="shared" si="134"/>
        <v>1.034722222222223</v>
      </c>
      <c r="L152" s="39" t="str">
        <f>INDEX(powers!$H$2:$H$75,33+J152)</f>
        <v>gross</v>
      </c>
      <c r="M152" s="40" t="str">
        <f t="shared" si="135"/>
        <v>1</v>
      </c>
      <c r="N152" s="24">
        <f t="shared" si="136"/>
        <v>0.41666666666667584</v>
      </c>
      <c r="O152" s="41" t="str">
        <f t="shared" si="137"/>
        <v>0</v>
      </c>
      <c r="P152" s="24">
        <f t="shared" si="138"/>
        <v>5.0000000000001101</v>
      </c>
      <c r="Q152" s="41" t="str">
        <f t="shared" si="139"/>
        <v>5</v>
      </c>
      <c r="R152" s="24">
        <f t="shared" si="140"/>
        <v>1.3216094885137863E-12</v>
      </c>
      <c r="S152" s="41" t="str">
        <f t="shared" si="141"/>
        <v/>
      </c>
      <c r="T152" s="24">
        <f t="shared" si="142"/>
        <v>1.5859313862165436E-11</v>
      </c>
      <c r="U152" s="41" t="str">
        <f t="shared" si="143"/>
        <v/>
      </c>
      <c r="V152" s="24">
        <f t="shared" si="144"/>
        <v>1.9031176634598523E-10</v>
      </c>
      <c r="W152" s="41" t="str">
        <f t="shared" si="145"/>
        <v/>
      </c>
      <c r="X152" s="24">
        <f t="shared" si="146"/>
        <v>2.2837411961518228E-9</v>
      </c>
      <c r="Y152" s="41" t="str">
        <f t="shared" si="147"/>
        <v/>
      </c>
      <c r="Z152" s="24">
        <f t="shared" si="148"/>
        <v>2.7404894353821874E-8</v>
      </c>
      <c r="AA152" s="41" t="str">
        <f t="shared" si="149"/>
        <v/>
      </c>
      <c r="AB152" s="24">
        <f t="shared" si="150"/>
        <v>3.2885873224586248E-7</v>
      </c>
      <c r="AC152" s="41" t="str">
        <f t="shared" si="151"/>
        <v/>
      </c>
      <c r="AD152" s="24">
        <f t="shared" si="152"/>
        <v>3.9463047869503498E-6</v>
      </c>
      <c r="AE152" s="41" t="str">
        <f t="shared" si="153"/>
        <v/>
      </c>
      <c r="AF152" s="24">
        <f t="shared" si="154"/>
        <v>4.7355657443404198E-5</v>
      </c>
      <c r="AG152" s="41" t="str">
        <f t="shared" si="155"/>
        <v/>
      </c>
      <c r="AH152" s="24">
        <f t="shared" si="156"/>
        <v>5.6826788932085037E-4</v>
      </c>
      <c r="AI152" s="41" t="str">
        <f t="shared" si="157"/>
        <v/>
      </c>
      <c r="AJ152" s="24">
        <f t="shared" si="158"/>
        <v>6.8192146718502045E-3</v>
      </c>
      <c r="AK152" s="41" t="str">
        <f t="shared" si="159"/>
        <v/>
      </c>
    </row>
    <row r="153" spans="5:37" x14ac:dyDescent="0.2">
      <c r="E153" s="443" t="s">
        <v>1311</v>
      </c>
      <c r="F153" s="91">
        <f t="shared" si="77"/>
        <v>-76</v>
      </c>
      <c r="G153" s="8">
        <v>2</v>
      </c>
      <c r="H153" s="8">
        <f t="shared" si="160"/>
        <v>150.00000000000011</v>
      </c>
      <c r="I153" s="37" t="str">
        <f t="shared" si="133"/>
        <v>1;06</v>
      </c>
      <c r="J153" s="38">
        <v>2</v>
      </c>
      <c r="K153" s="128">
        <f t="shared" si="134"/>
        <v>1.0416666666666674</v>
      </c>
      <c r="L153" s="39" t="str">
        <f>INDEX(powers!$H$2:$H$75,33+J153)</f>
        <v>gross</v>
      </c>
      <c r="M153" s="40" t="str">
        <f t="shared" si="135"/>
        <v>1</v>
      </c>
      <c r="N153" s="24">
        <f t="shared" si="136"/>
        <v>0.50000000000000888</v>
      </c>
      <c r="O153" s="41" t="str">
        <f t="shared" si="137"/>
        <v>0</v>
      </c>
      <c r="P153" s="24">
        <f t="shared" si="138"/>
        <v>6.0000000000001066</v>
      </c>
      <c r="Q153" s="41" t="str">
        <f t="shared" si="139"/>
        <v>6</v>
      </c>
      <c r="R153" s="24">
        <f t="shared" si="140"/>
        <v>1.2789769243681803E-12</v>
      </c>
      <c r="S153" s="41" t="str">
        <f t="shared" si="141"/>
        <v/>
      </c>
      <c r="T153" s="24">
        <f t="shared" si="142"/>
        <v>1.5347723092418164E-11</v>
      </c>
      <c r="U153" s="41" t="str">
        <f t="shared" si="143"/>
        <v/>
      </c>
      <c r="V153" s="24">
        <f t="shared" si="144"/>
        <v>1.8417267710901797E-10</v>
      </c>
      <c r="W153" s="41" t="str">
        <f t="shared" si="145"/>
        <v/>
      </c>
      <c r="X153" s="24">
        <f t="shared" si="146"/>
        <v>2.2100721253082156E-9</v>
      </c>
      <c r="Y153" s="41" t="str">
        <f t="shared" si="147"/>
        <v/>
      </c>
      <c r="Z153" s="24">
        <f t="shared" si="148"/>
        <v>2.6520865503698587E-8</v>
      </c>
      <c r="AA153" s="41" t="str">
        <f t="shared" si="149"/>
        <v/>
      </c>
      <c r="AB153" s="24">
        <f t="shared" si="150"/>
        <v>3.1825038604438305E-7</v>
      </c>
      <c r="AC153" s="41" t="str">
        <f t="shared" si="151"/>
        <v/>
      </c>
      <c r="AD153" s="24">
        <f t="shared" si="152"/>
        <v>3.8190046325325966E-6</v>
      </c>
      <c r="AE153" s="41" t="str">
        <f t="shared" si="153"/>
        <v/>
      </c>
      <c r="AF153" s="24">
        <f t="shared" si="154"/>
        <v>4.5828055590391159E-5</v>
      </c>
      <c r="AG153" s="41" t="str">
        <f t="shared" si="155"/>
        <v/>
      </c>
      <c r="AH153" s="24">
        <f t="shared" si="156"/>
        <v>5.4993666708469391E-4</v>
      </c>
      <c r="AI153" s="41" t="str">
        <f t="shared" si="157"/>
        <v/>
      </c>
      <c r="AJ153" s="24">
        <f t="shared" si="158"/>
        <v>6.5992400050163269E-3</v>
      </c>
      <c r="AK153" s="41" t="str">
        <f t="shared" si="159"/>
        <v/>
      </c>
    </row>
    <row r="154" spans="5:37" x14ac:dyDescent="0.2">
      <c r="E154" s="443" t="s">
        <v>1312</v>
      </c>
      <c r="F154" s="91">
        <f t="shared" si="77"/>
        <v>-12</v>
      </c>
      <c r="G154" s="8">
        <v>2</v>
      </c>
      <c r="H154" s="8">
        <f t="shared" si="160"/>
        <v>151.00000000000011</v>
      </c>
      <c r="I154" s="37" t="str">
        <f t="shared" si="133"/>
        <v>1;07</v>
      </c>
      <c r="J154" s="38">
        <v>2</v>
      </c>
      <c r="K154" s="128">
        <f t="shared" si="134"/>
        <v>1.0486111111111118</v>
      </c>
      <c r="L154" s="39" t="str">
        <f>INDEX(powers!$H$2:$H$75,33+J154)</f>
        <v>gross</v>
      </c>
      <c r="M154" s="40" t="str">
        <f t="shared" si="135"/>
        <v>1</v>
      </c>
      <c r="N154" s="24">
        <f t="shared" si="136"/>
        <v>0.58333333333334192</v>
      </c>
      <c r="O154" s="41" t="str">
        <f t="shared" si="137"/>
        <v>0</v>
      </c>
      <c r="P154" s="24">
        <f t="shared" si="138"/>
        <v>7.000000000000103</v>
      </c>
      <c r="Q154" s="41" t="str">
        <f t="shared" si="139"/>
        <v>7</v>
      </c>
      <c r="R154" s="24">
        <f t="shared" si="140"/>
        <v>1.2363443602225743E-12</v>
      </c>
      <c r="S154" s="41" t="str">
        <f t="shared" si="141"/>
        <v/>
      </c>
      <c r="T154" s="24">
        <f t="shared" si="142"/>
        <v>1.4836132322670892E-11</v>
      </c>
      <c r="U154" s="41" t="str">
        <f t="shared" si="143"/>
        <v/>
      </c>
      <c r="V154" s="24">
        <f t="shared" si="144"/>
        <v>1.780335878720507E-10</v>
      </c>
      <c r="W154" s="41" t="str">
        <f t="shared" si="145"/>
        <v/>
      </c>
      <c r="X154" s="24">
        <f t="shared" si="146"/>
        <v>2.1364030544646084E-9</v>
      </c>
      <c r="Y154" s="41" t="str">
        <f t="shared" si="147"/>
        <v/>
      </c>
      <c r="Z154" s="24">
        <f t="shared" si="148"/>
        <v>2.5636836653575301E-8</v>
      </c>
      <c r="AA154" s="41" t="str">
        <f t="shared" si="149"/>
        <v/>
      </c>
      <c r="AB154" s="24">
        <f t="shared" si="150"/>
        <v>3.0764203984290361E-7</v>
      </c>
      <c r="AC154" s="41" t="str">
        <f t="shared" si="151"/>
        <v/>
      </c>
      <c r="AD154" s="24">
        <f t="shared" si="152"/>
        <v>3.6917044781148434E-6</v>
      </c>
      <c r="AE154" s="41" t="str">
        <f t="shared" si="153"/>
        <v/>
      </c>
      <c r="AF154" s="24">
        <f t="shared" si="154"/>
        <v>4.430045373737812E-5</v>
      </c>
      <c r="AG154" s="41" t="str">
        <f t="shared" si="155"/>
        <v/>
      </c>
      <c r="AH154" s="24">
        <f t="shared" si="156"/>
        <v>5.3160544484853745E-4</v>
      </c>
      <c r="AI154" s="41" t="str">
        <f t="shared" si="157"/>
        <v/>
      </c>
      <c r="AJ154" s="24">
        <f t="shared" si="158"/>
        <v>6.3792653381824493E-3</v>
      </c>
      <c r="AK154" s="41" t="str">
        <f t="shared" si="159"/>
        <v/>
      </c>
    </row>
    <row r="155" spans="5:37" x14ac:dyDescent="0.2">
      <c r="E155" s="443" t="s">
        <v>1313</v>
      </c>
      <c r="F155" s="91">
        <f t="shared" si="77"/>
        <v>52</v>
      </c>
      <c r="G155" s="8">
        <v>2</v>
      </c>
      <c r="H155" s="8">
        <f t="shared" si="160"/>
        <v>152.00000000000011</v>
      </c>
      <c r="I155" s="37" t="str">
        <f t="shared" si="133"/>
        <v>1;08</v>
      </c>
      <c r="J155" s="38">
        <v>2</v>
      </c>
      <c r="K155" s="128">
        <f t="shared" si="134"/>
        <v>1.0555555555555562</v>
      </c>
      <c r="L155" s="39" t="str">
        <f>INDEX(powers!$H$2:$H$75,33+J155)</f>
        <v>gross</v>
      </c>
      <c r="M155" s="40" t="str">
        <f t="shared" si="135"/>
        <v>1</v>
      </c>
      <c r="N155" s="24">
        <f t="shared" si="136"/>
        <v>0.66666666666667496</v>
      </c>
      <c r="O155" s="41" t="str">
        <f t="shared" si="137"/>
        <v>0</v>
      </c>
      <c r="P155" s="24">
        <f t="shared" si="138"/>
        <v>8.0000000000000995</v>
      </c>
      <c r="Q155" s="41" t="str">
        <f t="shared" si="139"/>
        <v>8</v>
      </c>
      <c r="R155" s="24">
        <f t="shared" si="140"/>
        <v>1.1937117960769683E-12</v>
      </c>
      <c r="S155" s="41" t="str">
        <f t="shared" si="141"/>
        <v/>
      </c>
      <c r="T155" s="24">
        <f t="shared" si="142"/>
        <v>1.432454155292362E-11</v>
      </c>
      <c r="U155" s="41" t="str">
        <f t="shared" si="143"/>
        <v/>
      </c>
      <c r="V155" s="24">
        <f t="shared" si="144"/>
        <v>1.7189449863508344E-10</v>
      </c>
      <c r="W155" s="41" t="str">
        <f t="shared" si="145"/>
        <v/>
      </c>
      <c r="X155" s="24">
        <f t="shared" si="146"/>
        <v>2.0627339836210012E-9</v>
      </c>
      <c r="Y155" s="41" t="str">
        <f t="shared" si="147"/>
        <v/>
      </c>
      <c r="Z155" s="24">
        <f t="shared" si="148"/>
        <v>2.4752807803452015E-8</v>
      </c>
      <c r="AA155" s="41" t="str">
        <f t="shared" si="149"/>
        <v/>
      </c>
      <c r="AB155" s="24">
        <f t="shared" si="150"/>
        <v>2.9703369364142418E-7</v>
      </c>
      <c r="AC155" s="41" t="str">
        <f t="shared" si="151"/>
        <v/>
      </c>
      <c r="AD155" s="24">
        <f t="shared" si="152"/>
        <v>3.5644043236970901E-6</v>
      </c>
      <c r="AE155" s="41" t="str">
        <f t="shared" si="153"/>
        <v/>
      </c>
      <c r="AF155" s="24">
        <f t="shared" si="154"/>
        <v>4.2772851884365082E-5</v>
      </c>
      <c r="AG155" s="41" t="str">
        <f t="shared" si="155"/>
        <v/>
      </c>
      <c r="AH155" s="24">
        <f t="shared" si="156"/>
        <v>5.1327422261238098E-4</v>
      </c>
      <c r="AI155" s="41" t="str">
        <f t="shared" si="157"/>
        <v/>
      </c>
      <c r="AJ155" s="24">
        <f t="shared" si="158"/>
        <v>6.1592906713485718E-3</v>
      </c>
      <c r="AK155" s="41" t="str">
        <f t="shared" si="159"/>
        <v/>
      </c>
    </row>
    <row r="156" spans="5:37" x14ac:dyDescent="0.2">
      <c r="E156" s="443" t="s">
        <v>1314</v>
      </c>
      <c r="F156" s="91">
        <f t="shared" si="77"/>
        <v>116</v>
      </c>
      <c r="G156" s="8">
        <v>2</v>
      </c>
      <c r="H156" s="8">
        <f t="shared" si="160"/>
        <v>153.00000000000011</v>
      </c>
      <c r="I156" s="37" t="str">
        <f t="shared" si="133"/>
        <v>1;09</v>
      </c>
      <c r="J156" s="38">
        <v>2</v>
      </c>
      <c r="K156" s="128">
        <f t="shared" si="134"/>
        <v>1.0625000000000009</v>
      </c>
      <c r="L156" s="39" t="str">
        <f>INDEX(powers!$H$2:$H$75,33+J156)</f>
        <v>gross</v>
      </c>
      <c r="M156" s="40" t="str">
        <f t="shared" si="135"/>
        <v>1</v>
      </c>
      <c r="N156" s="24">
        <f t="shared" si="136"/>
        <v>0.75000000000001066</v>
      </c>
      <c r="O156" s="41" t="str">
        <f t="shared" si="137"/>
        <v>0</v>
      </c>
      <c r="P156" s="24">
        <f t="shared" si="138"/>
        <v>9.0000000000001279</v>
      </c>
      <c r="Q156" s="41" t="str">
        <f t="shared" si="139"/>
        <v>9</v>
      </c>
      <c r="R156" s="24">
        <f t="shared" si="140"/>
        <v>1.5347723092418164E-12</v>
      </c>
      <c r="S156" s="41" t="str">
        <f t="shared" si="141"/>
        <v/>
      </c>
      <c r="T156" s="24">
        <f t="shared" si="142"/>
        <v>1.8417267710901797E-11</v>
      </c>
      <c r="U156" s="41" t="str">
        <f t="shared" si="143"/>
        <v/>
      </c>
      <c r="V156" s="24">
        <f t="shared" si="144"/>
        <v>2.2100721253082156E-10</v>
      </c>
      <c r="W156" s="41" t="str">
        <f t="shared" si="145"/>
        <v/>
      </c>
      <c r="X156" s="24">
        <f t="shared" si="146"/>
        <v>2.6520865503698587E-9</v>
      </c>
      <c r="Y156" s="41" t="str">
        <f t="shared" si="147"/>
        <v/>
      </c>
      <c r="Z156" s="24">
        <f t="shared" si="148"/>
        <v>3.1825038604438305E-8</v>
      </c>
      <c r="AA156" s="41" t="str">
        <f t="shared" si="149"/>
        <v/>
      </c>
      <c r="AB156" s="24">
        <f t="shared" si="150"/>
        <v>3.8190046325325966E-7</v>
      </c>
      <c r="AC156" s="41" t="str">
        <f t="shared" si="151"/>
        <v/>
      </c>
      <c r="AD156" s="24">
        <f t="shared" si="152"/>
        <v>4.5828055590391159E-6</v>
      </c>
      <c r="AE156" s="41" t="str">
        <f t="shared" si="153"/>
        <v/>
      </c>
      <c r="AF156" s="24">
        <f t="shared" si="154"/>
        <v>5.4993666708469391E-5</v>
      </c>
      <c r="AG156" s="41" t="str">
        <f t="shared" si="155"/>
        <v/>
      </c>
      <c r="AH156" s="24">
        <f t="shared" si="156"/>
        <v>6.5992400050163269E-4</v>
      </c>
      <c r="AI156" s="41" t="str">
        <f t="shared" si="157"/>
        <v/>
      </c>
      <c r="AJ156" s="24">
        <f t="shared" si="158"/>
        <v>7.9190880060195923E-3</v>
      </c>
      <c r="AK156" s="41" t="str">
        <f t="shared" si="159"/>
        <v/>
      </c>
    </row>
    <row r="157" spans="5:37" x14ac:dyDescent="0.2">
      <c r="E157" s="443" t="s">
        <v>1315</v>
      </c>
      <c r="F157" s="91">
        <f t="shared" si="77"/>
        <v>180</v>
      </c>
      <c r="G157" s="8">
        <v>2</v>
      </c>
      <c r="H157" s="8">
        <f t="shared" si="160"/>
        <v>154.00000000000011</v>
      </c>
      <c r="I157" s="37" t="str">
        <f t="shared" si="133"/>
        <v>1;0X</v>
      </c>
      <c r="J157" s="38">
        <v>2</v>
      </c>
      <c r="K157" s="128">
        <f t="shared" si="134"/>
        <v>1.0694444444444453</v>
      </c>
      <c r="L157" s="39" t="str">
        <f>INDEX(powers!$H$2:$H$75,33+J157)</f>
        <v>gross</v>
      </c>
      <c r="M157" s="40" t="str">
        <f t="shared" si="135"/>
        <v>1</v>
      </c>
      <c r="N157" s="24">
        <f t="shared" si="136"/>
        <v>0.8333333333333437</v>
      </c>
      <c r="O157" s="41" t="str">
        <f t="shared" si="137"/>
        <v>0</v>
      </c>
      <c r="P157" s="24">
        <f t="shared" si="138"/>
        <v>10.000000000000124</v>
      </c>
      <c r="Q157" s="41" t="str">
        <f t="shared" si="139"/>
        <v>X</v>
      </c>
      <c r="R157" s="24">
        <f t="shared" si="140"/>
        <v>1.4921397450962104E-12</v>
      </c>
      <c r="S157" s="41" t="str">
        <f t="shared" si="141"/>
        <v/>
      </c>
      <c r="T157" s="24">
        <f t="shared" si="142"/>
        <v>1.7905676941154525E-11</v>
      </c>
      <c r="U157" s="41" t="str">
        <f t="shared" si="143"/>
        <v/>
      </c>
      <c r="V157" s="24">
        <f t="shared" si="144"/>
        <v>2.148681232938543E-10</v>
      </c>
      <c r="W157" s="41" t="str">
        <f t="shared" si="145"/>
        <v/>
      </c>
      <c r="X157" s="24">
        <f t="shared" si="146"/>
        <v>2.5784174795262516E-9</v>
      </c>
      <c r="Y157" s="41" t="str">
        <f t="shared" si="147"/>
        <v/>
      </c>
      <c r="Z157" s="24">
        <f t="shared" si="148"/>
        <v>3.0941009754315019E-8</v>
      </c>
      <c r="AA157" s="41" t="str">
        <f t="shared" si="149"/>
        <v/>
      </c>
      <c r="AB157" s="24">
        <f t="shared" si="150"/>
        <v>3.7129211705178022E-7</v>
      </c>
      <c r="AC157" s="41" t="str">
        <f t="shared" si="151"/>
        <v/>
      </c>
      <c r="AD157" s="24">
        <f t="shared" si="152"/>
        <v>4.4555054046213627E-6</v>
      </c>
      <c r="AE157" s="41" t="str">
        <f t="shared" si="153"/>
        <v/>
      </c>
      <c r="AF157" s="24">
        <f t="shared" si="154"/>
        <v>5.3466064855456352E-5</v>
      </c>
      <c r="AG157" s="41" t="str">
        <f t="shared" si="155"/>
        <v/>
      </c>
      <c r="AH157" s="24">
        <f t="shared" si="156"/>
        <v>6.4159277826547623E-4</v>
      </c>
      <c r="AI157" s="41" t="str">
        <f t="shared" si="157"/>
        <v/>
      </c>
      <c r="AJ157" s="24">
        <f t="shared" si="158"/>
        <v>7.6991133391857147E-3</v>
      </c>
      <c r="AK157" s="41" t="str">
        <f t="shared" si="159"/>
        <v/>
      </c>
    </row>
    <row r="158" spans="5:37" x14ac:dyDescent="0.2">
      <c r="E158" s="443" t="s">
        <v>1316</v>
      </c>
      <c r="F158" s="91">
        <f t="shared" si="77"/>
        <v>244</v>
      </c>
      <c r="G158" s="8">
        <v>2</v>
      </c>
      <c r="H158" s="8">
        <f t="shared" si="160"/>
        <v>155.00000000000011</v>
      </c>
      <c r="I158" s="37" t="str">
        <f t="shared" si="133"/>
        <v>1;0E</v>
      </c>
      <c r="J158" s="38">
        <v>2</v>
      </c>
      <c r="K158" s="128">
        <f t="shared" si="134"/>
        <v>1.0763888888888897</v>
      </c>
      <c r="L158" s="39" t="str">
        <f>INDEX(powers!$H$2:$H$75,33+J158)</f>
        <v>gross</v>
      </c>
      <c r="M158" s="40" t="str">
        <f t="shared" si="135"/>
        <v>1</v>
      </c>
      <c r="N158" s="24">
        <f t="shared" si="136"/>
        <v>0.91666666666667673</v>
      </c>
      <c r="O158" s="41" t="str">
        <f t="shared" si="137"/>
        <v>0</v>
      </c>
      <c r="P158" s="24">
        <f t="shared" si="138"/>
        <v>11.000000000000121</v>
      </c>
      <c r="Q158" s="41" t="str">
        <f t="shared" si="139"/>
        <v>E</v>
      </c>
      <c r="R158" s="24">
        <f t="shared" si="140"/>
        <v>1.4495071809506044E-12</v>
      </c>
      <c r="S158" s="41" t="str">
        <f t="shared" si="141"/>
        <v/>
      </c>
      <c r="T158" s="24">
        <f t="shared" si="142"/>
        <v>1.7394086171407253E-11</v>
      </c>
      <c r="U158" s="41" t="str">
        <f t="shared" si="143"/>
        <v/>
      </c>
      <c r="V158" s="24">
        <f t="shared" si="144"/>
        <v>2.0872903405688703E-10</v>
      </c>
      <c r="W158" s="41" t="str">
        <f t="shared" si="145"/>
        <v/>
      </c>
      <c r="X158" s="24">
        <f t="shared" si="146"/>
        <v>2.5047484086826444E-9</v>
      </c>
      <c r="Y158" s="41" t="str">
        <f t="shared" si="147"/>
        <v/>
      </c>
      <c r="Z158" s="24">
        <f t="shared" si="148"/>
        <v>3.0056980904191732E-8</v>
      </c>
      <c r="AA158" s="41" t="str">
        <f t="shared" si="149"/>
        <v/>
      </c>
      <c r="AB158" s="24">
        <f t="shared" si="150"/>
        <v>3.6068377085030079E-7</v>
      </c>
      <c r="AC158" s="41" t="str">
        <f t="shared" si="151"/>
        <v/>
      </c>
      <c r="AD158" s="24">
        <f t="shared" si="152"/>
        <v>4.3282052502036095E-6</v>
      </c>
      <c r="AE158" s="41" t="str">
        <f t="shared" si="153"/>
        <v/>
      </c>
      <c r="AF158" s="24">
        <f t="shared" si="154"/>
        <v>5.1938463002443314E-5</v>
      </c>
      <c r="AG158" s="41" t="str">
        <f t="shared" si="155"/>
        <v/>
      </c>
      <c r="AH158" s="24">
        <f t="shared" si="156"/>
        <v>6.2326155602931976E-4</v>
      </c>
      <c r="AI158" s="41" t="str">
        <f t="shared" si="157"/>
        <v/>
      </c>
      <c r="AJ158" s="24">
        <f t="shared" si="158"/>
        <v>7.4791386723518372E-3</v>
      </c>
      <c r="AK158" s="41" t="str">
        <f t="shared" si="159"/>
        <v/>
      </c>
    </row>
    <row r="159" spans="5:37" x14ac:dyDescent="0.2">
      <c r="E159" s="443" t="s">
        <v>1317</v>
      </c>
      <c r="F159" s="91">
        <f t="shared" si="77"/>
        <v>308</v>
      </c>
      <c r="G159" s="8">
        <v>2</v>
      </c>
      <c r="H159" s="8">
        <f t="shared" si="160"/>
        <v>156.00000000000011</v>
      </c>
      <c r="I159" s="37" t="str">
        <f t="shared" si="133"/>
        <v>1;10</v>
      </c>
      <c r="J159" s="38">
        <v>2</v>
      </c>
      <c r="K159" s="128">
        <f t="shared" si="134"/>
        <v>1.0833333333333341</v>
      </c>
      <c r="L159" s="39" t="str">
        <f>INDEX(powers!$H$2:$H$75,33+J159)</f>
        <v>gross</v>
      </c>
      <c r="M159" s="40" t="str">
        <f t="shared" si="135"/>
        <v>1</v>
      </c>
      <c r="N159" s="24">
        <f t="shared" si="136"/>
        <v>1.0000000000000098</v>
      </c>
      <c r="O159" s="41" t="str">
        <f t="shared" si="137"/>
        <v>1</v>
      </c>
      <c r="P159" s="24">
        <f t="shared" si="138"/>
        <v>1.1723955140041653E-13</v>
      </c>
      <c r="Q159" s="41" t="str">
        <f t="shared" si="139"/>
        <v>0</v>
      </c>
      <c r="R159" s="24">
        <f t="shared" si="140"/>
        <v>1.4068746168049984E-12</v>
      </c>
      <c r="S159" s="41" t="str">
        <f t="shared" si="141"/>
        <v/>
      </c>
      <c r="T159" s="24">
        <f t="shared" si="142"/>
        <v>1.688249540165998E-11</v>
      </c>
      <c r="U159" s="41" t="str">
        <f t="shared" si="143"/>
        <v/>
      </c>
      <c r="V159" s="24">
        <f t="shared" si="144"/>
        <v>2.0258994481991976E-10</v>
      </c>
      <c r="W159" s="41" t="str">
        <f t="shared" si="145"/>
        <v/>
      </c>
      <c r="X159" s="24">
        <f t="shared" si="146"/>
        <v>2.4310793378390372E-9</v>
      </c>
      <c r="Y159" s="41" t="str">
        <f t="shared" si="147"/>
        <v/>
      </c>
      <c r="Z159" s="24">
        <f t="shared" si="148"/>
        <v>2.9172952054068446E-8</v>
      </c>
      <c r="AA159" s="41" t="str">
        <f t="shared" si="149"/>
        <v/>
      </c>
      <c r="AB159" s="24">
        <f t="shared" si="150"/>
        <v>3.5007542464882135E-7</v>
      </c>
      <c r="AC159" s="41" t="str">
        <f t="shared" si="151"/>
        <v/>
      </c>
      <c r="AD159" s="24">
        <f t="shared" si="152"/>
        <v>4.2009050957858562E-6</v>
      </c>
      <c r="AE159" s="41" t="str">
        <f t="shared" si="153"/>
        <v/>
      </c>
      <c r="AF159" s="24">
        <f t="shared" si="154"/>
        <v>5.0410861149430275E-5</v>
      </c>
      <c r="AG159" s="41" t="str">
        <f t="shared" si="155"/>
        <v/>
      </c>
      <c r="AH159" s="24">
        <f t="shared" si="156"/>
        <v>6.049303337931633E-4</v>
      </c>
      <c r="AI159" s="41" t="str">
        <f t="shared" si="157"/>
        <v/>
      </c>
      <c r="AJ159" s="24">
        <f t="shared" si="158"/>
        <v>7.2591640055179596E-3</v>
      </c>
      <c r="AK159" s="41" t="str">
        <f t="shared" si="159"/>
        <v/>
      </c>
    </row>
    <row r="160" spans="5:37" x14ac:dyDescent="0.2">
      <c r="E160" s="443" t="s">
        <v>1318</v>
      </c>
      <c r="F160" s="91">
        <f t="shared" si="77"/>
        <v>372</v>
      </c>
      <c r="G160" s="8">
        <v>2</v>
      </c>
      <c r="H160" s="8">
        <f t="shared" si="160"/>
        <v>157.00000000000011</v>
      </c>
      <c r="I160" s="37" t="str">
        <f t="shared" si="133"/>
        <v>1;11</v>
      </c>
      <c r="J160" s="38">
        <v>2</v>
      </c>
      <c r="K160" s="128">
        <f t="shared" si="134"/>
        <v>1.0902777777777786</v>
      </c>
      <c r="L160" s="39" t="str">
        <f>INDEX(powers!$H$2:$H$75,33+J160)</f>
        <v>gross</v>
      </c>
      <c r="M160" s="40" t="str">
        <f t="shared" si="135"/>
        <v>1</v>
      </c>
      <c r="N160" s="24">
        <f t="shared" si="136"/>
        <v>1.0833333333333428</v>
      </c>
      <c r="O160" s="41" t="str">
        <f t="shared" si="137"/>
        <v>1</v>
      </c>
      <c r="P160" s="24">
        <f t="shared" si="138"/>
        <v>1.0000000000001137</v>
      </c>
      <c r="Q160" s="41" t="str">
        <f t="shared" si="139"/>
        <v>1</v>
      </c>
      <c r="R160" s="24">
        <f t="shared" si="140"/>
        <v>1.3642420526593924E-12</v>
      </c>
      <c r="S160" s="41" t="str">
        <f t="shared" si="141"/>
        <v/>
      </c>
      <c r="T160" s="24">
        <f t="shared" si="142"/>
        <v>1.6370904631912708E-11</v>
      </c>
      <c r="U160" s="41" t="str">
        <f t="shared" si="143"/>
        <v/>
      </c>
      <c r="V160" s="24">
        <f t="shared" si="144"/>
        <v>1.964508555829525E-10</v>
      </c>
      <c r="W160" s="41" t="str">
        <f t="shared" si="145"/>
        <v/>
      </c>
      <c r="X160" s="24">
        <f t="shared" si="146"/>
        <v>2.35741026699543E-9</v>
      </c>
      <c r="Y160" s="41" t="str">
        <f t="shared" si="147"/>
        <v/>
      </c>
      <c r="Z160" s="24">
        <f t="shared" si="148"/>
        <v>2.828892320394516E-8</v>
      </c>
      <c r="AA160" s="41" t="str">
        <f t="shared" si="149"/>
        <v/>
      </c>
      <c r="AB160" s="24">
        <f t="shared" si="150"/>
        <v>3.3946707844734192E-7</v>
      </c>
      <c r="AC160" s="41" t="str">
        <f t="shared" si="151"/>
        <v/>
      </c>
      <c r="AD160" s="24">
        <f t="shared" si="152"/>
        <v>4.073604941368103E-6</v>
      </c>
      <c r="AE160" s="41" t="str">
        <f t="shared" si="153"/>
        <v/>
      </c>
      <c r="AF160" s="24">
        <f t="shared" si="154"/>
        <v>4.8883259296417236E-5</v>
      </c>
      <c r="AG160" s="41" t="str">
        <f t="shared" si="155"/>
        <v/>
      </c>
      <c r="AH160" s="24">
        <f t="shared" si="156"/>
        <v>5.8659911155700684E-4</v>
      </c>
      <c r="AI160" s="41" t="str">
        <f t="shared" si="157"/>
        <v/>
      </c>
      <c r="AJ160" s="24">
        <f t="shared" si="158"/>
        <v>7.039189338684082E-3</v>
      </c>
      <c r="AK160" s="41" t="str">
        <f t="shared" si="159"/>
        <v/>
      </c>
    </row>
    <row r="161" spans="5:37" x14ac:dyDescent="0.2">
      <c r="E161" s="443" t="s">
        <v>1319</v>
      </c>
      <c r="F161" s="91">
        <f t="shared" si="77"/>
        <v>436</v>
      </c>
      <c r="G161" s="8">
        <v>2</v>
      </c>
      <c r="H161" s="8">
        <f t="shared" si="160"/>
        <v>158.00000000000011</v>
      </c>
      <c r="I161" s="37" t="str">
        <f t="shared" si="133"/>
        <v>1;12</v>
      </c>
      <c r="J161" s="38">
        <v>2</v>
      </c>
      <c r="K161" s="128">
        <f t="shared" si="134"/>
        <v>1.097222222222223</v>
      </c>
      <c r="L161" s="39" t="str">
        <f>INDEX(powers!$H$2:$H$75,33+J161)</f>
        <v>gross</v>
      </c>
      <c r="M161" s="40" t="str">
        <f t="shared" si="135"/>
        <v>1</v>
      </c>
      <c r="N161" s="24">
        <f t="shared" si="136"/>
        <v>1.1666666666666758</v>
      </c>
      <c r="O161" s="41" t="str">
        <f t="shared" si="137"/>
        <v>1</v>
      </c>
      <c r="P161" s="24">
        <f t="shared" si="138"/>
        <v>2.0000000000001101</v>
      </c>
      <c r="Q161" s="41" t="str">
        <f t="shared" si="139"/>
        <v>2</v>
      </c>
      <c r="R161" s="24">
        <f t="shared" si="140"/>
        <v>1.3216094885137863E-12</v>
      </c>
      <c r="S161" s="41" t="str">
        <f t="shared" si="141"/>
        <v/>
      </c>
      <c r="T161" s="24">
        <f t="shared" si="142"/>
        <v>1.5859313862165436E-11</v>
      </c>
      <c r="U161" s="41" t="str">
        <f t="shared" si="143"/>
        <v/>
      </c>
      <c r="V161" s="24">
        <f t="shared" si="144"/>
        <v>1.9031176634598523E-10</v>
      </c>
      <c r="W161" s="41" t="str">
        <f t="shared" si="145"/>
        <v/>
      </c>
      <c r="X161" s="24">
        <f t="shared" si="146"/>
        <v>2.2837411961518228E-9</v>
      </c>
      <c r="Y161" s="41" t="str">
        <f t="shared" si="147"/>
        <v/>
      </c>
      <c r="Z161" s="24">
        <f t="shared" si="148"/>
        <v>2.7404894353821874E-8</v>
      </c>
      <c r="AA161" s="41" t="str">
        <f t="shared" si="149"/>
        <v/>
      </c>
      <c r="AB161" s="24">
        <f t="shared" si="150"/>
        <v>3.2885873224586248E-7</v>
      </c>
      <c r="AC161" s="41" t="str">
        <f t="shared" si="151"/>
        <v/>
      </c>
      <c r="AD161" s="24">
        <f t="shared" si="152"/>
        <v>3.9463047869503498E-6</v>
      </c>
      <c r="AE161" s="41" t="str">
        <f t="shared" si="153"/>
        <v/>
      </c>
      <c r="AF161" s="24">
        <f t="shared" si="154"/>
        <v>4.7355657443404198E-5</v>
      </c>
      <c r="AG161" s="41" t="str">
        <f t="shared" si="155"/>
        <v/>
      </c>
      <c r="AH161" s="24">
        <f t="shared" si="156"/>
        <v>5.6826788932085037E-4</v>
      </c>
      <c r="AI161" s="41" t="str">
        <f t="shared" si="157"/>
        <v/>
      </c>
      <c r="AJ161" s="24">
        <f t="shared" si="158"/>
        <v>6.8192146718502045E-3</v>
      </c>
      <c r="AK161" s="41" t="str">
        <f t="shared" si="159"/>
        <v/>
      </c>
    </row>
    <row r="162" spans="5:37" x14ac:dyDescent="0.2">
      <c r="E162" s="443" t="s">
        <v>1320</v>
      </c>
      <c r="F162" s="91">
        <f t="shared" si="77"/>
        <v>500</v>
      </c>
      <c r="G162" s="8">
        <v>2</v>
      </c>
      <c r="H162" s="8">
        <f t="shared" si="160"/>
        <v>159.00000000000011</v>
      </c>
      <c r="I162" s="37" t="str">
        <f t="shared" si="133"/>
        <v>1;13</v>
      </c>
      <c r="J162" s="38">
        <v>2</v>
      </c>
      <c r="K162" s="128">
        <f t="shared" si="134"/>
        <v>1.1041666666666674</v>
      </c>
      <c r="L162" s="39" t="str">
        <f>INDEX(powers!$H$2:$H$75,33+J162)</f>
        <v>gross</v>
      </c>
      <c r="M162" s="40" t="str">
        <f t="shared" si="135"/>
        <v>1</v>
      </c>
      <c r="N162" s="24">
        <f t="shared" si="136"/>
        <v>1.2500000000000089</v>
      </c>
      <c r="O162" s="41" t="str">
        <f t="shared" si="137"/>
        <v>1</v>
      </c>
      <c r="P162" s="24">
        <f t="shared" si="138"/>
        <v>3.0000000000001066</v>
      </c>
      <c r="Q162" s="41" t="str">
        <f t="shared" si="139"/>
        <v>3</v>
      </c>
      <c r="R162" s="24">
        <f t="shared" si="140"/>
        <v>1.2789769243681803E-12</v>
      </c>
      <c r="S162" s="41" t="str">
        <f t="shared" si="141"/>
        <v/>
      </c>
      <c r="T162" s="24">
        <f t="shared" si="142"/>
        <v>1.5347723092418164E-11</v>
      </c>
      <c r="U162" s="41" t="str">
        <f t="shared" si="143"/>
        <v/>
      </c>
      <c r="V162" s="24">
        <f t="shared" si="144"/>
        <v>1.8417267710901797E-10</v>
      </c>
      <c r="W162" s="41" t="str">
        <f t="shared" si="145"/>
        <v/>
      </c>
      <c r="X162" s="24">
        <f t="shared" si="146"/>
        <v>2.2100721253082156E-9</v>
      </c>
      <c r="Y162" s="41" t="str">
        <f t="shared" si="147"/>
        <v/>
      </c>
      <c r="Z162" s="24">
        <f t="shared" si="148"/>
        <v>2.6520865503698587E-8</v>
      </c>
      <c r="AA162" s="41" t="str">
        <f t="shared" si="149"/>
        <v/>
      </c>
      <c r="AB162" s="24">
        <f t="shared" si="150"/>
        <v>3.1825038604438305E-7</v>
      </c>
      <c r="AC162" s="41" t="str">
        <f t="shared" si="151"/>
        <v/>
      </c>
      <c r="AD162" s="24">
        <f t="shared" si="152"/>
        <v>3.8190046325325966E-6</v>
      </c>
      <c r="AE162" s="41" t="str">
        <f t="shared" si="153"/>
        <v/>
      </c>
      <c r="AF162" s="24">
        <f t="shared" si="154"/>
        <v>4.5828055590391159E-5</v>
      </c>
      <c r="AG162" s="41" t="str">
        <f t="shared" si="155"/>
        <v/>
      </c>
      <c r="AH162" s="24">
        <f t="shared" si="156"/>
        <v>5.4993666708469391E-4</v>
      </c>
      <c r="AI162" s="41" t="str">
        <f t="shared" si="157"/>
        <v/>
      </c>
      <c r="AJ162" s="24">
        <f t="shared" si="158"/>
        <v>6.5992400050163269E-3</v>
      </c>
      <c r="AK162" s="41" t="str">
        <f t="shared" si="159"/>
        <v/>
      </c>
    </row>
    <row r="163" spans="5:37" x14ac:dyDescent="0.2">
      <c r="E163" s="443" t="s">
        <v>1321</v>
      </c>
      <c r="F163" s="91">
        <f t="shared" si="77"/>
        <v>564</v>
      </c>
      <c r="G163" s="8">
        <v>2</v>
      </c>
      <c r="H163" s="8">
        <f t="shared" si="160"/>
        <v>160.00000000000011</v>
      </c>
      <c r="I163" s="37" t="str">
        <f t="shared" si="133"/>
        <v>1;14</v>
      </c>
      <c r="J163" s="38">
        <v>2</v>
      </c>
      <c r="K163" s="128">
        <f t="shared" si="134"/>
        <v>1.1111111111111118</v>
      </c>
      <c r="L163" s="39" t="str">
        <f>INDEX(powers!$H$2:$H$75,33+J163)</f>
        <v>gross</v>
      </c>
      <c r="M163" s="40" t="str">
        <f t="shared" si="135"/>
        <v>1</v>
      </c>
      <c r="N163" s="24">
        <f t="shared" si="136"/>
        <v>1.3333333333333419</v>
      </c>
      <c r="O163" s="41" t="str">
        <f t="shared" si="137"/>
        <v>1</v>
      </c>
      <c r="P163" s="24">
        <f t="shared" si="138"/>
        <v>4.000000000000103</v>
      </c>
      <c r="Q163" s="41" t="str">
        <f t="shared" si="139"/>
        <v>4</v>
      </c>
      <c r="R163" s="24">
        <f t="shared" si="140"/>
        <v>1.2363443602225743E-12</v>
      </c>
      <c r="S163" s="41" t="str">
        <f t="shared" si="141"/>
        <v/>
      </c>
      <c r="T163" s="24">
        <f t="shared" si="142"/>
        <v>1.4836132322670892E-11</v>
      </c>
      <c r="U163" s="41" t="str">
        <f t="shared" si="143"/>
        <v/>
      </c>
      <c r="V163" s="24">
        <f t="shared" si="144"/>
        <v>1.780335878720507E-10</v>
      </c>
      <c r="W163" s="41" t="str">
        <f t="shared" si="145"/>
        <v/>
      </c>
      <c r="X163" s="24">
        <f t="shared" si="146"/>
        <v>2.1364030544646084E-9</v>
      </c>
      <c r="Y163" s="41" t="str">
        <f t="shared" si="147"/>
        <v/>
      </c>
      <c r="Z163" s="24">
        <f t="shared" si="148"/>
        <v>2.5636836653575301E-8</v>
      </c>
      <c r="AA163" s="41" t="str">
        <f t="shared" si="149"/>
        <v/>
      </c>
      <c r="AB163" s="24">
        <f t="shared" si="150"/>
        <v>3.0764203984290361E-7</v>
      </c>
      <c r="AC163" s="41" t="str">
        <f t="shared" si="151"/>
        <v/>
      </c>
      <c r="AD163" s="24">
        <f t="shared" si="152"/>
        <v>3.6917044781148434E-6</v>
      </c>
      <c r="AE163" s="41" t="str">
        <f t="shared" si="153"/>
        <v/>
      </c>
      <c r="AF163" s="24">
        <f t="shared" si="154"/>
        <v>4.430045373737812E-5</v>
      </c>
      <c r="AG163" s="41" t="str">
        <f t="shared" si="155"/>
        <v/>
      </c>
      <c r="AH163" s="24">
        <f t="shared" si="156"/>
        <v>5.3160544484853745E-4</v>
      </c>
      <c r="AI163" s="41" t="str">
        <f t="shared" si="157"/>
        <v/>
      </c>
      <c r="AJ163" s="24">
        <f t="shared" si="158"/>
        <v>6.3792653381824493E-3</v>
      </c>
      <c r="AK163" s="41" t="str">
        <f t="shared" si="159"/>
        <v/>
      </c>
    </row>
    <row r="164" spans="5:37" x14ac:dyDescent="0.2">
      <c r="E164" s="443" t="s">
        <v>1322</v>
      </c>
      <c r="F164" s="91">
        <f t="shared" si="77"/>
        <v>628</v>
      </c>
      <c r="G164" s="8">
        <v>2</v>
      </c>
      <c r="H164" s="8">
        <f t="shared" si="160"/>
        <v>161.00000000000011</v>
      </c>
      <c r="I164" s="37" t="str">
        <f t="shared" si="133"/>
        <v>1;15</v>
      </c>
      <c r="J164" s="38">
        <v>2</v>
      </c>
      <c r="K164" s="128">
        <f t="shared" si="134"/>
        <v>1.1180555555555562</v>
      </c>
      <c r="L164" s="39" t="str">
        <f>INDEX(powers!$H$2:$H$75,33+J164)</f>
        <v>gross</v>
      </c>
      <c r="M164" s="40" t="str">
        <f t="shared" si="135"/>
        <v>1</v>
      </c>
      <c r="N164" s="24">
        <f t="shared" si="136"/>
        <v>1.416666666666675</v>
      </c>
      <c r="O164" s="41" t="str">
        <f t="shared" si="137"/>
        <v>1</v>
      </c>
      <c r="P164" s="24">
        <f t="shared" si="138"/>
        <v>5.0000000000000995</v>
      </c>
      <c r="Q164" s="41" t="str">
        <f t="shared" si="139"/>
        <v>5</v>
      </c>
      <c r="R164" s="24">
        <f t="shared" si="140"/>
        <v>1.1937117960769683E-12</v>
      </c>
      <c r="S164" s="41" t="str">
        <f t="shared" si="141"/>
        <v/>
      </c>
      <c r="T164" s="24">
        <f t="shared" si="142"/>
        <v>1.432454155292362E-11</v>
      </c>
      <c r="U164" s="41" t="str">
        <f t="shared" si="143"/>
        <v/>
      </c>
      <c r="V164" s="24">
        <f t="shared" si="144"/>
        <v>1.7189449863508344E-10</v>
      </c>
      <c r="W164" s="41" t="str">
        <f t="shared" si="145"/>
        <v/>
      </c>
      <c r="X164" s="24">
        <f t="shared" si="146"/>
        <v>2.0627339836210012E-9</v>
      </c>
      <c r="Y164" s="41" t="str">
        <f t="shared" si="147"/>
        <v/>
      </c>
      <c r="Z164" s="24">
        <f t="shared" si="148"/>
        <v>2.4752807803452015E-8</v>
      </c>
      <c r="AA164" s="41" t="str">
        <f t="shared" si="149"/>
        <v/>
      </c>
      <c r="AB164" s="24">
        <f t="shared" si="150"/>
        <v>2.9703369364142418E-7</v>
      </c>
      <c r="AC164" s="41" t="str">
        <f t="shared" si="151"/>
        <v/>
      </c>
      <c r="AD164" s="24">
        <f t="shared" si="152"/>
        <v>3.5644043236970901E-6</v>
      </c>
      <c r="AE164" s="41" t="str">
        <f t="shared" si="153"/>
        <v/>
      </c>
      <c r="AF164" s="24">
        <f t="shared" si="154"/>
        <v>4.2772851884365082E-5</v>
      </c>
      <c r="AG164" s="41" t="str">
        <f t="shared" si="155"/>
        <v/>
      </c>
      <c r="AH164" s="24">
        <f t="shared" si="156"/>
        <v>5.1327422261238098E-4</v>
      </c>
      <c r="AI164" s="41" t="str">
        <f t="shared" si="157"/>
        <v/>
      </c>
      <c r="AJ164" s="24">
        <f t="shared" si="158"/>
        <v>6.1592906713485718E-3</v>
      </c>
      <c r="AK164" s="41" t="str">
        <f t="shared" si="159"/>
        <v/>
      </c>
    </row>
    <row r="165" spans="5:37" x14ac:dyDescent="0.2">
      <c r="E165" s="443" t="s">
        <v>1323</v>
      </c>
      <c r="F165" s="91">
        <f t="shared" si="77"/>
        <v>692</v>
      </c>
      <c r="G165" s="8">
        <v>2</v>
      </c>
      <c r="H165" s="8">
        <f t="shared" si="160"/>
        <v>162.00000000000011</v>
      </c>
      <c r="I165" s="37" t="str">
        <f t="shared" si="133"/>
        <v>1;16</v>
      </c>
      <c r="J165" s="38">
        <v>2</v>
      </c>
      <c r="K165" s="128">
        <f t="shared" si="134"/>
        <v>1.1250000000000009</v>
      </c>
      <c r="L165" s="39" t="str">
        <f>INDEX(powers!$H$2:$H$75,33+J165)</f>
        <v>gross</v>
      </c>
      <c r="M165" s="40" t="str">
        <f t="shared" si="135"/>
        <v>1</v>
      </c>
      <c r="N165" s="24">
        <f t="shared" si="136"/>
        <v>1.5000000000000107</v>
      </c>
      <c r="O165" s="41" t="str">
        <f t="shared" si="137"/>
        <v>1</v>
      </c>
      <c r="P165" s="24">
        <f t="shared" si="138"/>
        <v>6.0000000000001279</v>
      </c>
      <c r="Q165" s="41" t="str">
        <f t="shared" si="139"/>
        <v>6</v>
      </c>
      <c r="R165" s="24">
        <f t="shared" si="140"/>
        <v>1.5347723092418164E-12</v>
      </c>
      <c r="S165" s="41" t="str">
        <f t="shared" si="141"/>
        <v/>
      </c>
      <c r="T165" s="24">
        <f t="shared" si="142"/>
        <v>1.8417267710901797E-11</v>
      </c>
      <c r="U165" s="41" t="str">
        <f t="shared" si="143"/>
        <v/>
      </c>
      <c r="V165" s="24">
        <f t="shared" si="144"/>
        <v>2.2100721253082156E-10</v>
      </c>
      <c r="W165" s="41" t="str">
        <f t="shared" si="145"/>
        <v/>
      </c>
      <c r="X165" s="24">
        <f t="shared" si="146"/>
        <v>2.6520865503698587E-9</v>
      </c>
      <c r="Y165" s="41" t="str">
        <f t="shared" si="147"/>
        <v/>
      </c>
      <c r="Z165" s="24">
        <f t="shared" si="148"/>
        <v>3.1825038604438305E-8</v>
      </c>
      <c r="AA165" s="41" t="str">
        <f t="shared" si="149"/>
        <v/>
      </c>
      <c r="AB165" s="24">
        <f t="shared" si="150"/>
        <v>3.8190046325325966E-7</v>
      </c>
      <c r="AC165" s="41" t="str">
        <f t="shared" si="151"/>
        <v/>
      </c>
      <c r="AD165" s="24">
        <f t="shared" si="152"/>
        <v>4.5828055590391159E-6</v>
      </c>
      <c r="AE165" s="41" t="str">
        <f t="shared" si="153"/>
        <v/>
      </c>
      <c r="AF165" s="24">
        <f t="shared" si="154"/>
        <v>5.4993666708469391E-5</v>
      </c>
      <c r="AG165" s="41" t="str">
        <f t="shared" si="155"/>
        <v/>
      </c>
      <c r="AH165" s="24">
        <f t="shared" si="156"/>
        <v>6.5992400050163269E-4</v>
      </c>
      <c r="AI165" s="41" t="str">
        <f t="shared" si="157"/>
        <v/>
      </c>
      <c r="AJ165" s="24">
        <f t="shared" si="158"/>
        <v>7.9190880060195923E-3</v>
      </c>
      <c r="AK165" s="41" t="str">
        <f t="shared" si="159"/>
        <v/>
      </c>
    </row>
    <row r="166" spans="5:37" x14ac:dyDescent="0.2">
      <c r="E166" s="443" t="s">
        <v>1324</v>
      </c>
      <c r="F166" s="91">
        <f t="shared" si="77"/>
        <v>756</v>
      </c>
      <c r="G166" s="8">
        <v>2</v>
      </c>
      <c r="H166" s="8">
        <f t="shared" si="160"/>
        <v>163.00000000000011</v>
      </c>
      <c r="I166" s="37" t="str">
        <f t="shared" si="133"/>
        <v>1;17</v>
      </c>
      <c r="J166" s="38">
        <v>2</v>
      </c>
      <c r="K166" s="128">
        <f t="shared" si="134"/>
        <v>1.1319444444444453</v>
      </c>
      <c r="L166" s="39" t="str">
        <f>INDEX(powers!$H$2:$H$75,33+J166)</f>
        <v>gross</v>
      </c>
      <c r="M166" s="40" t="str">
        <f t="shared" si="135"/>
        <v>1</v>
      </c>
      <c r="N166" s="24">
        <f t="shared" si="136"/>
        <v>1.5833333333333437</v>
      </c>
      <c r="O166" s="41" t="str">
        <f t="shared" si="137"/>
        <v>1</v>
      </c>
      <c r="P166" s="24">
        <f t="shared" si="138"/>
        <v>7.0000000000001243</v>
      </c>
      <c r="Q166" s="41" t="str">
        <f t="shared" si="139"/>
        <v>7</v>
      </c>
      <c r="R166" s="24">
        <f t="shared" si="140"/>
        <v>1.4921397450962104E-12</v>
      </c>
      <c r="S166" s="41" t="str">
        <f t="shared" si="141"/>
        <v/>
      </c>
      <c r="T166" s="24">
        <f t="shared" si="142"/>
        <v>1.7905676941154525E-11</v>
      </c>
      <c r="U166" s="41" t="str">
        <f t="shared" si="143"/>
        <v/>
      </c>
      <c r="V166" s="24">
        <f t="shared" si="144"/>
        <v>2.148681232938543E-10</v>
      </c>
      <c r="W166" s="41" t="str">
        <f t="shared" si="145"/>
        <v/>
      </c>
      <c r="X166" s="24">
        <f t="shared" si="146"/>
        <v>2.5784174795262516E-9</v>
      </c>
      <c r="Y166" s="41" t="str">
        <f t="shared" si="147"/>
        <v/>
      </c>
      <c r="Z166" s="24">
        <f t="shared" si="148"/>
        <v>3.0941009754315019E-8</v>
      </c>
      <c r="AA166" s="41" t="str">
        <f t="shared" si="149"/>
        <v/>
      </c>
      <c r="AB166" s="24">
        <f t="shared" si="150"/>
        <v>3.7129211705178022E-7</v>
      </c>
      <c r="AC166" s="41" t="str">
        <f t="shared" si="151"/>
        <v/>
      </c>
      <c r="AD166" s="24">
        <f t="shared" si="152"/>
        <v>4.4555054046213627E-6</v>
      </c>
      <c r="AE166" s="41" t="str">
        <f t="shared" si="153"/>
        <v/>
      </c>
      <c r="AF166" s="24">
        <f t="shared" si="154"/>
        <v>5.3466064855456352E-5</v>
      </c>
      <c r="AG166" s="41" t="str">
        <f t="shared" si="155"/>
        <v/>
      </c>
      <c r="AH166" s="24">
        <f t="shared" si="156"/>
        <v>6.4159277826547623E-4</v>
      </c>
      <c r="AI166" s="41" t="str">
        <f t="shared" si="157"/>
        <v/>
      </c>
      <c r="AJ166" s="24">
        <f t="shared" si="158"/>
        <v>7.6991133391857147E-3</v>
      </c>
      <c r="AK166" s="41" t="str">
        <f t="shared" si="159"/>
        <v/>
      </c>
    </row>
    <row r="167" spans="5:37" x14ac:dyDescent="0.2">
      <c r="E167" s="443" t="s">
        <v>1325</v>
      </c>
      <c r="F167" s="91">
        <f t="shared" ref="F167:F186" si="161">F$187+(H167-H$187)*H$15</f>
        <v>820</v>
      </c>
      <c r="G167" s="8">
        <v>2</v>
      </c>
      <c r="H167" s="8">
        <f t="shared" si="160"/>
        <v>164.00000000000011</v>
      </c>
      <c r="I167" s="37" t="str">
        <f t="shared" si="133"/>
        <v>1;18</v>
      </c>
      <c r="J167" s="38">
        <v>2</v>
      </c>
      <c r="K167" s="128">
        <f t="shared" si="134"/>
        <v>1.1388888888888897</v>
      </c>
      <c r="L167" s="39" t="str">
        <f>INDEX(powers!$H$2:$H$75,33+J167)</f>
        <v>gross</v>
      </c>
      <c r="M167" s="40" t="str">
        <f t="shared" si="135"/>
        <v>1</v>
      </c>
      <c r="N167" s="24">
        <f t="shared" si="136"/>
        <v>1.6666666666666767</v>
      </c>
      <c r="O167" s="41" t="str">
        <f t="shared" si="137"/>
        <v>1</v>
      </c>
      <c r="P167" s="24">
        <f t="shared" si="138"/>
        <v>8.0000000000001208</v>
      </c>
      <c r="Q167" s="41" t="str">
        <f t="shared" si="139"/>
        <v>8</v>
      </c>
      <c r="R167" s="24">
        <f t="shared" si="140"/>
        <v>1.4495071809506044E-12</v>
      </c>
      <c r="S167" s="41" t="str">
        <f t="shared" si="141"/>
        <v/>
      </c>
      <c r="T167" s="24">
        <f t="shared" si="142"/>
        <v>1.7394086171407253E-11</v>
      </c>
      <c r="U167" s="41" t="str">
        <f t="shared" si="143"/>
        <v/>
      </c>
      <c r="V167" s="24">
        <f t="shared" si="144"/>
        <v>2.0872903405688703E-10</v>
      </c>
      <c r="W167" s="41" t="str">
        <f t="shared" si="145"/>
        <v/>
      </c>
      <c r="X167" s="24">
        <f t="shared" si="146"/>
        <v>2.5047484086826444E-9</v>
      </c>
      <c r="Y167" s="41" t="str">
        <f t="shared" si="147"/>
        <v/>
      </c>
      <c r="Z167" s="24">
        <f t="shared" si="148"/>
        <v>3.0056980904191732E-8</v>
      </c>
      <c r="AA167" s="41" t="str">
        <f t="shared" si="149"/>
        <v/>
      </c>
      <c r="AB167" s="24">
        <f t="shared" si="150"/>
        <v>3.6068377085030079E-7</v>
      </c>
      <c r="AC167" s="41" t="str">
        <f t="shared" si="151"/>
        <v/>
      </c>
      <c r="AD167" s="24">
        <f t="shared" si="152"/>
        <v>4.3282052502036095E-6</v>
      </c>
      <c r="AE167" s="41" t="str">
        <f t="shared" si="153"/>
        <v/>
      </c>
      <c r="AF167" s="24">
        <f t="shared" si="154"/>
        <v>5.1938463002443314E-5</v>
      </c>
      <c r="AG167" s="41" t="str">
        <f t="shared" si="155"/>
        <v/>
      </c>
      <c r="AH167" s="24">
        <f t="shared" si="156"/>
        <v>6.2326155602931976E-4</v>
      </c>
      <c r="AI167" s="41" t="str">
        <f t="shared" si="157"/>
        <v/>
      </c>
      <c r="AJ167" s="24">
        <f t="shared" si="158"/>
        <v>7.4791386723518372E-3</v>
      </c>
      <c r="AK167" s="41" t="str">
        <f t="shared" si="159"/>
        <v/>
      </c>
    </row>
    <row r="168" spans="5:37" x14ac:dyDescent="0.2">
      <c r="E168" s="443" t="s">
        <v>1326</v>
      </c>
      <c r="F168" s="91">
        <f t="shared" si="161"/>
        <v>884</v>
      </c>
      <c r="G168" s="8">
        <v>2</v>
      </c>
      <c r="H168" s="8">
        <f t="shared" si="160"/>
        <v>165.00000000000011</v>
      </c>
      <c r="I168" s="37" t="str">
        <f t="shared" si="133"/>
        <v>1;19</v>
      </c>
      <c r="J168" s="38">
        <v>2</v>
      </c>
      <c r="K168" s="128">
        <f t="shared" si="134"/>
        <v>1.1458333333333341</v>
      </c>
      <c r="L168" s="39" t="str">
        <f>INDEX(powers!$H$2:$H$75,33+J168)</f>
        <v>gross</v>
      </c>
      <c r="M168" s="40" t="str">
        <f t="shared" si="135"/>
        <v>1</v>
      </c>
      <c r="N168" s="24">
        <f t="shared" si="136"/>
        <v>1.7500000000000098</v>
      </c>
      <c r="O168" s="41" t="str">
        <f t="shared" si="137"/>
        <v>1</v>
      </c>
      <c r="P168" s="24">
        <f t="shared" si="138"/>
        <v>9.0000000000001172</v>
      </c>
      <c r="Q168" s="41" t="str">
        <f t="shared" si="139"/>
        <v>9</v>
      </c>
      <c r="R168" s="24">
        <f t="shared" si="140"/>
        <v>1.4068746168049984E-12</v>
      </c>
      <c r="S168" s="41" t="str">
        <f t="shared" si="141"/>
        <v/>
      </c>
      <c r="T168" s="24">
        <f t="shared" si="142"/>
        <v>1.688249540165998E-11</v>
      </c>
      <c r="U168" s="41" t="str">
        <f t="shared" si="143"/>
        <v/>
      </c>
      <c r="V168" s="24">
        <f t="shared" si="144"/>
        <v>2.0258994481991976E-10</v>
      </c>
      <c r="W168" s="41" t="str">
        <f t="shared" si="145"/>
        <v/>
      </c>
      <c r="X168" s="24">
        <f t="shared" si="146"/>
        <v>2.4310793378390372E-9</v>
      </c>
      <c r="Y168" s="41" t="str">
        <f t="shared" si="147"/>
        <v/>
      </c>
      <c r="Z168" s="24">
        <f t="shared" si="148"/>
        <v>2.9172952054068446E-8</v>
      </c>
      <c r="AA168" s="41" t="str">
        <f t="shared" si="149"/>
        <v/>
      </c>
      <c r="AB168" s="24">
        <f t="shared" si="150"/>
        <v>3.5007542464882135E-7</v>
      </c>
      <c r="AC168" s="41" t="str">
        <f t="shared" si="151"/>
        <v/>
      </c>
      <c r="AD168" s="24">
        <f t="shared" si="152"/>
        <v>4.2009050957858562E-6</v>
      </c>
      <c r="AE168" s="41" t="str">
        <f t="shared" si="153"/>
        <v/>
      </c>
      <c r="AF168" s="24">
        <f t="shared" si="154"/>
        <v>5.0410861149430275E-5</v>
      </c>
      <c r="AG168" s="41" t="str">
        <f t="shared" si="155"/>
        <v/>
      </c>
      <c r="AH168" s="24">
        <f t="shared" si="156"/>
        <v>6.049303337931633E-4</v>
      </c>
      <c r="AI168" s="41" t="str">
        <f t="shared" si="157"/>
        <v/>
      </c>
      <c r="AJ168" s="24">
        <f t="shared" si="158"/>
        <v>7.2591640055179596E-3</v>
      </c>
      <c r="AK168" s="41" t="str">
        <f t="shared" si="159"/>
        <v/>
      </c>
    </row>
    <row r="169" spans="5:37" x14ac:dyDescent="0.2">
      <c r="E169" s="443" t="s">
        <v>1327</v>
      </c>
      <c r="F169" s="91">
        <f t="shared" si="161"/>
        <v>948</v>
      </c>
      <c r="G169" s="8">
        <v>2</v>
      </c>
      <c r="H169" s="8">
        <f t="shared" si="160"/>
        <v>166.00000000000011</v>
      </c>
      <c r="I169" s="37" t="str">
        <f t="shared" si="133"/>
        <v>1;1X</v>
      </c>
      <c r="J169" s="38">
        <v>2</v>
      </c>
      <c r="K169" s="128">
        <f t="shared" si="134"/>
        <v>1.1527777777777786</v>
      </c>
      <c r="L169" s="39" t="str">
        <f>INDEX(powers!$H$2:$H$75,33+J169)</f>
        <v>gross</v>
      </c>
      <c r="M169" s="40" t="str">
        <f t="shared" si="135"/>
        <v>1</v>
      </c>
      <c r="N169" s="24">
        <f t="shared" si="136"/>
        <v>1.8333333333333428</v>
      </c>
      <c r="O169" s="41" t="str">
        <f t="shared" si="137"/>
        <v>1</v>
      </c>
      <c r="P169" s="24">
        <f t="shared" si="138"/>
        <v>10.000000000000114</v>
      </c>
      <c r="Q169" s="41" t="str">
        <f t="shared" si="139"/>
        <v>X</v>
      </c>
      <c r="R169" s="24">
        <f t="shared" si="140"/>
        <v>1.3642420526593924E-12</v>
      </c>
      <c r="S169" s="41" t="str">
        <f t="shared" si="141"/>
        <v/>
      </c>
      <c r="T169" s="24">
        <f t="shared" si="142"/>
        <v>1.6370904631912708E-11</v>
      </c>
      <c r="U169" s="41" t="str">
        <f t="shared" si="143"/>
        <v/>
      </c>
      <c r="V169" s="24">
        <f t="shared" si="144"/>
        <v>1.964508555829525E-10</v>
      </c>
      <c r="W169" s="41" t="str">
        <f t="shared" si="145"/>
        <v/>
      </c>
      <c r="X169" s="24">
        <f t="shared" si="146"/>
        <v>2.35741026699543E-9</v>
      </c>
      <c r="Y169" s="41" t="str">
        <f t="shared" si="147"/>
        <v/>
      </c>
      <c r="Z169" s="24">
        <f t="shared" si="148"/>
        <v>2.828892320394516E-8</v>
      </c>
      <c r="AA169" s="41" t="str">
        <f t="shared" si="149"/>
        <v/>
      </c>
      <c r="AB169" s="24">
        <f t="shared" si="150"/>
        <v>3.3946707844734192E-7</v>
      </c>
      <c r="AC169" s="41" t="str">
        <f t="shared" si="151"/>
        <v/>
      </c>
      <c r="AD169" s="24">
        <f t="shared" si="152"/>
        <v>4.073604941368103E-6</v>
      </c>
      <c r="AE169" s="41" t="str">
        <f t="shared" si="153"/>
        <v/>
      </c>
      <c r="AF169" s="24">
        <f t="shared" si="154"/>
        <v>4.8883259296417236E-5</v>
      </c>
      <c r="AG169" s="41" t="str">
        <f t="shared" si="155"/>
        <v/>
      </c>
      <c r="AH169" s="24">
        <f t="shared" si="156"/>
        <v>5.8659911155700684E-4</v>
      </c>
      <c r="AI169" s="41" t="str">
        <f t="shared" si="157"/>
        <v/>
      </c>
      <c r="AJ169" s="24">
        <f t="shared" si="158"/>
        <v>7.039189338684082E-3</v>
      </c>
      <c r="AK169" s="41" t="str">
        <f t="shared" si="159"/>
        <v/>
      </c>
    </row>
    <row r="170" spans="5:37" x14ac:dyDescent="0.2">
      <c r="E170" s="443" t="s">
        <v>1328</v>
      </c>
      <c r="F170" s="91">
        <f t="shared" si="161"/>
        <v>1012</v>
      </c>
      <c r="G170" s="8">
        <v>2</v>
      </c>
      <c r="H170" s="8">
        <f t="shared" si="160"/>
        <v>167.00000000000011</v>
      </c>
      <c r="I170" s="37" t="str">
        <f t="shared" si="133"/>
        <v>1;1E</v>
      </c>
      <c r="J170" s="38">
        <v>2</v>
      </c>
      <c r="K170" s="128">
        <f t="shared" si="134"/>
        <v>1.159722222222223</v>
      </c>
      <c r="L170" s="39" t="str">
        <f>INDEX(powers!$H$2:$H$75,33+J170)</f>
        <v>gross</v>
      </c>
      <c r="M170" s="40" t="str">
        <f t="shared" si="135"/>
        <v>1</v>
      </c>
      <c r="N170" s="24">
        <f t="shared" si="136"/>
        <v>1.9166666666666758</v>
      </c>
      <c r="O170" s="41" t="str">
        <f t="shared" si="137"/>
        <v>1</v>
      </c>
      <c r="P170" s="24">
        <f t="shared" si="138"/>
        <v>11.00000000000011</v>
      </c>
      <c r="Q170" s="41" t="str">
        <f t="shared" si="139"/>
        <v>E</v>
      </c>
      <c r="R170" s="24">
        <f t="shared" si="140"/>
        <v>1.3216094885137863E-12</v>
      </c>
      <c r="S170" s="41" t="str">
        <f t="shared" si="141"/>
        <v/>
      </c>
      <c r="T170" s="24">
        <f t="shared" si="142"/>
        <v>1.5859313862165436E-11</v>
      </c>
      <c r="U170" s="41" t="str">
        <f t="shared" si="143"/>
        <v/>
      </c>
      <c r="V170" s="24">
        <f t="shared" si="144"/>
        <v>1.9031176634598523E-10</v>
      </c>
      <c r="W170" s="41" t="str">
        <f t="shared" si="145"/>
        <v/>
      </c>
      <c r="X170" s="24">
        <f t="shared" si="146"/>
        <v>2.2837411961518228E-9</v>
      </c>
      <c r="Y170" s="41" t="str">
        <f t="shared" si="147"/>
        <v/>
      </c>
      <c r="Z170" s="24">
        <f t="shared" si="148"/>
        <v>2.7404894353821874E-8</v>
      </c>
      <c r="AA170" s="41" t="str">
        <f t="shared" si="149"/>
        <v/>
      </c>
      <c r="AB170" s="24">
        <f t="shared" si="150"/>
        <v>3.2885873224586248E-7</v>
      </c>
      <c r="AC170" s="41" t="str">
        <f t="shared" si="151"/>
        <v/>
      </c>
      <c r="AD170" s="24">
        <f t="shared" si="152"/>
        <v>3.9463047869503498E-6</v>
      </c>
      <c r="AE170" s="41" t="str">
        <f t="shared" si="153"/>
        <v/>
      </c>
      <c r="AF170" s="24">
        <f t="shared" si="154"/>
        <v>4.7355657443404198E-5</v>
      </c>
      <c r="AG170" s="41" t="str">
        <f t="shared" si="155"/>
        <v/>
      </c>
      <c r="AH170" s="24">
        <f t="shared" si="156"/>
        <v>5.6826788932085037E-4</v>
      </c>
      <c r="AI170" s="41" t="str">
        <f t="shared" si="157"/>
        <v/>
      </c>
      <c r="AJ170" s="24">
        <f t="shared" si="158"/>
        <v>6.8192146718502045E-3</v>
      </c>
      <c r="AK170" s="41" t="str">
        <f t="shared" si="159"/>
        <v/>
      </c>
    </row>
    <row r="171" spans="5:37" x14ac:dyDescent="0.2">
      <c r="E171" s="443" t="s">
        <v>1329</v>
      </c>
      <c r="F171" s="91">
        <f t="shared" si="161"/>
        <v>1076</v>
      </c>
      <c r="G171" s="8">
        <v>2</v>
      </c>
      <c r="H171" s="8">
        <f t="shared" si="160"/>
        <v>168.00000000000011</v>
      </c>
      <c r="I171" s="37" t="str">
        <f t="shared" si="133"/>
        <v>1;20</v>
      </c>
      <c r="J171" s="38">
        <v>2</v>
      </c>
      <c r="K171" s="128">
        <f t="shared" si="134"/>
        <v>1.1666666666666674</v>
      </c>
      <c r="L171" s="39" t="str">
        <f>INDEX(powers!$H$2:$H$75,33+J171)</f>
        <v>gross</v>
      </c>
      <c r="M171" s="40" t="str">
        <f t="shared" si="135"/>
        <v>1</v>
      </c>
      <c r="N171" s="24">
        <f t="shared" si="136"/>
        <v>2.0000000000000089</v>
      </c>
      <c r="O171" s="41" t="str">
        <f t="shared" si="137"/>
        <v>2</v>
      </c>
      <c r="P171" s="24">
        <f t="shared" si="138"/>
        <v>1.0658141036401503E-13</v>
      </c>
      <c r="Q171" s="41" t="str">
        <f t="shared" si="139"/>
        <v>0</v>
      </c>
      <c r="R171" s="24">
        <f t="shared" si="140"/>
        <v>1.2789769243681803E-12</v>
      </c>
      <c r="S171" s="41" t="str">
        <f t="shared" si="141"/>
        <v/>
      </c>
      <c r="T171" s="24">
        <f t="shared" si="142"/>
        <v>1.5347723092418164E-11</v>
      </c>
      <c r="U171" s="41" t="str">
        <f t="shared" si="143"/>
        <v/>
      </c>
      <c r="V171" s="24">
        <f t="shared" si="144"/>
        <v>1.8417267710901797E-10</v>
      </c>
      <c r="W171" s="41" t="str">
        <f t="shared" si="145"/>
        <v/>
      </c>
      <c r="X171" s="24">
        <f t="shared" si="146"/>
        <v>2.2100721253082156E-9</v>
      </c>
      <c r="Y171" s="41" t="str">
        <f t="shared" si="147"/>
        <v/>
      </c>
      <c r="Z171" s="24">
        <f t="shared" si="148"/>
        <v>2.6520865503698587E-8</v>
      </c>
      <c r="AA171" s="41" t="str">
        <f t="shared" si="149"/>
        <v/>
      </c>
      <c r="AB171" s="24">
        <f t="shared" si="150"/>
        <v>3.1825038604438305E-7</v>
      </c>
      <c r="AC171" s="41" t="str">
        <f t="shared" si="151"/>
        <v/>
      </c>
      <c r="AD171" s="24">
        <f t="shared" si="152"/>
        <v>3.8190046325325966E-6</v>
      </c>
      <c r="AE171" s="41" t="str">
        <f t="shared" si="153"/>
        <v/>
      </c>
      <c r="AF171" s="24">
        <f t="shared" si="154"/>
        <v>4.5828055590391159E-5</v>
      </c>
      <c r="AG171" s="41" t="str">
        <f t="shared" si="155"/>
        <v/>
      </c>
      <c r="AH171" s="24">
        <f t="shared" si="156"/>
        <v>5.4993666708469391E-4</v>
      </c>
      <c r="AI171" s="41" t="str">
        <f t="shared" si="157"/>
        <v/>
      </c>
      <c r="AJ171" s="24">
        <f t="shared" si="158"/>
        <v>6.5992400050163269E-3</v>
      </c>
      <c r="AK171" s="41" t="str">
        <f t="shared" si="159"/>
        <v/>
      </c>
    </row>
    <row r="172" spans="5:37" x14ac:dyDescent="0.2">
      <c r="E172" s="443" t="s">
        <v>1330</v>
      </c>
      <c r="F172" s="91">
        <f t="shared" si="161"/>
        <v>1140</v>
      </c>
      <c r="G172" s="8">
        <v>2</v>
      </c>
      <c r="H172" s="8">
        <f t="shared" si="160"/>
        <v>169.00000000000011</v>
      </c>
      <c r="I172" s="37" t="str">
        <f t="shared" si="133"/>
        <v>1;21</v>
      </c>
      <c r="J172" s="38">
        <v>2</v>
      </c>
      <c r="K172" s="128">
        <f t="shared" si="134"/>
        <v>1.1736111111111118</v>
      </c>
      <c r="L172" s="39" t="str">
        <f>INDEX(powers!$H$2:$H$75,33+J172)</f>
        <v>gross</v>
      </c>
      <c r="M172" s="40" t="str">
        <f t="shared" si="135"/>
        <v>1</v>
      </c>
      <c r="N172" s="24">
        <f t="shared" si="136"/>
        <v>2.0833333333333419</v>
      </c>
      <c r="O172" s="41" t="str">
        <f t="shared" si="137"/>
        <v>2</v>
      </c>
      <c r="P172" s="24">
        <f t="shared" si="138"/>
        <v>1.000000000000103</v>
      </c>
      <c r="Q172" s="41" t="str">
        <f t="shared" si="139"/>
        <v>1</v>
      </c>
      <c r="R172" s="24">
        <f t="shared" si="140"/>
        <v>1.2363443602225743E-12</v>
      </c>
      <c r="S172" s="41" t="str">
        <f t="shared" si="141"/>
        <v/>
      </c>
      <c r="T172" s="24">
        <f t="shared" si="142"/>
        <v>1.4836132322670892E-11</v>
      </c>
      <c r="U172" s="41" t="str">
        <f t="shared" si="143"/>
        <v/>
      </c>
      <c r="V172" s="24">
        <f t="shared" si="144"/>
        <v>1.780335878720507E-10</v>
      </c>
      <c r="W172" s="41" t="str">
        <f t="shared" si="145"/>
        <v/>
      </c>
      <c r="X172" s="24">
        <f t="shared" si="146"/>
        <v>2.1364030544646084E-9</v>
      </c>
      <c r="Y172" s="41" t="str">
        <f t="shared" si="147"/>
        <v/>
      </c>
      <c r="Z172" s="24">
        <f t="shared" si="148"/>
        <v>2.5636836653575301E-8</v>
      </c>
      <c r="AA172" s="41" t="str">
        <f t="shared" si="149"/>
        <v/>
      </c>
      <c r="AB172" s="24">
        <f t="shared" si="150"/>
        <v>3.0764203984290361E-7</v>
      </c>
      <c r="AC172" s="41" t="str">
        <f t="shared" si="151"/>
        <v/>
      </c>
      <c r="AD172" s="24">
        <f t="shared" si="152"/>
        <v>3.6917044781148434E-6</v>
      </c>
      <c r="AE172" s="41" t="str">
        <f t="shared" si="153"/>
        <v/>
      </c>
      <c r="AF172" s="24">
        <f t="shared" si="154"/>
        <v>4.430045373737812E-5</v>
      </c>
      <c r="AG172" s="41" t="str">
        <f t="shared" si="155"/>
        <v/>
      </c>
      <c r="AH172" s="24">
        <f t="shared" si="156"/>
        <v>5.3160544484853745E-4</v>
      </c>
      <c r="AI172" s="41" t="str">
        <f t="shared" si="157"/>
        <v/>
      </c>
      <c r="AJ172" s="24">
        <f t="shared" si="158"/>
        <v>6.3792653381824493E-3</v>
      </c>
      <c r="AK172" s="41" t="str">
        <f t="shared" si="159"/>
        <v/>
      </c>
    </row>
    <row r="173" spans="5:37" x14ac:dyDescent="0.2">
      <c r="E173" s="443" t="s">
        <v>1331</v>
      </c>
      <c r="F173" s="91">
        <f t="shared" si="161"/>
        <v>1204</v>
      </c>
      <c r="G173" s="8">
        <v>2</v>
      </c>
      <c r="H173" s="8">
        <f t="shared" si="160"/>
        <v>170.00000000000011</v>
      </c>
      <c r="I173" s="37" t="str">
        <f t="shared" si="133"/>
        <v>1;22</v>
      </c>
      <c r="J173" s="38">
        <v>2</v>
      </c>
      <c r="K173" s="128">
        <f t="shared" si="134"/>
        <v>1.1805555555555562</v>
      </c>
      <c r="L173" s="39" t="str">
        <f>INDEX(powers!$H$2:$H$75,33+J173)</f>
        <v>gross</v>
      </c>
      <c r="M173" s="40" t="str">
        <f t="shared" si="135"/>
        <v>1</v>
      </c>
      <c r="N173" s="24">
        <f t="shared" si="136"/>
        <v>2.166666666666675</v>
      </c>
      <c r="O173" s="41" t="str">
        <f t="shared" si="137"/>
        <v>2</v>
      </c>
      <c r="P173" s="24">
        <f t="shared" si="138"/>
        <v>2.0000000000000995</v>
      </c>
      <c r="Q173" s="41" t="str">
        <f t="shared" si="139"/>
        <v>2</v>
      </c>
      <c r="R173" s="24">
        <f t="shared" si="140"/>
        <v>1.1937117960769683E-12</v>
      </c>
      <c r="S173" s="41" t="str">
        <f t="shared" si="141"/>
        <v/>
      </c>
      <c r="T173" s="24">
        <f t="shared" si="142"/>
        <v>1.432454155292362E-11</v>
      </c>
      <c r="U173" s="41" t="str">
        <f t="shared" si="143"/>
        <v/>
      </c>
      <c r="V173" s="24">
        <f t="shared" si="144"/>
        <v>1.7189449863508344E-10</v>
      </c>
      <c r="W173" s="41" t="str">
        <f t="shared" si="145"/>
        <v/>
      </c>
      <c r="X173" s="24">
        <f t="shared" si="146"/>
        <v>2.0627339836210012E-9</v>
      </c>
      <c r="Y173" s="41" t="str">
        <f t="shared" si="147"/>
        <v/>
      </c>
      <c r="Z173" s="24">
        <f t="shared" si="148"/>
        <v>2.4752807803452015E-8</v>
      </c>
      <c r="AA173" s="41" t="str">
        <f t="shared" si="149"/>
        <v/>
      </c>
      <c r="AB173" s="24">
        <f t="shared" si="150"/>
        <v>2.9703369364142418E-7</v>
      </c>
      <c r="AC173" s="41" t="str">
        <f t="shared" si="151"/>
        <v/>
      </c>
      <c r="AD173" s="24">
        <f t="shared" si="152"/>
        <v>3.5644043236970901E-6</v>
      </c>
      <c r="AE173" s="41" t="str">
        <f t="shared" si="153"/>
        <v/>
      </c>
      <c r="AF173" s="24">
        <f t="shared" si="154"/>
        <v>4.2772851884365082E-5</v>
      </c>
      <c r="AG173" s="41" t="str">
        <f t="shared" si="155"/>
        <v/>
      </c>
      <c r="AH173" s="24">
        <f t="shared" si="156"/>
        <v>5.1327422261238098E-4</v>
      </c>
      <c r="AI173" s="41" t="str">
        <f t="shared" si="157"/>
        <v/>
      </c>
      <c r="AJ173" s="24">
        <f t="shared" si="158"/>
        <v>6.1592906713485718E-3</v>
      </c>
      <c r="AK173" s="41" t="str">
        <f t="shared" si="159"/>
        <v/>
      </c>
    </row>
    <row r="174" spans="5:37" x14ac:dyDescent="0.2">
      <c r="E174" s="443" t="s">
        <v>1332</v>
      </c>
      <c r="F174" s="91">
        <f t="shared" si="161"/>
        <v>1268</v>
      </c>
      <c r="G174" s="8">
        <v>2</v>
      </c>
      <c r="H174" s="8">
        <f t="shared" si="160"/>
        <v>171.00000000000011</v>
      </c>
      <c r="I174" s="37" t="str">
        <f t="shared" si="133"/>
        <v>1;23</v>
      </c>
      <c r="J174" s="38">
        <v>2</v>
      </c>
      <c r="K174" s="128">
        <f t="shared" si="134"/>
        <v>1.1875000000000009</v>
      </c>
      <c r="L174" s="39" t="str">
        <f>INDEX(powers!$H$2:$H$75,33+J174)</f>
        <v>gross</v>
      </c>
      <c r="M174" s="40" t="str">
        <f t="shared" si="135"/>
        <v>1</v>
      </c>
      <c r="N174" s="24">
        <f t="shared" si="136"/>
        <v>2.2500000000000107</v>
      </c>
      <c r="O174" s="41" t="str">
        <f t="shared" si="137"/>
        <v>2</v>
      </c>
      <c r="P174" s="24">
        <f t="shared" si="138"/>
        <v>3.0000000000001279</v>
      </c>
      <c r="Q174" s="41" t="str">
        <f t="shared" si="139"/>
        <v>3</v>
      </c>
      <c r="R174" s="24">
        <f t="shared" si="140"/>
        <v>1.5347723092418164E-12</v>
      </c>
      <c r="S174" s="41" t="str">
        <f t="shared" si="141"/>
        <v/>
      </c>
      <c r="T174" s="24">
        <f t="shared" si="142"/>
        <v>1.8417267710901797E-11</v>
      </c>
      <c r="U174" s="41" t="str">
        <f t="shared" si="143"/>
        <v/>
      </c>
      <c r="V174" s="24">
        <f t="shared" si="144"/>
        <v>2.2100721253082156E-10</v>
      </c>
      <c r="W174" s="41" t="str">
        <f t="shared" si="145"/>
        <v/>
      </c>
      <c r="X174" s="24">
        <f t="shared" si="146"/>
        <v>2.6520865503698587E-9</v>
      </c>
      <c r="Y174" s="41" t="str">
        <f t="shared" si="147"/>
        <v/>
      </c>
      <c r="Z174" s="24">
        <f t="shared" si="148"/>
        <v>3.1825038604438305E-8</v>
      </c>
      <c r="AA174" s="41" t="str">
        <f t="shared" si="149"/>
        <v/>
      </c>
      <c r="AB174" s="24">
        <f t="shared" si="150"/>
        <v>3.8190046325325966E-7</v>
      </c>
      <c r="AC174" s="41" t="str">
        <f t="shared" si="151"/>
        <v/>
      </c>
      <c r="AD174" s="24">
        <f t="shared" si="152"/>
        <v>4.5828055590391159E-6</v>
      </c>
      <c r="AE174" s="41" t="str">
        <f t="shared" si="153"/>
        <v/>
      </c>
      <c r="AF174" s="24">
        <f t="shared" si="154"/>
        <v>5.4993666708469391E-5</v>
      </c>
      <c r="AG174" s="41" t="str">
        <f t="shared" si="155"/>
        <v/>
      </c>
      <c r="AH174" s="24">
        <f t="shared" si="156"/>
        <v>6.5992400050163269E-4</v>
      </c>
      <c r="AI174" s="41" t="str">
        <f t="shared" si="157"/>
        <v/>
      </c>
      <c r="AJ174" s="24">
        <f t="shared" si="158"/>
        <v>7.9190880060195923E-3</v>
      </c>
      <c r="AK174" s="41" t="str">
        <f t="shared" si="159"/>
        <v/>
      </c>
    </row>
    <row r="175" spans="5:37" x14ac:dyDescent="0.2">
      <c r="E175" s="443" t="s">
        <v>1333</v>
      </c>
      <c r="F175" s="91">
        <f t="shared" si="161"/>
        <v>1332</v>
      </c>
      <c r="G175" s="8">
        <v>2</v>
      </c>
      <c r="H175" s="8">
        <f t="shared" si="160"/>
        <v>172.00000000000011</v>
      </c>
      <c r="I175" s="37" t="str">
        <f t="shared" si="133"/>
        <v>1;24</v>
      </c>
      <c r="J175" s="38">
        <v>2</v>
      </c>
      <c r="K175" s="128">
        <f t="shared" si="134"/>
        <v>1.1944444444444453</v>
      </c>
      <c r="L175" s="39" t="str">
        <f>INDEX(powers!$H$2:$H$75,33+J175)</f>
        <v>gross</v>
      </c>
      <c r="M175" s="40" t="str">
        <f t="shared" si="135"/>
        <v>1</v>
      </c>
      <c r="N175" s="24">
        <f t="shared" si="136"/>
        <v>2.3333333333333437</v>
      </c>
      <c r="O175" s="41" t="str">
        <f t="shared" si="137"/>
        <v>2</v>
      </c>
      <c r="P175" s="24">
        <f t="shared" si="138"/>
        <v>4.0000000000001243</v>
      </c>
      <c r="Q175" s="41" t="str">
        <f t="shared" si="139"/>
        <v>4</v>
      </c>
      <c r="R175" s="24">
        <f t="shared" si="140"/>
        <v>1.4921397450962104E-12</v>
      </c>
      <c r="S175" s="41" t="str">
        <f t="shared" si="141"/>
        <v/>
      </c>
      <c r="T175" s="24">
        <f t="shared" si="142"/>
        <v>1.7905676941154525E-11</v>
      </c>
      <c r="U175" s="41" t="str">
        <f t="shared" si="143"/>
        <v/>
      </c>
      <c r="V175" s="24">
        <f t="shared" si="144"/>
        <v>2.148681232938543E-10</v>
      </c>
      <c r="W175" s="41" t="str">
        <f t="shared" si="145"/>
        <v/>
      </c>
      <c r="X175" s="24">
        <f t="shared" si="146"/>
        <v>2.5784174795262516E-9</v>
      </c>
      <c r="Y175" s="41" t="str">
        <f t="shared" si="147"/>
        <v/>
      </c>
      <c r="Z175" s="24">
        <f t="shared" si="148"/>
        <v>3.0941009754315019E-8</v>
      </c>
      <c r="AA175" s="41" t="str">
        <f t="shared" si="149"/>
        <v/>
      </c>
      <c r="AB175" s="24">
        <f t="shared" si="150"/>
        <v>3.7129211705178022E-7</v>
      </c>
      <c r="AC175" s="41" t="str">
        <f t="shared" si="151"/>
        <v/>
      </c>
      <c r="AD175" s="24">
        <f t="shared" si="152"/>
        <v>4.4555054046213627E-6</v>
      </c>
      <c r="AE175" s="41" t="str">
        <f t="shared" si="153"/>
        <v/>
      </c>
      <c r="AF175" s="24">
        <f t="shared" si="154"/>
        <v>5.3466064855456352E-5</v>
      </c>
      <c r="AG175" s="41" t="str">
        <f t="shared" si="155"/>
        <v/>
      </c>
      <c r="AH175" s="24">
        <f t="shared" si="156"/>
        <v>6.4159277826547623E-4</v>
      </c>
      <c r="AI175" s="41" t="str">
        <f t="shared" si="157"/>
        <v/>
      </c>
      <c r="AJ175" s="24">
        <f t="shared" si="158"/>
        <v>7.6991133391857147E-3</v>
      </c>
      <c r="AK175" s="41" t="str">
        <f t="shared" si="159"/>
        <v/>
      </c>
    </row>
    <row r="176" spans="5:37" x14ac:dyDescent="0.2">
      <c r="E176" s="443" t="s">
        <v>1334</v>
      </c>
      <c r="F176" s="91">
        <f t="shared" si="161"/>
        <v>1396</v>
      </c>
      <c r="G176" s="8">
        <v>2</v>
      </c>
      <c r="H176" s="8">
        <f t="shared" si="160"/>
        <v>173.00000000000011</v>
      </c>
      <c r="I176" s="37" t="str">
        <f t="shared" si="133"/>
        <v>1;25</v>
      </c>
      <c r="J176" s="38">
        <v>2</v>
      </c>
      <c r="K176" s="128">
        <f t="shared" si="134"/>
        <v>1.2013888888888897</v>
      </c>
      <c r="L176" s="39" t="str">
        <f>INDEX(powers!$H$2:$H$75,33+J176)</f>
        <v>gross</v>
      </c>
      <c r="M176" s="40" t="str">
        <f t="shared" si="135"/>
        <v>1</v>
      </c>
      <c r="N176" s="24">
        <f t="shared" si="136"/>
        <v>2.4166666666666767</v>
      </c>
      <c r="O176" s="41" t="str">
        <f t="shared" si="137"/>
        <v>2</v>
      </c>
      <c r="P176" s="24">
        <f t="shared" si="138"/>
        <v>5.0000000000001208</v>
      </c>
      <c r="Q176" s="41" t="str">
        <f t="shared" si="139"/>
        <v>5</v>
      </c>
      <c r="R176" s="24">
        <f t="shared" si="140"/>
        <v>1.4495071809506044E-12</v>
      </c>
      <c r="S176" s="41" t="str">
        <f t="shared" si="141"/>
        <v/>
      </c>
      <c r="T176" s="24">
        <f t="shared" si="142"/>
        <v>1.7394086171407253E-11</v>
      </c>
      <c r="U176" s="41" t="str">
        <f t="shared" si="143"/>
        <v/>
      </c>
      <c r="V176" s="24">
        <f t="shared" si="144"/>
        <v>2.0872903405688703E-10</v>
      </c>
      <c r="W176" s="41" t="str">
        <f t="shared" si="145"/>
        <v/>
      </c>
      <c r="X176" s="24">
        <f t="shared" si="146"/>
        <v>2.5047484086826444E-9</v>
      </c>
      <c r="Y176" s="41" t="str">
        <f t="shared" si="147"/>
        <v/>
      </c>
      <c r="Z176" s="24">
        <f t="shared" si="148"/>
        <v>3.0056980904191732E-8</v>
      </c>
      <c r="AA176" s="41" t="str">
        <f t="shared" si="149"/>
        <v/>
      </c>
      <c r="AB176" s="24">
        <f t="shared" si="150"/>
        <v>3.6068377085030079E-7</v>
      </c>
      <c r="AC176" s="41" t="str">
        <f t="shared" si="151"/>
        <v/>
      </c>
      <c r="AD176" s="24">
        <f t="shared" si="152"/>
        <v>4.3282052502036095E-6</v>
      </c>
      <c r="AE176" s="41" t="str">
        <f t="shared" si="153"/>
        <v/>
      </c>
      <c r="AF176" s="24">
        <f t="shared" si="154"/>
        <v>5.1938463002443314E-5</v>
      </c>
      <c r="AG176" s="41" t="str">
        <f t="shared" si="155"/>
        <v/>
      </c>
      <c r="AH176" s="24">
        <f t="shared" si="156"/>
        <v>6.2326155602931976E-4</v>
      </c>
      <c r="AI176" s="41" t="str">
        <f t="shared" si="157"/>
        <v/>
      </c>
      <c r="AJ176" s="24">
        <f t="shared" si="158"/>
        <v>7.4791386723518372E-3</v>
      </c>
      <c r="AK176" s="41" t="str">
        <f t="shared" si="159"/>
        <v/>
      </c>
    </row>
    <row r="177" spans="5:37" x14ac:dyDescent="0.2">
      <c r="E177" s="443" t="s">
        <v>1335</v>
      </c>
      <c r="F177" s="91">
        <f t="shared" si="161"/>
        <v>1460</v>
      </c>
      <c r="G177" s="8">
        <v>2</v>
      </c>
      <c r="H177" s="8">
        <f t="shared" si="160"/>
        <v>174.00000000000011</v>
      </c>
      <c r="I177" s="37" t="str">
        <f t="shared" si="133"/>
        <v>1;26</v>
      </c>
      <c r="J177" s="38">
        <v>2</v>
      </c>
      <c r="K177" s="128">
        <f t="shared" si="134"/>
        <v>1.2083333333333341</v>
      </c>
      <c r="L177" s="39" t="str">
        <f>INDEX(powers!$H$2:$H$75,33+J177)</f>
        <v>gross</v>
      </c>
      <c r="M177" s="40" t="str">
        <f t="shared" si="135"/>
        <v>1</v>
      </c>
      <c r="N177" s="24">
        <f t="shared" si="136"/>
        <v>2.5000000000000098</v>
      </c>
      <c r="O177" s="41" t="str">
        <f t="shared" si="137"/>
        <v>2</v>
      </c>
      <c r="P177" s="24">
        <f t="shared" si="138"/>
        <v>6.0000000000001172</v>
      </c>
      <c r="Q177" s="41" t="str">
        <f t="shared" si="139"/>
        <v>6</v>
      </c>
      <c r="R177" s="24">
        <f t="shared" si="140"/>
        <v>1.4068746168049984E-12</v>
      </c>
      <c r="S177" s="41" t="str">
        <f t="shared" si="141"/>
        <v/>
      </c>
      <c r="T177" s="24">
        <f t="shared" si="142"/>
        <v>1.688249540165998E-11</v>
      </c>
      <c r="U177" s="41" t="str">
        <f t="shared" si="143"/>
        <v/>
      </c>
      <c r="V177" s="24">
        <f t="shared" si="144"/>
        <v>2.0258994481991976E-10</v>
      </c>
      <c r="W177" s="41" t="str">
        <f t="shared" si="145"/>
        <v/>
      </c>
      <c r="X177" s="24">
        <f t="shared" si="146"/>
        <v>2.4310793378390372E-9</v>
      </c>
      <c r="Y177" s="41" t="str">
        <f t="shared" si="147"/>
        <v/>
      </c>
      <c r="Z177" s="24">
        <f t="shared" si="148"/>
        <v>2.9172952054068446E-8</v>
      </c>
      <c r="AA177" s="41" t="str">
        <f t="shared" si="149"/>
        <v/>
      </c>
      <c r="AB177" s="24">
        <f t="shared" si="150"/>
        <v>3.5007542464882135E-7</v>
      </c>
      <c r="AC177" s="41" t="str">
        <f t="shared" si="151"/>
        <v/>
      </c>
      <c r="AD177" s="24">
        <f t="shared" si="152"/>
        <v>4.2009050957858562E-6</v>
      </c>
      <c r="AE177" s="41" t="str">
        <f t="shared" si="153"/>
        <v/>
      </c>
      <c r="AF177" s="24">
        <f t="shared" si="154"/>
        <v>5.0410861149430275E-5</v>
      </c>
      <c r="AG177" s="41" t="str">
        <f t="shared" si="155"/>
        <v/>
      </c>
      <c r="AH177" s="24">
        <f t="shared" si="156"/>
        <v>6.049303337931633E-4</v>
      </c>
      <c r="AI177" s="41" t="str">
        <f t="shared" si="157"/>
        <v/>
      </c>
      <c r="AJ177" s="24">
        <f t="shared" si="158"/>
        <v>7.2591640055179596E-3</v>
      </c>
      <c r="AK177" s="41" t="str">
        <f t="shared" si="159"/>
        <v/>
      </c>
    </row>
    <row r="178" spans="5:37" x14ac:dyDescent="0.2">
      <c r="E178" s="443" t="s">
        <v>1336</v>
      </c>
      <c r="F178" s="91">
        <f t="shared" si="161"/>
        <v>1524</v>
      </c>
      <c r="G178" s="8">
        <v>2</v>
      </c>
      <c r="H178" s="8">
        <f t="shared" si="160"/>
        <v>175.00000000000011</v>
      </c>
      <c r="I178" s="37" t="str">
        <f t="shared" si="133"/>
        <v>1;27</v>
      </c>
      <c r="J178" s="38">
        <v>2</v>
      </c>
      <c r="K178" s="128">
        <f t="shared" si="134"/>
        <v>1.2152777777777786</v>
      </c>
      <c r="L178" s="39" t="str">
        <f>INDEX(powers!$H$2:$H$75,33+J178)</f>
        <v>gross</v>
      </c>
      <c r="M178" s="40" t="str">
        <f t="shared" si="135"/>
        <v>1</v>
      </c>
      <c r="N178" s="24">
        <f t="shared" si="136"/>
        <v>2.5833333333333428</v>
      </c>
      <c r="O178" s="41" t="str">
        <f t="shared" si="137"/>
        <v>2</v>
      </c>
      <c r="P178" s="24">
        <f t="shared" si="138"/>
        <v>7.0000000000001137</v>
      </c>
      <c r="Q178" s="41" t="str">
        <f t="shared" si="139"/>
        <v>7</v>
      </c>
      <c r="R178" s="24">
        <f t="shared" si="140"/>
        <v>1.3642420526593924E-12</v>
      </c>
      <c r="S178" s="41" t="str">
        <f t="shared" si="141"/>
        <v/>
      </c>
      <c r="T178" s="24">
        <f t="shared" si="142"/>
        <v>1.6370904631912708E-11</v>
      </c>
      <c r="U178" s="41" t="str">
        <f t="shared" si="143"/>
        <v/>
      </c>
      <c r="V178" s="24">
        <f t="shared" si="144"/>
        <v>1.964508555829525E-10</v>
      </c>
      <c r="W178" s="41" t="str">
        <f t="shared" si="145"/>
        <v/>
      </c>
      <c r="X178" s="24">
        <f t="shared" si="146"/>
        <v>2.35741026699543E-9</v>
      </c>
      <c r="Y178" s="41" t="str">
        <f t="shared" si="147"/>
        <v/>
      </c>
      <c r="Z178" s="24">
        <f t="shared" si="148"/>
        <v>2.828892320394516E-8</v>
      </c>
      <c r="AA178" s="41" t="str">
        <f t="shared" si="149"/>
        <v/>
      </c>
      <c r="AB178" s="24">
        <f t="shared" si="150"/>
        <v>3.3946707844734192E-7</v>
      </c>
      <c r="AC178" s="41" t="str">
        <f t="shared" si="151"/>
        <v/>
      </c>
      <c r="AD178" s="24">
        <f t="shared" si="152"/>
        <v>4.073604941368103E-6</v>
      </c>
      <c r="AE178" s="41" t="str">
        <f t="shared" si="153"/>
        <v/>
      </c>
      <c r="AF178" s="24">
        <f t="shared" si="154"/>
        <v>4.8883259296417236E-5</v>
      </c>
      <c r="AG178" s="41" t="str">
        <f t="shared" si="155"/>
        <v/>
      </c>
      <c r="AH178" s="24">
        <f t="shared" si="156"/>
        <v>5.8659911155700684E-4</v>
      </c>
      <c r="AI178" s="41" t="str">
        <f t="shared" si="157"/>
        <v/>
      </c>
      <c r="AJ178" s="24">
        <f t="shared" si="158"/>
        <v>7.039189338684082E-3</v>
      </c>
      <c r="AK178" s="41" t="str">
        <f t="shared" si="159"/>
        <v/>
      </c>
    </row>
    <row r="179" spans="5:37" x14ac:dyDescent="0.2">
      <c r="E179" s="443" t="s">
        <v>1337</v>
      </c>
      <c r="F179" s="91">
        <f t="shared" si="161"/>
        <v>1588</v>
      </c>
      <c r="G179" s="8">
        <v>2</v>
      </c>
      <c r="H179" s="8">
        <f t="shared" si="160"/>
        <v>176.00000000000011</v>
      </c>
      <c r="I179" s="37" t="str">
        <f t="shared" si="133"/>
        <v>1;28</v>
      </c>
      <c r="J179" s="38">
        <v>2</v>
      </c>
      <c r="K179" s="128">
        <f t="shared" si="134"/>
        <v>1.222222222222223</v>
      </c>
      <c r="L179" s="39" t="str">
        <f>INDEX(powers!$H$2:$H$75,33+J179)</f>
        <v>gross</v>
      </c>
      <c r="M179" s="40" t="str">
        <f t="shared" si="135"/>
        <v>1</v>
      </c>
      <c r="N179" s="24">
        <f t="shared" si="136"/>
        <v>2.6666666666666758</v>
      </c>
      <c r="O179" s="41" t="str">
        <f t="shared" si="137"/>
        <v>2</v>
      </c>
      <c r="P179" s="24">
        <f t="shared" si="138"/>
        <v>8.0000000000001101</v>
      </c>
      <c r="Q179" s="41" t="str">
        <f t="shared" si="139"/>
        <v>8</v>
      </c>
      <c r="R179" s="24">
        <f t="shared" si="140"/>
        <v>1.3216094885137863E-12</v>
      </c>
      <c r="S179" s="41" t="str">
        <f t="shared" si="141"/>
        <v/>
      </c>
      <c r="T179" s="24">
        <f t="shared" si="142"/>
        <v>1.5859313862165436E-11</v>
      </c>
      <c r="U179" s="41" t="str">
        <f t="shared" si="143"/>
        <v/>
      </c>
      <c r="V179" s="24">
        <f t="shared" si="144"/>
        <v>1.9031176634598523E-10</v>
      </c>
      <c r="W179" s="41" t="str">
        <f t="shared" si="145"/>
        <v/>
      </c>
      <c r="X179" s="24">
        <f t="shared" si="146"/>
        <v>2.2837411961518228E-9</v>
      </c>
      <c r="Y179" s="41" t="str">
        <f t="shared" si="147"/>
        <v/>
      </c>
      <c r="Z179" s="24">
        <f t="shared" si="148"/>
        <v>2.7404894353821874E-8</v>
      </c>
      <c r="AA179" s="41" t="str">
        <f t="shared" si="149"/>
        <v/>
      </c>
      <c r="AB179" s="24">
        <f t="shared" si="150"/>
        <v>3.2885873224586248E-7</v>
      </c>
      <c r="AC179" s="41" t="str">
        <f t="shared" si="151"/>
        <v/>
      </c>
      <c r="AD179" s="24">
        <f t="shared" si="152"/>
        <v>3.9463047869503498E-6</v>
      </c>
      <c r="AE179" s="41" t="str">
        <f t="shared" si="153"/>
        <v/>
      </c>
      <c r="AF179" s="24">
        <f t="shared" si="154"/>
        <v>4.7355657443404198E-5</v>
      </c>
      <c r="AG179" s="41" t="str">
        <f t="shared" si="155"/>
        <v/>
      </c>
      <c r="AH179" s="24">
        <f t="shared" si="156"/>
        <v>5.6826788932085037E-4</v>
      </c>
      <c r="AI179" s="41" t="str">
        <f t="shared" si="157"/>
        <v/>
      </c>
      <c r="AJ179" s="24">
        <f t="shared" si="158"/>
        <v>6.8192146718502045E-3</v>
      </c>
      <c r="AK179" s="41" t="str">
        <f t="shared" si="159"/>
        <v/>
      </c>
    </row>
    <row r="180" spans="5:37" x14ac:dyDescent="0.2">
      <c r="E180" s="443" t="s">
        <v>1338</v>
      </c>
      <c r="F180" s="91">
        <f t="shared" si="161"/>
        <v>1652</v>
      </c>
      <c r="G180" s="8">
        <v>2</v>
      </c>
      <c r="H180" s="8">
        <f t="shared" si="160"/>
        <v>177.00000000000011</v>
      </c>
      <c r="I180" s="37" t="str">
        <f t="shared" si="133"/>
        <v>1;29</v>
      </c>
      <c r="J180" s="38">
        <v>2</v>
      </c>
      <c r="K180" s="128">
        <f t="shared" si="134"/>
        <v>1.2291666666666674</v>
      </c>
      <c r="L180" s="39" t="str">
        <f>INDEX(powers!$H$2:$H$75,33+J180)</f>
        <v>gross</v>
      </c>
      <c r="M180" s="40" t="str">
        <f t="shared" si="135"/>
        <v>1</v>
      </c>
      <c r="N180" s="24">
        <f t="shared" si="136"/>
        <v>2.7500000000000089</v>
      </c>
      <c r="O180" s="41" t="str">
        <f t="shared" si="137"/>
        <v>2</v>
      </c>
      <c r="P180" s="24">
        <f t="shared" si="138"/>
        <v>9.0000000000001066</v>
      </c>
      <c r="Q180" s="41" t="str">
        <f t="shared" si="139"/>
        <v>9</v>
      </c>
      <c r="R180" s="24">
        <f t="shared" si="140"/>
        <v>1.2789769243681803E-12</v>
      </c>
      <c r="S180" s="41" t="str">
        <f t="shared" si="141"/>
        <v/>
      </c>
      <c r="T180" s="24">
        <f t="shared" si="142"/>
        <v>1.5347723092418164E-11</v>
      </c>
      <c r="U180" s="41" t="str">
        <f t="shared" si="143"/>
        <v/>
      </c>
      <c r="V180" s="24">
        <f t="shared" si="144"/>
        <v>1.8417267710901797E-10</v>
      </c>
      <c r="W180" s="41" t="str">
        <f t="shared" si="145"/>
        <v/>
      </c>
      <c r="X180" s="24">
        <f t="shared" si="146"/>
        <v>2.2100721253082156E-9</v>
      </c>
      <c r="Y180" s="41" t="str">
        <f t="shared" si="147"/>
        <v/>
      </c>
      <c r="Z180" s="24">
        <f t="shared" si="148"/>
        <v>2.6520865503698587E-8</v>
      </c>
      <c r="AA180" s="41" t="str">
        <f t="shared" si="149"/>
        <v/>
      </c>
      <c r="AB180" s="24">
        <f t="shared" si="150"/>
        <v>3.1825038604438305E-7</v>
      </c>
      <c r="AC180" s="41" t="str">
        <f t="shared" si="151"/>
        <v/>
      </c>
      <c r="AD180" s="24">
        <f t="shared" si="152"/>
        <v>3.8190046325325966E-6</v>
      </c>
      <c r="AE180" s="41" t="str">
        <f t="shared" si="153"/>
        <v/>
      </c>
      <c r="AF180" s="24">
        <f t="shared" si="154"/>
        <v>4.5828055590391159E-5</v>
      </c>
      <c r="AG180" s="41" t="str">
        <f t="shared" si="155"/>
        <v/>
      </c>
      <c r="AH180" s="24">
        <f t="shared" si="156"/>
        <v>5.4993666708469391E-4</v>
      </c>
      <c r="AI180" s="41" t="str">
        <f t="shared" si="157"/>
        <v/>
      </c>
      <c r="AJ180" s="24">
        <f t="shared" si="158"/>
        <v>6.5992400050163269E-3</v>
      </c>
      <c r="AK180" s="41" t="str">
        <f t="shared" si="159"/>
        <v/>
      </c>
    </row>
    <row r="181" spans="5:37" x14ac:dyDescent="0.2">
      <c r="E181" s="443" t="s">
        <v>1339</v>
      </c>
      <c r="F181" s="91">
        <f t="shared" si="161"/>
        <v>1716</v>
      </c>
      <c r="G181" s="8">
        <v>2</v>
      </c>
      <c r="H181" s="8">
        <f t="shared" si="160"/>
        <v>178.00000000000011</v>
      </c>
      <c r="I181" s="37" t="str">
        <f t="shared" si="133"/>
        <v>1;2X</v>
      </c>
      <c r="J181" s="38">
        <v>2</v>
      </c>
      <c r="K181" s="128">
        <f t="shared" si="134"/>
        <v>1.2361111111111118</v>
      </c>
      <c r="L181" s="39" t="str">
        <f>INDEX(powers!$H$2:$H$75,33+J181)</f>
        <v>gross</v>
      </c>
      <c r="M181" s="40" t="str">
        <f t="shared" si="135"/>
        <v>1</v>
      </c>
      <c r="N181" s="24">
        <f t="shared" si="136"/>
        <v>2.8333333333333419</v>
      </c>
      <c r="O181" s="41" t="str">
        <f t="shared" si="137"/>
        <v>2</v>
      </c>
      <c r="P181" s="24">
        <f t="shared" si="138"/>
        <v>10.000000000000103</v>
      </c>
      <c r="Q181" s="41" t="str">
        <f t="shared" si="139"/>
        <v>X</v>
      </c>
      <c r="R181" s="24">
        <f t="shared" si="140"/>
        <v>1.2363443602225743E-12</v>
      </c>
      <c r="S181" s="41" t="str">
        <f t="shared" si="141"/>
        <v/>
      </c>
      <c r="T181" s="24">
        <f t="shared" si="142"/>
        <v>1.4836132322670892E-11</v>
      </c>
      <c r="U181" s="41" t="str">
        <f t="shared" si="143"/>
        <v/>
      </c>
      <c r="V181" s="24">
        <f t="shared" si="144"/>
        <v>1.780335878720507E-10</v>
      </c>
      <c r="W181" s="41" t="str">
        <f t="shared" si="145"/>
        <v/>
      </c>
      <c r="X181" s="24">
        <f t="shared" si="146"/>
        <v>2.1364030544646084E-9</v>
      </c>
      <c r="Y181" s="41" t="str">
        <f t="shared" si="147"/>
        <v/>
      </c>
      <c r="Z181" s="24">
        <f t="shared" si="148"/>
        <v>2.5636836653575301E-8</v>
      </c>
      <c r="AA181" s="41" t="str">
        <f t="shared" si="149"/>
        <v/>
      </c>
      <c r="AB181" s="24">
        <f t="shared" si="150"/>
        <v>3.0764203984290361E-7</v>
      </c>
      <c r="AC181" s="41" t="str">
        <f t="shared" si="151"/>
        <v/>
      </c>
      <c r="AD181" s="24">
        <f t="shared" si="152"/>
        <v>3.6917044781148434E-6</v>
      </c>
      <c r="AE181" s="41" t="str">
        <f t="shared" si="153"/>
        <v/>
      </c>
      <c r="AF181" s="24">
        <f t="shared" si="154"/>
        <v>4.430045373737812E-5</v>
      </c>
      <c r="AG181" s="41" t="str">
        <f t="shared" si="155"/>
        <v/>
      </c>
      <c r="AH181" s="24">
        <f t="shared" si="156"/>
        <v>5.3160544484853745E-4</v>
      </c>
      <c r="AI181" s="41" t="str">
        <f t="shared" si="157"/>
        <v/>
      </c>
      <c r="AJ181" s="24">
        <f t="shared" si="158"/>
        <v>6.3792653381824493E-3</v>
      </c>
      <c r="AK181" s="41" t="str">
        <f t="shared" si="159"/>
        <v/>
      </c>
    </row>
    <row r="182" spans="5:37" x14ac:dyDescent="0.2">
      <c r="E182" s="443" t="s">
        <v>1340</v>
      </c>
      <c r="F182" s="91">
        <f t="shared" si="161"/>
        <v>1780</v>
      </c>
      <c r="G182" s="8">
        <v>2</v>
      </c>
      <c r="H182" s="8">
        <f t="shared" si="160"/>
        <v>179.00000000000011</v>
      </c>
      <c r="I182" s="37" t="str">
        <f t="shared" si="133"/>
        <v>1;2E</v>
      </c>
      <c r="J182" s="38">
        <v>2</v>
      </c>
      <c r="K182" s="128">
        <f t="shared" si="134"/>
        <v>1.2430555555555562</v>
      </c>
      <c r="L182" s="39" t="str">
        <f>INDEX(powers!$H$2:$H$75,33+J182)</f>
        <v>gross</v>
      </c>
      <c r="M182" s="40" t="str">
        <f t="shared" si="135"/>
        <v>1</v>
      </c>
      <c r="N182" s="24">
        <f t="shared" si="136"/>
        <v>2.916666666666675</v>
      </c>
      <c r="O182" s="41" t="str">
        <f t="shared" si="137"/>
        <v>2</v>
      </c>
      <c r="P182" s="24">
        <f t="shared" si="138"/>
        <v>11.000000000000099</v>
      </c>
      <c r="Q182" s="41" t="str">
        <f t="shared" si="139"/>
        <v>E</v>
      </c>
      <c r="R182" s="24">
        <f t="shared" si="140"/>
        <v>1.1937117960769683E-12</v>
      </c>
      <c r="S182" s="41" t="str">
        <f t="shared" si="141"/>
        <v/>
      </c>
      <c r="T182" s="24">
        <f t="shared" si="142"/>
        <v>1.432454155292362E-11</v>
      </c>
      <c r="U182" s="41" t="str">
        <f t="shared" si="143"/>
        <v/>
      </c>
      <c r="V182" s="24">
        <f t="shared" si="144"/>
        <v>1.7189449863508344E-10</v>
      </c>
      <c r="W182" s="41" t="str">
        <f t="shared" si="145"/>
        <v/>
      </c>
      <c r="X182" s="24">
        <f t="shared" si="146"/>
        <v>2.0627339836210012E-9</v>
      </c>
      <c r="Y182" s="41" t="str">
        <f t="shared" si="147"/>
        <v/>
      </c>
      <c r="Z182" s="24">
        <f t="shared" si="148"/>
        <v>2.4752807803452015E-8</v>
      </c>
      <c r="AA182" s="41" t="str">
        <f t="shared" si="149"/>
        <v/>
      </c>
      <c r="AB182" s="24">
        <f t="shared" si="150"/>
        <v>2.9703369364142418E-7</v>
      </c>
      <c r="AC182" s="41" t="str">
        <f t="shared" si="151"/>
        <v/>
      </c>
      <c r="AD182" s="24">
        <f t="shared" si="152"/>
        <v>3.5644043236970901E-6</v>
      </c>
      <c r="AE182" s="41" t="str">
        <f t="shared" si="153"/>
        <v/>
      </c>
      <c r="AF182" s="24">
        <f t="shared" si="154"/>
        <v>4.2772851884365082E-5</v>
      </c>
      <c r="AG182" s="41" t="str">
        <f t="shared" si="155"/>
        <v/>
      </c>
      <c r="AH182" s="24">
        <f t="shared" si="156"/>
        <v>5.1327422261238098E-4</v>
      </c>
      <c r="AI182" s="41" t="str">
        <f t="shared" si="157"/>
        <v/>
      </c>
      <c r="AJ182" s="24">
        <f t="shared" si="158"/>
        <v>6.1592906713485718E-3</v>
      </c>
      <c r="AK182" s="41" t="str">
        <f t="shared" si="159"/>
        <v/>
      </c>
    </row>
    <row r="183" spans="5:37" x14ac:dyDescent="0.2">
      <c r="E183" s="443" t="s">
        <v>1341</v>
      </c>
      <c r="F183" s="91">
        <f t="shared" si="161"/>
        <v>1844</v>
      </c>
      <c r="G183" s="8">
        <v>2</v>
      </c>
      <c r="H183" s="8">
        <f t="shared" si="160"/>
        <v>180.00000000000011</v>
      </c>
      <c r="I183" s="37" t="str">
        <f t="shared" si="133"/>
        <v>1;30</v>
      </c>
      <c r="J183" s="38">
        <v>2</v>
      </c>
      <c r="K183" s="128">
        <f t="shared" si="134"/>
        <v>1.2500000000000009</v>
      </c>
      <c r="L183" s="39" t="str">
        <f>INDEX(powers!$H$2:$H$75,33+J183)</f>
        <v>gross</v>
      </c>
      <c r="M183" s="40" t="str">
        <f t="shared" si="135"/>
        <v>1</v>
      </c>
      <c r="N183" s="24">
        <f t="shared" si="136"/>
        <v>3.0000000000000107</v>
      </c>
      <c r="O183" s="41" t="str">
        <f t="shared" si="137"/>
        <v>3</v>
      </c>
      <c r="P183" s="24">
        <f t="shared" si="138"/>
        <v>1.2789769243681803E-13</v>
      </c>
      <c r="Q183" s="41" t="str">
        <f t="shared" si="139"/>
        <v>0</v>
      </c>
      <c r="R183" s="24">
        <f t="shared" si="140"/>
        <v>1.5347723092418164E-12</v>
      </c>
      <c r="S183" s="41" t="str">
        <f t="shared" si="141"/>
        <v/>
      </c>
      <c r="T183" s="24">
        <f t="shared" si="142"/>
        <v>1.8417267710901797E-11</v>
      </c>
      <c r="U183" s="41" t="str">
        <f t="shared" si="143"/>
        <v/>
      </c>
      <c r="V183" s="24">
        <f t="shared" si="144"/>
        <v>2.2100721253082156E-10</v>
      </c>
      <c r="W183" s="41" t="str">
        <f t="shared" si="145"/>
        <v/>
      </c>
      <c r="X183" s="24">
        <f t="shared" si="146"/>
        <v>2.6520865503698587E-9</v>
      </c>
      <c r="Y183" s="41" t="str">
        <f t="shared" si="147"/>
        <v/>
      </c>
      <c r="Z183" s="24">
        <f t="shared" si="148"/>
        <v>3.1825038604438305E-8</v>
      </c>
      <c r="AA183" s="41" t="str">
        <f t="shared" si="149"/>
        <v/>
      </c>
      <c r="AB183" s="24">
        <f t="shared" si="150"/>
        <v>3.8190046325325966E-7</v>
      </c>
      <c r="AC183" s="41" t="str">
        <f t="shared" si="151"/>
        <v/>
      </c>
      <c r="AD183" s="24">
        <f t="shared" si="152"/>
        <v>4.5828055590391159E-6</v>
      </c>
      <c r="AE183" s="41" t="str">
        <f t="shared" si="153"/>
        <v/>
      </c>
      <c r="AF183" s="24">
        <f t="shared" si="154"/>
        <v>5.4993666708469391E-5</v>
      </c>
      <c r="AG183" s="41" t="str">
        <f t="shared" si="155"/>
        <v/>
      </c>
      <c r="AH183" s="24">
        <f t="shared" si="156"/>
        <v>6.5992400050163269E-4</v>
      </c>
      <c r="AI183" s="41" t="str">
        <f t="shared" si="157"/>
        <v/>
      </c>
      <c r="AJ183" s="24">
        <f t="shared" si="158"/>
        <v>7.9190880060195923E-3</v>
      </c>
      <c r="AK183" s="41" t="str">
        <f t="shared" si="159"/>
        <v/>
      </c>
    </row>
    <row r="184" spans="5:37" x14ac:dyDescent="0.2">
      <c r="E184" s="443" t="s">
        <v>1342</v>
      </c>
      <c r="F184" s="91">
        <f t="shared" si="161"/>
        <v>1908</v>
      </c>
      <c r="G184" s="8">
        <v>2</v>
      </c>
      <c r="H184" s="8">
        <f t="shared" si="160"/>
        <v>181.00000000000011</v>
      </c>
      <c r="I184" s="37" t="str">
        <f t="shared" si="133"/>
        <v>1;31</v>
      </c>
      <c r="J184" s="38">
        <v>2</v>
      </c>
      <c r="K184" s="128">
        <f t="shared" si="134"/>
        <v>1.2569444444444453</v>
      </c>
      <c r="L184" s="39" t="str">
        <f>INDEX(powers!$H$2:$H$75,33+J184)</f>
        <v>gross</v>
      </c>
      <c r="M184" s="40" t="str">
        <f t="shared" si="135"/>
        <v>1</v>
      </c>
      <c r="N184" s="24">
        <f t="shared" si="136"/>
        <v>3.0833333333333437</v>
      </c>
      <c r="O184" s="41" t="str">
        <f t="shared" si="137"/>
        <v>3</v>
      </c>
      <c r="P184" s="24">
        <f t="shared" si="138"/>
        <v>1.0000000000001243</v>
      </c>
      <c r="Q184" s="41" t="str">
        <f t="shared" si="139"/>
        <v>1</v>
      </c>
      <c r="R184" s="24">
        <f t="shared" si="140"/>
        <v>1.4921397450962104E-12</v>
      </c>
      <c r="S184" s="41" t="str">
        <f t="shared" si="141"/>
        <v/>
      </c>
      <c r="T184" s="24">
        <f t="shared" si="142"/>
        <v>1.7905676941154525E-11</v>
      </c>
      <c r="U184" s="41" t="str">
        <f t="shared" si="143"/>
        <v/>
      </c>
      <c r="V184" s="24">
        <f t="shared" si="144"/>
        <v>2.148681232938543E-10</v>
      </c>
      <c r="W184" s="41" t="str">
        <f t="shared" si="145"/>
        <v/>
      </c>
      <c r="X184" s="24">
        <f t="shared" si="146"/>
        <v>2.5784174795262516E-9</v>
      </c>
      <c r="Y184" s="41" t="str">
        <f t="shared" si="147"/>
        <v/>
      </c>
      <c r="Z184" s="24">
        <f t="shared" si="148"/>
        <v>3.0941009754315019E-8</v>
      </c>
      <c r="AA184" s="41" t="str">
        <f t="shared" si="149"/>
        <v/>
      </c>
      <c r="AB184" s="24">
        <f t="shared" si="150"/>
        <v>3.7129211705178022E-7</v>
      </c>
      <c r="AC184" s="41" t="str">
        <f t="shared" si="151"/>
        <v/>
      </c>
      <c r="AD184" s="24">
        <f t="shared" si="152"/>
        <v>4.4555054046213627E-6</v>
      </c>
      <c r="AE184" s="41" t="str">
        <f t="shared" si="153"/>
        <v/>
      </c>
      <c r="AF184" s="24">
        <f t="shared" si="154"/>
        <v>5.3466064855456352E-5</v>
      </c>
      <c r="AG184" s="41" t="str">
        <f t="shared" si="155"/>
        <v/>
      </c>
      <c r="AH184" s="24">
        <f t="shared" si="156"/>
        <v>6.4159277826547623E-4</v>
      </c>
      <c r="AI184" s="41" t="str">
        <f t="shared" si="157"/>
        <v/>
      </c>
      <c r="AJ184" s="24">
        <f t="shared" si="158"/>
        <v>7.6991133391857147E-3</v>
      </c>
      <c r="AK184" s="41" t="str">
        <f t="shared" si="159"/>
        <v/>
      </c>
    </row>
    <row r="185" spans="5:37" x14ac:dyDescent="0.2">
      <c r="E185" s="443" t="s">
        <v>1343</v>
      </c>
      <c r="F185" s="91">
        <f t="shared" si="161"/>
        <v>1972</v>
      </c>
      <c r="G185" s="8">
        <v>2</v>
      </c>
      <c r="H185" s="8">
        <f t="shared" si="160"/>
        <v>182.00000000000011</v>
      </c>
      <c r="I185" s="37" t="str">
        <f t="shared" si="133"/>
        <v>1;32</v>
      </c>
      <c r="J185" s="38">
        <v>2</v>
      </c>
      <c r="K185" s="128">
        <f t="shared" si="134"/>
        <v>1.2638888888888897</v>
      </c>
      <c r="L185" s="39" t="str">
        <f>INDEX(powers!$H$2:$H$75,33+J185)</f>
        <v>gross</v>
      </c>
      <c r="M185" s="40" t="str">
        <f t="shared" si="135"/>
        <v>1</v>
      </c>
      <c r="N185" s="24">
        <f t="shared" si="136"/>
        <v>3.1666666666666767</v>
      </c>
      <c r="O185" s="41" t="str">
        <f t="shared" si="137"/>
        <v>3</v>
      </c>
      <c r="P185" s="24">
        <f t="shared" si="138"/>
        <v>2.0000000000001208</v>
      </c>
      <c r="Q185" s="41" t="str">
        <f t="shared" si="139"/>
        <v>2</v>
      </c>
      <c r="R185" s="24">
        <f t="shared" si="140"/>
        <v>1.4495071809506044E-12</v>
      </c>
      <c r="S185" s="41" t="str">
        <f t="shared" si="141"/>
        <v/>
      </c>
      <c r="T185" s="24">
        <f t="shared" si="142"/>
        <v>1.7394086171407253E-11</v>
      </c>
      <c r="U185" s="41" t="str">
        <f t="shared" si="143"/>
        <v/>
      </c>
      <c r="V185" s="24">
        <f t="shared" si="144"/>
        <v>2.0872903405688703E-10</v>
      </c>
      <c r="W185" s="41" t="str">
        <f t="shared" si="145"/>
        <v/>
      </c>
      <c r="X185" s="24">
        <f t="shared" si="146"/>
        <v>2.5047484086826444E-9</v>
      </c>
      <c r="Y185" s="41" t="str">
        <f t="shared" si="147"/>
        <v/>
      </c>
      <c r="Z185" s="24">
        <f t="shared" si="148"/>
        <v>3.0056980904191732E-8</v>
      </c>
      <c r="AA185" s="41" t="str">
        <f t="shared" si="149"/>
        <v/>
      </c>
      <c r="AB185" s="24">
        <f t="shared" si="150"/>
        <v>3.6068377085030079E-7</v>
      </c>
      <c r="AC185" s="41" t="str">
        <f t="shared" si="151"/>
        <v/>
      </c>
      <c r="AD185" s="24">
        <f t="shared" si="152"/>
        <v>4.3282052502036095E-6</v>
      </c>
      <c r="AE185" s="41" t="str">
        <f t="shared" si="153"/>
        <v/>
      </c>
      <c r="AF185" s="24">
        <f t="shared" si="154"/>
        <v>5.1938463002443314E-5</v>
      </c>
      <c r="AG185" s="41" t="str">
        <f t="shared" si="155"/>
        <v/>
      </c>
      <c r="AH185" s="24">
        <f t="shared" si="156"/>
        <v>6.2326155602931976E-4</v>
      </c>
      <c r="AI185" s="41" t="str">
        <f t="shared" si="157"/>
        <v/>
      </c>
      <c r="AJ185" s="24">
        <f t="shared" si="158"/>
        <v>7.4791386723518372E-3</v>
      </c>
      <c r="AK185" s="41" t="str">
        <f t="shared" si="159"/>
        <v/>
      </c>
    </row>
    <row r="186" spans="5:37" x14ac:dyDescent="0.2">
      <c r="E186" s="443" t="s">
        <v>1344</v>
      </c>
      <c r="F186" s="265">
        <f t="shared" si="161"/>
        <v>2036</v>
      </c>
      <c r="G186" s="8">
        <v>2</v>
      </c>
      <c r="H186" s="8">
        <f t="shared" si="160"/>
        <v>183.00000000000011</v>
      </c>
      <c r="I186" s="37" t="str">
        <f t="shared" si="133"/>
        <v>1;33</v>
      </c>
      <c r="J186" s="38">
        <v>2</v>
      </c>
      <c r="K186" s="128">
        <f t="shared" si="134"/>
        <v>1.2708333333333341</v>
      </c>
      <c r="L186" s="39" t="str">
        <f>INDEX(powers!$H$2:$H$75,33+J186)</f>
        <v>gross</v>
      </c>
      <c r="M186" s="40" t="str">
        <f t="shared" si="135"/>
        <v>1</v>
      </c>
      <c r="N186" s="24">
        <f t="shared" si="136"/>
        <v>3.2500000000000098</v>
      </c>
      <c r="O186" s="41" t="str">
        <f t="shared" si="137"/>
        <v>3</v>
      </c>
      <c r="P186" s="24">
        <f t="shared" si="138"/>
        <v>3.0000000000001172</v>
      </c>
      <c r="Q186" s="41" t="str">
        <f t="shared" si="139"/>
        <v>3</v>
      </c>
      <c r="R186" s="24">
        <f t="shared" si="140"/>
        <v>1.4068746168049984E-12</v>
      </c>
      <c r="S186" s="41" t="str">
        <f t="shared" si="141"/>
        <v/>
      </c>
      <c r="T186" s="24">
        <f t="shared" si="142"/>
        <v>1.688249540165998E-11</v>
      </c>
      <c r="U186" s="41" t="str">
        <f t="shared" si="143"/>
        <v/>
      </c>
      <c r="V186" s="24">
        <f t="shared" si="144"/>
        <v>2.0258994481991976E-10</v>
      </c>
      <c r="W186" s="41" t="str">
        <f t="shared" si="145"/>
        <v/>
      </c>
      <c r="X186" s="24">
        <f t="shared" si="146"/>
        <v>2.4310793378390372E-9</v>
      </c>
      <c r="Y186" s="41" t="str">
        <f t="shared" si="147"/>
        <v/>
      </c>
      <c r="Z186" s="24">
        <f t="shared" si="148"/>
        <v>2.9172952054068446E-8</v>
      </c>
      <c r="AA186" s="41" t="str">
        <f t="shared" si="149"/>
        <v/>
      </c>
      <c r="AB186" s="24">
        <f t="shared" si="150"/>
        <v>3.5007542464882135E-7</v>
      </c>
      <c r="AC186" s="41" t="str">
        <f t="shared" si="151"/>
        <v/>
      </c>
      <c r="AD186" s="24">
        <f t="shared" si="152"/>
        <v>4.2009050957858562E-6</v>
      </c>
      <c r="AE186" s="41" t="str">
        <f t="shared" si="153"/>
        <v/>
      </c>
      <c r="AF186" s="24">
        <f t="shared" si="154"/>
        <v>5.0410861149430275E-5</v>
      </c>
      <c r="AG186" s="41" t="str">
        <f t="shared" si="155"/>
        <v/>
      </c>
      <c r="AH186" s="24">
        <f t="shared" si="156"/>
        <v>6.049303337931633E-4</v>
      </c>
      <c r="AI186" s="41" t="str">
        <f t="shared" si="157"/>
        <v/>
      </c>
      <c r="AJ186" s="24">
        <f t="shared" si="158"/>
        <v>7.2591640055179596E-3</v>
      </c>
      <c r="AK186" s="41" t="str">
        <f t="shared" si="159"/>
        <v/>
      </c>
    </row>
    <row r="187" spans="5:37" ht="12" thickBot="1" x14ac:dyDescent="0.25">
      <c r="E187" s="443" t="s">
        <v>1345</v>
      </c>
      <c r="F187" s="105">
        <f>2100+128*0</f>
        <v>2100</v>
      </c>
      <c r="G187" s="33">
        <v>2</v>
      </c>
      <c r="H187" s="33">
        <f t="shared" si="160"/>
        <v>184.00000000000011</v>
      </c>
      <c r="I187" s="47" t="str">
        <f t="shared" ref="I187" si="162">M187&amp;";"&amp;O187&amp;Q187&amp;S187&amp;U187&amp;W187&amp;Y187&amp;AA187&amp;AC187&amp;AE187&amp;AG187&amp;AI187&amp;AK187</f>
        <v>1;34</v>
      </c>
      <c r="J187" s="48">
        <v>2</v>
      </c>
      <c r="K187" s="106">
        <f t="shared" ref="K187" si="163">H187/POWER(12,J187)</f>
        <v>1.2777777777777786</v>
      </c>
      <c r="L187" s="49" t="str">
        <f>INDEX(powers!$H$2:$H$75,33+J187)</f>
        <v>gross</v>
      </c>
      <c r="M187" s="40" t="str">
        <f t="shared" ref="M187" si="164">IF($G187&gt;=M$17,MID($J$17,IF($G187&gt;M$17,INT(K187),ROUND(K187,0))+1,1),"")</f>
        <v>1</v>
      </c>
      <c r="N187" s="24">
        <f t="shared" ref="N187" si="165">(K187-INT(K187))*12</f>
        <v>3.3333333333333428</v>
      </c>
      <c r="O187" s="41" t="str">
        <f t="shared" ref="O187" si="166">IF($G187&gt;=O$17,MID($J$17,IF($G187&gt;O$17,INT(N187),ROUND(N187,0))+1,1),"")</f>
        <v>3</v>
      </c>
      <c r="P187" s="24">
        <f t="shared" ref="P187" si="167">(N187-INT(N187))*12</f>
        <v>4.0000000000001137</v>
      </c>
      <c r="Q187" s="41" t="str">
        <f t="shared" ref="Q187" si="168">IF($G187&gt;=Q$17,MID($J$17,IF($G187&gt;Q$17,INT(P187),ROUND(P187,0))+1,1),"")</f>
        <v>4</v>
      </c>
      <c r="R187" s="24">
        <f t="shared" ref="R187" si="169">(P187-INT(P187))*12</f>
        <v>1.3642420526593924E-12</v>
      </c>
      <c r="S187" s="41" t="str">
        <f t="shared" ref="S187" si="170">IF($G187&gt;=S$17,MID($J$17,IF($G187&gt;S$17,INT(R187),ROUND(R187,0))+1,1),"")</f>
        <v/>
      </c>
      <c r="T187" s="24">
        <f t="shared" ref="T187" si="171">(R187-INT(R187))*12</f>
        <v>1.6370904631912708E-11</v>
      </c>
      <c r="U187" s="41" t="str">
        <f t="shared" ref="U187" si="172">IF($G187&gt;=U$17,MID($J$17,IF($G187&gt;U$17,INT(T187),ROUND(T187,0))+1,1),"")</f>
        <v/>
      </c>
      <c r="V187" s="24">
        <f t="shared" ref="V187" si="173">(T187-INT(T187))*12</f>
        <v>1.964508555829525E-10</v>
      </c>
      <c r="W187" s="41" t="str">
        <f t="shared" ref="W187" si="174">IF($G187&gt;=W$17,MID($J$17,IF($G187&gt;W$17,INT(V187),ROUND(V187,0))+1,1),"")</f>
        <v/>
      </c>
      <c r="X187" s="24">
        <f t="shared" ref="X187" si="175">(V187-INT(V187))*12</f>
        <v>2.35741026699543E-9</v>
      </c>
      <c r="Y187" s="41" t="str">
        <f t="shared" ref="Y187" si="176">IF($G187&gt;=Y$17,MID($J$17,IF($G187&gt;Y$17,INT(X187),ROUND(X187,0))+1,1),"")</f>
        <v/>
      </c>
      <c r="Z187" s="24">
        <f t="shared" ref="Z187" si="177">(X187-INT(X187))*12</f>
        <v>2.828892320394516E-8</v>
      </c>
      <c r="AA187" s="41" t="str">
        <f t="shared" ref="AA187" si="178">IF($G187&gt;=AA$17,MID($J$17,IF($G187&gt;AA$17,INT(Z187),ROUND(Z187,0))+1,1),"")</f>
        <v/>
      </c>
      <c r="AB187" s="24">
        <f t="shared" ref="AB187" si="179">(Z187-INT(Z187))*12</f>
        <v>3.3946707844734192E-7</v>
      </c>
      <c r="AC187" s="41" t="str">
        <f t="shared" ref="AC187" si="180">IF($G187&gt;=AC$17,MID($J$17,IF($G187&gt;AC$17,INT(AB187),ROUND(AB187,0))+1,1),"")</f>
        <v/>
      </c>
      <c r="AD187" s="24">
        <f t="shared" ref="AD187" si="181">(AB187-INT(AB187))*12</f>
        <v>4.073604941368103E-6</v>
      </c>
      <c r="AE187" s="41" t="str">
        <f t="shared" ref="AE187" si="182">IF($G187&gt;=AE$17,MID($J$17,IF($G187&gt;AE$17,INT(AD187),ROUND(AD187,0))+1,1),"")</f>
        <v/>
      </c>
      <c r="AF187" s="24">
        <f t="shared" ref="AF187" si="183">(AD187-INT(AD187))*12</f>
        <v>4.8883259296417236E-5</v>
      </c>
      <c r="AG187" s="41" t="str">
        <f t="shared" ref="AG187" si="184">IF($G187&gt;=AG$17,MID($J$17,IF($G187&gt;AG$17,INT(AF187),ROUND(AF187,0))+1,1),"")</f>
        <v/>
      </c>
      <c r="AH187" s="24">
        <f t="shared" ref="AH187" si="185">(AF187-INT(AF187))*12</f>
        <v>5.8659911155700684E-4</v>
      </c>
      <c r="AI187" s="41" t="str">
        <f t="shared" ref="AI187" si="186">IF($G187&gt;=AI$17,MID($J$17,IF($G187&gt;AI$17,INT(AH187),ROUND(AH187,0))+1,1),"")</f>
        <v/>
      </c>
      <c r="AJ187" s="24">
        <f t="shared" ref="AJ187" si="187">(AH187-INT(AH187))*12</f>
        <v>7.039189338684082E-3</v>
      </c>
      <c r="AK187" s="41" t="str">
        <f t="shared" ref="AK187" si="188">IF($G187&gt;=AK$17,MID($J$17,IF($G187&gt;AK$17,INT(AJ187),ROUND(AJ187,0))+1,1),"")</f>
        <v/>
      </c>
    </row>
    <row r="189" spans="5:37" ht="12" thickBot="1" x14ac:dyDescent="0.25">
      <c r="F189" s="54" t="s">
        <v>83</v>
      </c>
    </row>
    <row r="190" spans="5:37" x14ac:dyDescent="0.2">
      <c r="F190" s="526">
        <f>H190/128</f>
        <v>0</v>
      </c>
      <c r="G190" s="143">
        <v>2</v>
      </c>
      <c r="H190" s="246">
        <v>0</v>
      </c>
      <c r="I190" s="145" t="str">
        <f>O190&amp;Q190&amp;S190&amp;U190&amp;W190&amp;Y190&amp;AA190&amp;AC190&amp;AE190&amp;AG190&amp;AI190&amp;AK190&amp;";"</f>
        <v>00;</v>
      </c>
      <c r="J190" s="146">
        <v>2</v>
      </c>
      <c r="K190" s="194">
        <f t="shared" ref="K190:K194" si="189">H190/POWER(12,J190)</f>
        <v>0</v>
      </c>
      <c r="L190" s="147" t="str">
        <f>INDEX(powers!$H$2:$H$75,33+J190)</f>
        <v>gross</v>
      </c>
      <c r="M190" s="40" t="str">
        <f t="shared" ref="M190:M194" si="190">IF($G190&gt;=M$17,MID($J$17,IF($G190&gt;M$17,INT(K190),ROUND(K190,0))+1,1),"")</f>
        <v>0</v>
      </c>
      <c r="N190" s="24">
        <f t="shared" ref="N190:N194" si="191">(K190-INT(K190))*12</f>
        <v>0</v>
      </c>
      <c r="O190" s="41" t="str">
        <f t="shared" ref="O190:O194" si="192">IF($G190&gt;=O$17,MID($J$17,IF($G190&gt;O$17,INT(N190),ROUND(N190,0))+1,1),"")</f>
        <v>0</v>
      </c>
      <c r="P190" s="24">
        <f t="shared" ref="P190:P194" si="193">(N190-INT(N190))*12</f>
        <v>0</v>
      </c>
      <c r="Q190" s="41" t="str">
        <f t="shared" ref="Q190:Q194" si="194">IF($G190&gt;=Q$17,MID($J$17,IF($G190&gt;Q$17,INT(P190),ROUND(P190,0))+1,1),"")</f>
        <v>0</v>
      </c>
      <c r="R190" s="24">
        <f t="shared" ref="R190:R194" si="195">(P190-INT(P190))*12</f>
        <v>0</v>
      </c>
      <c r="S190" s="41" t="str">
        <f t="shared" ref="S190:S194" si="196">IF($G190&gt;=S$17,MID($J$17,IF($G190&gt;S$17,INT(R190),ROUND(R190,0))+1,1),"")</f>
        <v/>
      </c>
      <c r="T190" s="24">
        <f t="shared" ref="T190:T194" si="197">(R190-INT(R190))*12</f>
        <v>0</v>
      </c>
      <c r="U190" s="41" t="str">
        <f t="shared" ref="U190:U194" si="198">IF($G190&gt;=U$17,MID($J$17,IF($G190&gt;U$17,INT(T190),ROUND(T190,0))+1,1),"")</f>
        <v/>
      </c>
      <c r="V190" s="24">
        <f t="shared" ref="V190:V194" si="199">(T190-INT(T190))*12</f>
        <v>0</v>
      </c>
      <c r="W190" s="41" t="str">
        <f t="shared" ref="W190:W194" si="200">IF($G190&gt;=W$17,MID($J$17,IF($G190&gt;W$17,INT(V190),ROUND(V190,0))+1,1),"")</f>
        <v/>
      </c>
      <c r="X190" s="24">
        <f t="shared" ref="X190:X194" si="201">(V190-INT(V190))*12</f>
        <v>0</v>
      </c>
      <c r="Y190" s="41" t="str">
        <f t="shared" ref="Y190:Y194" si="202">IF($G190&gt;=Y$17,MID($J$17,IF($G190&gt;Y$17,INT(X190),ROUND(X190,0))+1,1),"")</f>
        <v/>
      </c>
      <c r="Z190" s="24">
        <f t="shared" ref="Z190:Z194" si="203">(X190-INT(X190))*12</f>
        <v>0</v>
      </c>
      <c r="AA190" s="41" t="str">
        <f t="shared" ref="AA190:AA194" si="204">IF($G190&gt;=AA$17,MID($J$17,IF($G190&gt;AA$17,INT(Z190),ROUND(Z190,0))+1,1),"")</f>
        <v/>
      </c>
      <c r="AB190" s="24">
        <f t="shared" ref="AB190:AB194" si="205">(Z190-INT(Z190))*12</f>
        <v>0</v>
      </c>
      <c r="AC190" s="41" t="str">
        <f t="shared" ref="AC190:AC194" si="206">IF($G190&gt;=AC$17,MID($J$17,IF($G190&gt;AC$17,INT(AB190),ROUND(AB190,0))+1,1),"")</f>
        <v/>
      </c>
      <c r="AD190" s="24">
        <f t="shared" ref="AD190:AD194" si="207">(AB190-INT(AB190))*12</f>
        <v>0</v>
      </c>
      <c r="AE190" s="41" t="str">
        <f t="shared" ref="AE190:AE194" si="208">IF($G190&gt;=AE$17,MID($J$17,IF($G190&gt;AE$17,INT(AD190),ROUND(AD190,0))+1,1),"")</f>
        <v/>
      </c>
      <c r="AF190" s="24">
        <f t="shared" ref="AF190:AF194" si="209">(AD190-INT(AD190))*12</f>
        <v>0</v>
      </c>
      <c r="AG190" s="41" t="str">
        <f t="shared" ref="AG190:AG194" si="210">IF($G190&gt;=AG$17,MID($J$17,IF($G190&gt;AG$17,INT(AF190),ROUND(AF190,0))+1,1),"")</f>
        <v/>
      </c>
      <c r="AH190" s="24">
        <f t="shared" ref="AH190:AH194" si="211">(AF190-INT(AF190))*12</f>
        <v>0</v>
      </c>
      <c r="AI190" s="41" t="str">
        <f t="shared" ref="AI190:AI194" si="212">IF($G190&gt;=AI$17,MID($J$17,IF($G190&gt;AI$17,INT(AH190),ROUND(AH190,0))+1,1),"")</f>
        <v/>
      </c>
      <c r="AJ190" s="24">
        <f t="shared" ref="AJ190:AJ194" si="213">(AH190-INT(AH190))*12</f>
        <v>0</v>
      </c>
      <c r="AK190" s="41" t="str">
        <f t="shared" ref="AK190:AK194" si="214">IF($G190&gt;=AK$17,MID($J$17,IF($G190&gt;AK$17,INT(AJ190),ROUND(AJ190,0))+1,1),"")</f>
        <v/>
      </c>
    </row>
    <row r="191" spans="5:37" x14ac:dyDescent="0.2">
      <c r="F191" s="527">
        <f>H191/128</f>
        <v>7.8125E-3</v>
      </c>
      <c r="G191" s="8">
        <v>2</v>
      </c>
      <c r="H191" s="305">
        <f>H190+1</f>
        <v>1</v>
      </c>
      <c r="I191" s="37" t="str">
        <f>O191&amp;Q191&amp;S191&amp;U191&amp;W191&amp;Y191&amp;AA191&amp;AC191&amp;AE191&amp;AG191&amp;AI191&amp;AK191&amp;";"</f>
        <v>01;</v>
      </c>
      <c r="J191" s="38">
        <v>2</v>
      </c>
      <c r="K191" s="128">
        <f t="shared" si="189"/>
        <v>6.9444444444444441E-3</v>
      </c>
      <c r="L191" s="39" t="str">
        <f>INDEX(powers!$H$2:$H$75,33+J191)</f>
        <v>gross</v>
      </c>
      <c r="M191" s="40" t="str">
        <f t="shared" si="190"/>
        <v>0</v>
      </c>
      <c r="N191" s="24">
        <f t="shared" si="191"/>
        <v>8.3333333333333329E-2</v>
      </c>
      <c r="O191" s="41" t="str">
        <f t="shared" si="192"/>
        <v>0</v>
      </c>
      <c r="P191" s="24">
        <f t="shared" si="193"/>
        <v>1</v>
      </c>
      <c r="Q191" s="41" t="str">
        <f t="shared" si="194"/>
        <v>1</v>
      </c>
      <c r="R191" s="24">
        <f t="shared" si="195"/>
        <v>0</v>
      </c>
      <c r="S191" s="41" t="str">
        <f t="shared" si="196"/>
        <v/>
      </c>
      <c r="T191" s="24">
        <f t="shared" si="197"/>
        <v>0</v>
      </c>
      <c r="U191" s="41" t="str">
        <f t="shared" si="198"/>
        <v/>
      </c>
      <c r="V191" s="24">
        <f t="shared" si="199"/>
        <v>0</v>
      </c>
      <c r="W191" s="41" t="str">
        <f t="shared" si="200"/>
        <v/>
      </c>
      <c r="X191" s="24">
        <f t="shared" si="201"/>
        <v>0</v>
      </c>
      <c r="Y191" s="41" t="str">
        <f t="shared" si="202"/>
        <v/>
      </c>
      <c r="Z191" s="24">
        <f t="shared" si="203"/>
        <v>0</v>
      </c>
      <c r="AA191" s="41" t="str">
        <f t="shared" si="204"/>
        <v/>
      </c>
      <c r="AB191" s="24">
        <f t="shared" si="205"/>
        <v>0</v>
      </c>
      <c r="AC191" s="41" t="str">
        <f t="shared" si="206"/>
        <v/>
      </c>
      <c r="AD191" s="24">
        <f t="shared" si="207"/>
        <v>0</v>
      </c>
      <c r="AE191" s="41" t="str">
        <f t="shared" si="208"/>
        <v/>
      </c>
      <c r="AF191" s="24">
        <f t="shared" si="209"/>
        <v>0</v>
      </c>
      <c r="AG191" s="41" t="str">
        <f t="shared" si="210"/>
        <v/>
      </c>
      <c r="AH191" s="24">
        <f t="shared" si="211"/>
        <v>0</v>
      </c>
      <c r="AI191" s="41" t="str">
        <f t="shared" si="212"/>
        <v/>
      </c>
      <c r="AJ191" s="24">
        <f t="shared" si="213"/>
        <v>0</v>
      </c>
      <c r="AK191" s="41" t="str">
        <f t="shared" si="214"/>
        <v/>
      </c>
    </row>
    <row r="192" spans="5:37" x14ac:dyDescent="0.2">
      <c r="F192" s="527">
        <f t="shared" ref="F192:F194" si="215">H192/128</f>
        <v>1.5625E-2</v>
      </c>
      <c r="G192" s="8">
        <v>2</v>
      </c>
      <c r="H192" s="305">
        <f>H191+1</f>
        <v>2</v>
      </c>
      <c r="I192" s="37" t="str">
        <f t="shared" ref="I192:I255" si="216">O192&amp;Q192&amp;S192&amp;U192&amp;W192&amp;Y192&amp;AA192&amp;AC192&amp;AE192&amp;AG192&amp;AI192&amp;AK192&amp;";"</f>
        <v>02;</v>
      </c>
      <c r="J192" s="38">
        <v>2</v>
      </c>
      <c r="K192" s="128">
        <f t="shared" si="189"/>
        <v>1.3888888888888888E-2</v>
      </c>
      <c r="L192" s="39" t="str">
        <f>INDEX(powers!$H$2:$H$75,33+J192)</f>
        <v>gross</v>
      </c>
      <c r="M192" s="40" t="str">
        <f t="shared" si="190"/>
        <v>0</v>
      </c>
      <c r="N192" s="24">
        <f t="shared" si="191"/>
        <v>0.16666666666666666</v>
      </c>
      <c r="O192" s="41" t="str">
        <f t="shared" si="192"/>
        <v>0</v>
      </c>
      <c r="P192" s="24">
        <f t="shared" si="193"/>
        <v>2</v>
      </c>
      <c r="Q192" s="41" t="str">
        <f t="shared" si="194"/>
        <v>2</v>
      </c>
      <c r="R192" s="24">
        <f t="shared" si="195"/>
        <v>0</v>
      </c>
      <c r="S192" s="41" t="str">
        <f t="shared" si="196"/>
        <v/>
      </c>
      <c r="T192" s="24">
        <f t="shared" si="197"/>
        <v>0</v>
      </c>
      <c r="U192" s="41" t="str">
        <f t="shared" si="198"/>
        <v/>
      </c>
      <c r="V192" s="24">
        <f t="shared" si="199"/>
        <v>0</v>
      </c>
      <c r="W192" s="41" t="str">
        <f t="shared" si="200"/>
        <v/>
      </c>
      <c r="X192" s="24">
        <f t="shared" si="201"/>
        <v>0</v>
      </c>
      <c r="Y192" s="41" t="str">
        <f t="shared" si="202"/>
        <v/>
      </c>
      <c r="Z192" s="24">
        <f t="shared" si="203"/>
        <v>0</v>
      </c>
      <c r="AA192" s="41" t="str">
        <f t="shared" si="204"/>
        <v/>
      </c>
      <c r="AB192" s="24">
        <f t="shared" si="205"/>
        <v>0</v>
      </c>
      <c r="AC192" s="41" t="str">
        <f t="shared" si="206"/>
        <v/>
      </c>
      <c r="AD192" s="24">
        <f t="shared" si="207"/>
        <v>0</v>
      </c>
      <c r="AE192" s="41" t="str">
        <f t="shared" si="208"/>
        <v/>
      </c>
      <c r="AF192" s="24">
        <f t="shared" si="209"/>
        <v>0</v>
      </c>
      <c r="AG192" s="41" t="str">
        <f t="shared" si="210"/>
        <v/>
      </c>
      <c r="AH192" s="24">
        <f t="shared" si="211"/>
        <v>0</v>
      </c>
      <c r="AI192" s="41" t="str">
        <f t="shared" si="212"/>
        <v/>
      </c>
      <c r="AJ192" s="24">
        <f t="shared" si="213"/>
        <v>0</v>
      </c>
      <c r="AK192" s="41" t="str">
        <f t="shared" si="214"/>
        <v/>
      </c>
    </row>
    <row r="193" spans="6:37" x14ac:dyDescent="0.2">
      <c r="F193" s="527">
        <f t="shared" si="215"/>
        <v>2.34375E-2</v>
      </c>
      <c r="G193" s="8">
        <v>2</v>
      </c>
      <c r="H193" s="305">
        <f>H192+1</f>
        <v>3</v>
      </c>
      <c r="I193" s="37" t="str">
        <f t="shared" si="216"/>
        <v>03;</v>
      </c>
      <c r="J193" s="38">
        <v>2</v>
      </c>
      <c r="K193" s="128">
        <f t="shared" si="189"/>
        <v>2.0833333333333332E-2</v>
      </c>
      <c r="L193" s="39" t="str">
        <f>INDEX(powers!$H$2:$H$75,33+J193)</f>
        <v>gross</v>
      </c>
      <c r="M193" s="40" t="str">
        <f t="shared" si="190"/>
        <v>0</v>
      </c>
      <c r="N193" s="24">
        <f t="shared" si="191"/>
        <v>0.25</v>
      </c>
      <c r="O193" s="41" t="str">
        <f t="shared" si="192"/>
        <v>0</v>
      </c>
      <c r="P193" s="24">
        <f t="shared" si="193"/>
        <v>3</v>
      </c>
      <c r="Q193" s="41" t="str">
        <f t="shared" si="194"/>
        <v>3</v>
      </c>
      <c r="R193" s="24">
        <f t="shared" si="195"/>
        <v>0</v>
      </c>
      <c r="S193" s="41" t="str">
        <f t="shared" si="196"/>
        <v/>
      </c>
      <c r="T193" s="24">
        <f t="shared" si="197"/>
        <v>0</v>
      </c>
      <c r="U193" s="41" t="str">
        <f t="shared" si="198"/>
        <v/>
      </c>
      <c r="V193" s="24">
        <f t="shared" si="199"/>
        <v>0</v>
      </c>
      <c r="W193" s="41" t="str">
        <f t="shared" si="200"/>
        <v/>
      </c>
      <c r="X193" s="24">
        <f t="shared" si="201"/>
        <v>0</v>
      </c>
      <c r="Y193" s="41" t="str">
        <f t="shared" si="202"/>
        <v/>
      </c>
      <c r="Z193" s="24">
        <f t="shared" si="203"/>
        <v>0</v>
      </c>
      <c r="AA193" s="41" t="str">
        <f t="shared" si="204"/>
        <v/>
      </c>
      <c r="AB193" s="24">
        <f t="shared" si="205"/>
        <v>0</v>
      </c>
      <c r="AC193" s="41" t="str">
        <f t="shared" si="206"/>
        <v/>
      </c>
      <c r="AD193" s="24">
        <f t="shared" si="207"/>
        <v>0</v>
      </c>
      <c r="AE193" s="41" t="str">
        <f t="shared" si="208"/>
        <v/>
      </c>
      <c r="AF193" s="24">
        <f t="shared" si="209"/>
        <v>0</v>
      </c>
      <c r="AG193" s="41" t="str">
        <f t="shared" si="210"/>
        <v/>
      </c>
      <c r="AH193" s="24">
        <f t="shared" si="211"/>
        <v>0</v>
      </c>
      <c r="AI193" s="41" t="str">
        <f t="shared" si="212"/>
        <v/>
      </c>
      <c r="AJ193" s="24">
        <f t="shared" si="213"/>
        <v>0</v>
      </c>
      <c r="AK193" s="41" t="str">
        <f t="shared" si="214"/>
        <v/>
      </c>
    </row>
    <row r="194" spans="6:37" x14ac:dyDescent="0.2">
      <c r="F194" s="527">
        <f t="shared" si="215"/>
        <v>3.125E-2</v>
      </c>
      <c r="G194" s="8">
        <v>2</v>
      </c>
      <c r="H194" s="305">
        <f>H193+1</f>
        <v>4</v>
      </c>
      <c r="I194" s="37" t="str">
        <f t="shared" si="216"/>
        <v>04;</v>
      </c>
      <c r="J194" s="38">
        <v>2</v>
      </c>
      <c r="K194" s="128">
        <f t="shared" si="189"/>
        <v>2.7777777777777776E-2</v>
      </c>
      <c r="L194" s="39" t="str">
        <f>INDEX(powers!$H$2:$H$75,33+J194)</f>
        <v>gross</v>
      </c>
      <c r="M194" s="40" t="str">
        <f t="shared" si="190"/>
        <v>0</v>
      </c>
      <c r="N194" s="24">
        <f t="shared" si="191"/>
        <v>0.33333333333333331</v>
      </c>
      <c r="O194" s="41" t="str">
        <f t="shared" si="192"/>
        <v>0</v>
      </c>
      <c r="P194" s="24">
        <f t="shared" si="193"/>
        <v>4</v>
      </c>
      <c r="Q194" s="41" t="str">
        <f t="shared" si="194"/>
        <v>4</v>
      </c>
      <c r="R194" s="24">
        <f t="shared" si="195"/>
        <v>0</v>
      </c>
      <c r="S194" s="41" t="str">
        <f t="shared" si="196"/>
        <v/>
      </c>
      <c r="T194" s="24">
        <f t="shared" si="197"/>
        <v>0</v>
      </c>
      <c r="U194" s="41" t="str">
        <f t="shared" si="198"/>
        <v/>
      </c>
      <c r="V194" s="24">
        <f t="shared" si="199"/>
        <v>0</v>
      </c>
      <c r="W194" s="41" t="str">
        <f t="shared" si="200"/>
        <v/>
      </c>
      <c r="X194" s="24">
        <f t="shared" si="201"/>
        <v>0</v>
      </c>
      <c r="Y194" s="41" t="str">
        <f t="shared" si="202"/>
        <v/>
      </c>
      <c r="Z194" s="24">
        <f t="shared" si="203"/>
        <v>0</v>
      </c>
      <c r="AA194" s="41" t="str">
        <f t="shared" si="204"/>
        <v/>
      </c>
      <c r="AB194" s="24">
        <f t="shared" si="205"/>
        <v>0</v>
      </c>
      <c r="AC194" s="41" t="str">
        <f t="shared" si="206"/>
        <v/>
      </c>
      <c r="AD194" s="24">
        <f t="shared" si="207"/>
        <v>0</v>
      </c>
      <c r="AE194" s="41" t="str">
        <f t="shared" si="208"/>
        <v/>
      </c>
      <c r="AF194" s="24">
        <f t="shared" si="209"/>
        <v>0</v>
      </c>
      <c r="AG194" s="41" t="str">
        <f t="shared" si="210"/>
        <v/>
      </c>
      <c r="AH194" s="24">
        <f t="shared" si="211"/>
        <v>0</v>
      </c>
      <c r="AI194" s="41" t="str">
        <f t="shared" si="212"/>
        <v/>
      </c>
      <c r="AJ194" s="24">
        <f t="shared" si="213"/>
        <v>0</v>
      </c>
      <c r="AK194" s="41" t="str">
        <f t="shared" si="214"/>
        <v/>
      </c>
    </row>
    <row r="195" spans="6:37" x14ac:dyDescent="0.2">
      <c r="F195" s="527">
        <f t="shared" ref="F195:F258" si="217">H195/128</f>
        <v>3.90625E-2</v>
      </c>
      <c r="G195" s="8">
        <v>2</v>
      </c>
      <c r="H195" s="305">
        <f t="shared" ref="H195:H258" si="218">H194+1</f>
        <v>5</v>
      </c>
      <c r="I195" s="37" t="str">
        <f t="shared" si="216"/>
        <v>05;</v>
      </c>
      <c r="J195" s="38">
        <v>2</v>
      </c>
      <c r="K195" s="128">
        <f t="shared" ref="K195:K258" si="219">H195/POWER(12,J195)</f>
        <v>3.4722222222222224E-2</v>
      </c>
      <c r="L195" s="39" t="str">
        <f>INDEX(powers!$H$2:$H$75,33+J195)</f>
        <v>gross</v>
      </c>
      <c r="M195" s="40" t="str">
        <f t="shared" ref="M195:M258" si="220">IF($G195&gt;=M$17,MID($J$17,IF($G195&gt;M$17,INT(K195),ROUND(K195,0))+1,1),"")</f>
        <v>0</v>
      </c>
      <c r="N195" s="24">
        <f t="shared" ref="N195:N258" si="221">(K195-INT(K195))*12</f>
        <v>0.41666666666666669</v>
      </c>
      <c r="O195" s="41" t="str">
        <f t="shared" ref="O195:O258" si="222">IF($G195&gt;=O$17,MID($J$17,IF($G195&gt;O$17,INT(N195),ROUND(N195,0))+1,1),"")</f>
        <v>0</v>
      </c>
      <c r="P195" s="24">
        <f t="shared" ref="P195:P258" si="223">(N195-INT(N195))*12</f>
        <v>5</v>
      </c>
      <c r="Q195" s="41" t="str">
        <f t="shared" ref="Q195:Q258" si="224">IF($G195&gt;=Q$17,MID($J$17,IF($G195&gt;Q$17,INT(P195),ROUND(P195,0))+1,1),"")</f>
        <v>5</v>
      </c>
      <c r="R195" s="24">
        <f t="shared" ref="R195:R258" si="225">(P195-INT(P195))*12</f>
        <v>0</v>
      </c>
      <c r="S195" s="41" t="str">
        <f t="shared" ref="S195:S258" si="226">IF($G195&gt;=S$17,MID($J$17,IF($G195&gt;S$17,INT(R195),ROUND(R195,0))+1,1),"")</f>
        <v/>
      </c>
      <c r="T195" s="24">
        <f t="shared" ref="T195:T258" si="227">(R195-INT(R195))*12</f>
        <v>0</v>
      </c>
      <c r="U195" s="41" t="str">
        <f t="shared" ref="U195:U258" si="228">IF($G195&gt;=U$17,MID($J$17,IF($G195&gt;U$17,INT(T195),ROUND(T195,0))+1,1),"")</f>
        <v/>
      </c>
      <c r="V195" s="24">
        <f t="shared" ref="V195:V258" si="229">(T195-INT(T195))*12</f>
        <v>0</v>
      </c>
      <c r="W195" s="41" t="str">
        <f t="shared" ref="W195:W258" si="230">IF($G195&gt;=W$17,MID($J$17,IF($G195&gt;W$17,INT(V195),ROUND(V195,0))+1,1),"")</f>
        <v/>
      </c>
      <c r="X195" s="24">
        <f t="shared" ref="X195:X258" si="231">(V195-INT(V195))*12</f>
        <v>0</v>
      </c>
      <c r="Y195" s="41" t="str">
        <f t="shared" ref="Y195:Y258" si="232">IF($G195&gt;=Y$17,MID($J$17,IF($G195&gt;Y$17,INT(X195),ROUND(X195,0))+1,1),"")</f>
        <v/>
      </c>
      <c r="Z195" s="24">
        <f t="shared" ref="Z195:Z258" si="233">(X195-INT(X195))*12</f>
        <v>0</v>
      </c>
      <c r="AA195" s="41" t="str">
        <f t="shared" ref="AA195:AA258" si="234">IF($G195&gt;=AA$17,MID($J$17,IF($G195&gt;AA$17,INT(Z195),ROUND(Z195,0))+1,1),"")</f>
        <v/>
      </c>
      <c r="AB195" s="24">
        <f t="shared" ref="AB195:AB258" si="235">(Z195-INT(Z195))*12</f>
        <v>0</v>
      </c>
      <c r="AC195" s="41" t="str">
        <f t="shared" ref="AC195:AC258" si="236">IF($G195&gt;=AC$17,MID($J$17,IF($G195&gt;AC$17,INT(AB195),ROUND(AB195,0))+1,1),"")</f>
        <v/>
      </c>
      <c r="AD195" s="24">
        <f t="shared" ref="AD195:AD258" si="237">(AB195-INT(AB195))*12</f>
        <v>0</v>
      </c>
      <c r="AE195" s="41" t="str">
        <f t="shared" ref="AE195:AE258" si="238">IF($G195&gt;=AE$17,MID($J$17,IF($G195&gt;AE$17,INT(AD195),ROUND(AD195,0))+1,1),"")</f>
        <v/>
      </c>
      <c r="AF195" s="24">
        <f t="shared" ref="AF195:AF258" si="239">(AD195-INT(AD195))*12</f>
        <v>0</v>
      </c>
      <c r="AG195" s="41" t="str">
        <f t="shared" ref="AG195:AG258" si="240">IF($G195&gt;=AG$17,MID($J$17,IF($G195&gt;AG$17,INT(AF195),ROUND(AF195,0))+1,1),"")</f>
        <v/>
      </c>
      <c r="AH195" s="24">
        <f t="shared" ref="AH195:AH258" si="241">(AF195-INT(AF195))*12</f>
        <v>0</v>
      </c>
      <c r="AI195" s="41" t="str">
        <f t="shared" ref="AI195:AI258" si="242">IF($G195&gt;=AI$17,MID($J$17,IF($G195&gt;AI$17,INT(AH195),ROUND(AH195,0))+1,1),"")</f>
        <v/>
      </c>
      <c r="AJ195" s="24">
        <f t="shared" ref="AJ195:AJ258" si="243">(AH195-INT(AH195))*12</f>
        <v>0</v>
      </c>
      <c r="AK195" s="41" t="str">
        <f t="shared" ref="AK195:AK258" si="244">IF($G195&gt;=AK$17,MID($J$17,IF($G195&gt;AK$17,INT(AJ195),ROUND(AJ195,0))+1,1),"")</f>
        <v/>
      </c>
    </row>
    <row r="196" spans="6:37" x14ac:dyDescent="0.2">
      <c r="F196" s="527">
        <f t="shared" si="217"/>
        <v>4.6875E-2</v>
      </c>
      <c r="G196" s="8">
        <v>2</v>
      </c>
      <c r="H196" s="305">
        <f t="shared" si="218"/>
        <v>6</v>
      </c>
      <c r="I196" s="37" t="str">
        <f t="shared" si="216"/>
        <v>06;</v>
      </c>
      <c r="J196" s="38">
        <v>2</v>
      </c>
      <c r="K196" s="128">
        <f t="shared" si="219"/>
        <v>4.1666666666666664E-2</v>
      </c>
      <c r="L196" s="39" t="str">
        <f>INDEX(powers!$H$2:$H$75,33+J196)</f>
        <v>gross</v>
      </c>
      <c r="M196" s="40" t="str">
        <f t="shared" si="220"/>
        <v>0</v>
      </c>
      <c r="N196" s="24">
        <f t="shared" si="221"/>
        <v>0.5</v>
      </c>
      <c r="O196" s="41" t="str">
        <f t="shared" si="222"/>
        <v>0</v>
      </c>
      <c r="P196" s="24">
        <f t="shared" si="223"/>
        <v>6</v>
      </c>
      <c r="Q196" s="41" t="str">
        <f t="shared" si="224"/>
        <v>6</v>
      </c>
      <c r="R196" s="24">
        <f t="shared" si="225"/>
        <v>0</v>
      </c>
      <c r="S196" s="41" t="str">
        <f t="shared" si="226"/>
        <v/>
      </c>
      <c r="T196" s="24">
        <f t="shared" si="227"/>
        <v>0</v>
      </c>
      <c r="U196" s="41" t="str">
        <f t="shared" si="228"/>
        <v/>
      </c>
      <c r="V196" s="24">
        <f t="shared" si="229"/>
        <v>0</v>
      </c>
      <c r="W196" s="41" t="str">
        <f t="shared" si="230"/>
        <v/>
      </c>
      <c r="X196" s="24">
        <f t="shared" si="231"/>
        <v>0</v>
      </c>
      <c r="Y196" s="41" t="str">
        <f t="shared" si="232"/>
        <v/>
      </c>
      <c r="Z196" s="24">
        <f t="shared" si="233"/>
        <v>0</v>
      </c>
      <c r="AA196" s="41" t="str">
        <f t="shared" si="234"/>
        <v/>
      </c>
      <c r="AB196" s="24">
        <f t="shared" si="235"/>
        <v>0</v>
      </c>
      <c r="AC196" s="41" t="str">
        <f t="shared" si="236"/>
        <v/>
      </c>
      <c r="AD196" s="24">
        <f t="shared" si="237"/>
        <v>0</v>
      </c>
      <c r="AE196" s="41" t="str">
        <f t="shared" si="238"/>
        <v/>
      </c>
      <c r="AF196" s="24">
        <f t="shared" si="239"/>
        <v>0</v>
      </c>
      <c r="AG196" s="41" t="str">
        <f t="shared" si="240"/>
        <v/>
      </c>
      <c r="AH196" s="24">
        <f t="shared" si="241"/>
        <v>0</v>
      </c>
      <c r="AI196" s="41" t="str">
        <f t="shared" si="242"/>
        <v/>
      </c>
      <c r="AJ196" s="24">
        <f t="shared" si="243"/>
        <v>0</v>
      </c>
      <c r="AK196" s="41" t="str">
        <f t="shared" si="244"/>
        <v/>
      </c>
    </row>
    <row r="197" spans="6:37" x14ac:dyDescent="0.2">
      <c r="F197" s="527">
        <f t="shared" si="217"/>
        <v>5.46875E-2</v>
      </c>
      <c r="G197" s="8">
        <v>2</v>
      </c>
      <c r="H197" s="305">
        <f t="shared" si="218"/>
        <v>7</v>
      </c>
      <c r="I197" s="37" t="str">
        <f t="shared" si="216"/>
        <v>07;</v>
      </c>
      <c r="J197" s="38">
        <v>2</v>
      </c>
      <c r="K197" s="128">
        <f t="shared" si="219"/>
        <v>4.8611111111111112E-2</v>
      </c>
      <c r="L197" s="39" t="str">
        <f>INDEX(powers!$H$2:$H$75,33+J197)</f>
        <v>gross</v>
      </c>
      <c r="M197" s="40" t="str">
        <f t="shared" si="220"/>
        <v>0</v>
      </c>
      <c r="N197" s="24">
        <f t="shared" si="221"/>
        <v>0.58333333333333337</v>
      </c>
      <c r="O197" s="41" t="str">
        <f t="shared" si="222"/>
        <v>0</v>
      </c>
      <c r="P197" s="24">
        <f t="shared" si="223"/>
        <v>7</v>
      </c>
      <c r="Q197" s="41" t="str">
        <f t="shared" si="224"/>
        <v>7</v>
      </c>
      <c r="R197" s="24">
        <f t="shared" si="225"/>
        <v>0</v>
      </c>
      <c r="S197" s="41" t="str">
        <f t="shared" si="226"/>
        <v/>
      </c>
      <c r="T197" s="24">
        <f t="shared" si="227"/>
        <v>0</v>
      </c>
      <c r="U197" s="41" t="str">
        <f t="shared" si="228"/>
        <v/>
      </c>
      <c r="V197" s="24">
        <f t="shared" si="229"/>
        <v>0</v>
      </c>
      <c r="W197" s="41" t="str">
        <f t="shared" si="230"/>
        <v/>
      </c>
      <c r="X197" s="24">
        <f t="shared" si="231"/>
        <v>0</v>
      </c>
      <c r="Y197" s="41" t="str">
        <f t="shared" si="232"/>
        <v/>
      </c>
      <c r="Z197" s="24">
        <f t="shared" si="233"/>
        <v>0</v>
      </c>
      <c r="AA197" s="41" t="str">
        <f t="shared" si="234"/>
        <v/>
      </c>
      <c r="AB197" s="24">
        <f t="shared" si="235"/>
        <v>0</v>
      </c>
      <c r="AC197" s="41" t="str">
        <f t="shared" si="236"/>
        <v/>
      </c>
      <c r="AD197" s="24">
        <f t="shared" si="237"/>
        <v>0</v>
      </c>
      <c r="AE197" s="41" t="str">
        <f t="shared" si="238"/>
        <v/>
      </c>
      <c r="AF197" s="24">
        <f t="shared" si="239"/>
        <v>0</v>
      </c>
      <c r="AG197" s="41" t="str">
        <f t="shared" si="240"/>
        <v/>
      </c>
      <c r="AH197" s="24">
        <f t="shared" si="241"/>
        <v>0</v>
      </c>
      <c r="AI197" s="41" t="str">
        <f t="shared" si="242"/>
        <v/>
      </c>
      <c r="AJ197" s="24">
        <f t="shared" si="243"/>
        <v>0</v>
      </c>
      <c r="AK197" s="41" t="str">
        <f t="shared" si="244"/>
        <v/>
      </c>
    </row>
    <row r="198" spans="6:37" x14ac:dyDescent="0.2">
      <c r="F198" s="527">
        <f t="shared" si="217"/>
        <v>6.25E-2</v>
      </c>
      <c r="G198" s="8">
        <v>2</v>
      </c>
      <c r="H198" s="305">
        <f t="shared" si="218"/>
        <v>8</v>
      </c>
      <c r="I198" s="37" t="str">
        <f t="shared" si="216"/>
        <v>08;</v>
      </c>
      <c r="J198" s="38">
        <v>2</v>
      </c>
      <c r="K198" s="128">
        <f t="shared" si="219"/>
        <v>5.5555555555555552E-2</v>
      </c>
      <c r="L198" s="39" t="str">
        <f>INDEX(powers!$H$2:$H$75,33+J198)</f>
        <v>gross</v>
      </c>
      <c r="M198" s="40" t="str">
        <f t="shared" si="220"/>
        <v>0</v>
      </c>
      <c r="N198" s="24">
        <f t="shared" si="221"/>
        <v>0.66666666666666663</v>
      </c>
      <c r="O198" s="41" t="str">
        <f t="shared" si="222"/>
        <v>0</v>
      </c>
      <c r="P198" s="24">
        <f t="shared" si="223"/>
        <v>8</v>
      </c>
      <c r="Q198" s="41" t="str">
        <f t="shared" si="224"/>
        <v>8</v>
      </c>
      <c r="R198" s="24">
        <f t="shared" si="225"/>
        <v>0</v>
      </c>
      <c r="S198" s="41" t="str">
        <f t="shared" si="226"/>
        <v/>
      </c>
      <c r="T198" s="24">
        <f t="shared" si="227"/>
        <v>0</v>
      </c>
      <c r="U198" s="41" t="str">
        <f t="shared" si="228"/>
        <v/>
      </c>
      <c r="V198" s="24">
        <f t="shared" si="229"/>
        <v>0</v>
      </c>
      <c r="W198" s="41" t="str">
        <f t="shared" si="230"/>
        <v/>
      </c>
      <c r="X198" s="24">
        <f t="shared" si="231"/>
        <v>0</v>
      </c>
      <c r="Y198" s="41" t="str">
        <f t="shared" si="232"/>
        <v/>
      </c>
      <c r="Z198" s="24">
        <f t="shared" si="233"/>
        <v>0</v>
      </c>
      <c r="AA198" s="41" t="str">
        <f t="shared" si="234"/>
        <v/>
      </c>
      <c r="AB198" s="24">
        <f t="shared" si="235"/>
        <v>0</v>
      </c>
      <c r="AC198" s="41" t="str">
        <f t="shared" si="236"/>
        <v/>
      </c>
      <c r="AD198" s="24">
        <f t="shared" si="237"/>
        <v>0</v>
      </c>
      <c r="AE198" s="41" t="str">
        <f t="shared" si="238"/>
        <v/>
      </c>
      <c r="AF198" s="24">
        <f t="shared" si="239"/>
        <v>0</v>
      </c>
      <c r="AG198" s="41" t="str">
        <f t="shared" si="240"/>
        <v/>
      </c>
      <c r="AH198" s="24">
        <f t="shared" si="241"/>
        <v>0</v>
      </c>
      <c r="AI198" s="41" t="str">
        <f t="shared" si="242"/>
        <v/>
      </c>
      <c r="AJ198" s="24">
        <f t="shared" si="243"/>
        <v>0</v>
      </c>
      <c r="AK198" s="41" t="str">
        <f t="shared" si="244"/>
        <v/>
      </c>
    </row>
    <row r="199" spans="6:37" x14ac:dyDescent="0.2">
      <c r="F199" s="527">
        <f t="shared" si="217"/>
        <v>7.03125E-2</v>
      </c>
      <c r="G199" s="8">
        <v>2</v>
      </c>
      <c r="H199" s="305">
        <f t="shared" si="218"/>
        <v>9</v>
      </c>
      <c r="I199" s="37" t="str">
        <f t="shared" si="216"/>
        <v>09;</v>
      </c>
      <c r="J199" s="38">
        <v>2</v>
      </c>
      <c r="K199" s="128">
        <f t="shared" si="219"/>
        <v>6.25E-2</v>
      </c>
      <c r="L199" s="39" t="str">
        <f>INDEX(powers!$H$2:$H$75,33+J199)</f>
        <v>gross</v>
      </c>
      <c r="M199" s="40" t="str">
        <f t="shared" si="220"/>
        <v>0</v>
      </c>
      <c r="N199" s="24">
        <f t="shared" si="221"/>
        <v>0.75</v>
      </c>
      <c r="O199" s="41" t="str">
        <f t="shared" si="222"/>
        <v>0</v>
      </c>
      <c r="P199" s="24">
        <f t="shared" si="223"/>
        <v>9</v>
      </c>
      <c r="Q199" s="41" t="str">
        <f t="shared" si="224"/>
        <v>9</v>
      </c>
      <c r="R199" s="24">
        <f t="shared" si="225"/>
        <v>0</v>
      </c>
      <c r="S199" s="41" t="str">
        <f t="shared" si="226"/>
        <v/>
      </c>
      <c r="T199" s="24">
        <f t="shared" si="227"/>
        <v>0</v>
      </c>
      <c r="U199" s="41" t="str">
        <f t="shared" si="228"/>
        <v/>
      </c>
      <c r="V199" s="24">
        <f t="shared" si="229"/>
        <v>0</v>
      </c>
      <c r="W199" s="41" t="str">
        <f t="shared" si="230"/>
        <v/>
      </c>
      <c r="X199" s="24">
        <f t="shared" si="231"/>
        <v>0</v>
      </c>
      <c r="Y199" s="41" t="str">
        <f t="shared" si="232"/>
        <v/>
      </c>
      <c r="Z199" s="24">
        <f t="shared" si="233"/>
        <v>0</v>
      </c>
      <c r="AA199" s="41" t="str">
        <f t="shared" si="234"/>
        <v/>
      </c>
      <c r="AB199" s="24">
        <f t="shared" si="235"/>
        <v>0</v>
      </c>
      <c r="AC199" s="41" t="str">
        <f t="shared" si="236"/>
        <v/>
      </c>
      <c r="AD199" s="24">
        <f t="shared" si="237"/>
        <v>0</v>
      </c>
      <c r="AE199" s="41" t="str">
        <f t="shared" si="238"/>
        <v/>
      </c>
      <c r="AF199" s="24">
        <f t="shared" si="239"/>
        <v>0</v>
      </c>
      <c r="AG199" s="41" t="str">
        <f t="shared" si="240"/>
        <v/>
      </c>
      <c r="AH199" s="24">
        <f t="shared" si="241"/>
        <v>0</v>
      </c>
      <c r="AI199" s="41" t="str">
        <f t="shared" si="242"/>
        <v/>
      </c>
      <c r="AJ199" s="24">
        <f t="shared" si="243"/>
        <v>0</v>
      </c>
      <c r="AK199" s="41" t="str">
        <f t="shared" si="244"/>
        <v/>
      </c>
    </row>
    <row r="200" spans="6:37" x14ac:dyDescent="0.2">
      <c r="F200" s="527">
        <f t="shared" si="217"/>
        <v>7.8125E-2</v>
      </c>
      <c r="G200" s="8">
        <v>2</v>
      </c>
      <c r="H200" s="305">
        <f t="shared" si="218"/>
        <v>10</v>
      </c>
      <c r="I200" s="37" t="str">
        <f t="shared" si="216"/>
        <v>0X;</v>
      </c>
      <c r="J200" s="38">
        <v>2</v>
      </c>
      <c r="K200" s="128">
        <f t="shared" si="219"/>
        <v>6.9444444444444448E-2</v>
      </c>
      <c r="L200" s="39" t="str">
        <f>INDEX(powers!$H$2:$H$75,33+J200)</f>
        <v>gross</v>
      </c>
      <c r="M200" s="40" t="str">
        <f t="shared" si="220"/>
        <v>0</v>
      </c>
      <c r="N200" s="24">
        <f t="shared" si="221"/>
        <v>0.83333333333333337</v>
      </c>
      <c r="O200" s="41" t="str">
        <f t="shared" si="222"/>
        <v>0</v>
      </c>
      <c r="P200" s="24">
        <f t="shared" si="223"/>
        <v>10</v>
      </c>
      <c r="Q200" s="41" t="str">
        <f t="shared" si="224"/>
        <v>X</v>
      </c>
      <c r="R200" s="24">
        <f t="shared" si="225"/>
        <v>0</v>
      </c>
      <c r="S200" s="41" t="str">
        <f t="shared" si="226"/>
        <v/>
      </c>
      <c r="T200" s="24">
        <f t="shared" si="227"/>
        <v>0</v>
      </c>
      <c r="U200" s="41" t="str">
        <f t="shared" si="228"/>
        <v/>
      </c>
      <c r="V200" s="24">
        <f t="shared" si="229"/>
        <v>0</v>
      </c>
      <c r="W200" s="41" t="str">
        <f t="shared" si="230"/>
        <v/>
      </c>
      <c r="X200" s="24">
        <f t="shared" si="231"/>
        <v>0</v>
      </c>
      <c r="Y200" s="41" t="str">
        <f t="shared" si="232"/>
        <v/>
      </c>
      <c r="Z200" s="24">
        <f t="shared" si="233"/>
        <v>0</v>
      </c>
      <c r="AA200" s="41" t="str">
        <f t="shared" si="234"/>
        <v/>
      </c>
      <c r="AB200" s="24">
        <f t="shared" si="235"/>
        <v>0</v>
      </c>
      <c r="AC200" s="41" t="str">
        <f t="shared" si="236"/>
        <v/>
      </c>
      <c r="AD200" s="24">
        <f t="shared" si="237"/>
        <v>0</v>
      </c>
      <c r="AE200" s="41" t="str">
        <f t="shared" si="238"/>
        <v/>
      </c>
      <c r="AF200" s="24">
        <f t="shared" si="239"/>
        <v>0</v>
      </c>
      <c r="AG200" s="41" t="str">
        <f t="shared" si="240"/>
        <v/>
      </c>
      <c r="AH200" s="24">
        <f t="shared" si="241"/>
        <v>0</v>
      </c>
      <c r="AI200" s="41" t="str">
        <f t="shared" si="242"/>
        <v/>
      </c>
      <c r="AJ200" s="24">
        <f t="shared" si="243"/>
        <v>0</v>
      </c>
      <c r="AK200" s="41" t="str">
        <f t="shared" si="244"/>
        <v/>
      </c>
    </row>
    <row r="201" spans="6:37" x14ac:dyDescent="0.2">
      <c r="F201" s="527">
        <f t="shared" si="217"/>
        <v>8.59375E-2</v>
      </c>
      <c r="G201" s="8">
        <v>2</v>
      </c>
      <c r="H201" s="305">
        <f t="shared" si="218"/>
        <v>11</v>
      </c>
      <c r="I201" s="37" t="str">
        <f t="shared" si="216"/>
        <v>0E;</v>
      </c>
      <c r="J201" s="38">
        <v>2</v>
      </c>
      <c r="K201" s="128">
        <f t="shared" si="219"/>
        <v>7.6388888888888895E-2</v>
      </c>
      <c r="L201" s="39" t="str">
        <f>INDEX(powers!$H$2:$H$75,33+J201)</f>
        <v>gross</v>
      </c>
      <c r="M201" s="40" t="str">
        <f t="shared" si="220"/>
        <v>0</v>
      </c>
      <c r="N201" s="24">
        <f t="shared" si="221"/>
        <v>0.91666666666666674</v>
      </c>
      <c r="O201" s="41" t="str">
        <f t="shared" si="222"/>
        <v>0</v>
      </c>
      <c r="P201" s="24">
        <f t="shared" si="223"/>
        <v>11</v>
      </c>
      <c r="Q201" s="41" t="str">
        <f t="shared" si="224"/>
        <v>E</v>
      </c>
      <c r="R201" s="24">
        <f t="shared" si="225"/>
        <v>0</v>
      </c>
      <c r="S201" s="41" t="str">
        <f t="shared" si="226"/>
        <v/>
      </c>
      <c r="T201" s="24">
        <f t="shared" si="227"/>
        <v>0</v>
      </c>
      <c r="U201" s="41" t="str">
        <f t="shared" si="228"/>
        <v/>
      </c>
      <c r="V201" s="24">
        <f t="shared" si="229"/>
        <v>0</v>
      </c>
      <c r="W201" s="41" t="str">
        <f t="shared" si="230"/>
        <v/>
      </c>
      <c r="X201" s="24">
        <f t="shared" si="231"/>
        <v>0</v>
      </c>
      <c r="Y201" s="41" t="str">
        <f t="shared" si="232"/>
        <v/>
      </c>
      <c r="Z201" s="24">
        <f t="shared" si="233"/>
        <v>0</v>
      </c>
      <c r="AA201" s="41" t="str">
        <f t="shared" si="234"/>
        <v/>
      </c>
      <c r="AB201" s="24">
        <f t="shared" si="235"/>
        <v>0</v>
      </c>
      <c r="AC201" s="41" t="str">
        <f t="shared" si="236"/>
        <v/>
      </c>
      <c r="AD201" s="24">
        <f t="shared" si="237"/>
        <v>0</v>
      </c>
      <c r="AE201" s="41" t="str">
        <f t="shared" si="238"/>
        <v/>
      </c>
      <c r="AF201" s="24">
        <f t="shared" si="239"/>
        <v>0</v>
      </c>
      <c r="AG201" s="41" t="str">
        <f t="shared" si="240"/>
        <v/>
      </c>
      <c r="AH201" s="24">
        <f t="shared" si="241"/>
        <v>0</v>
      </c>
      <c r="AI201" s="41" t="str">
        <f t="shared" si="242"/>
        <v/>
      </c>
      <c r="AJ201" s="24">
        <f t="shared" si="243"/>
        <v>0</v>
      </c>
      <c r="AK201" s="41" t="str">
        <f t="shared" si="244"/>
        <v/>
      </c>
    </row>
    <row r="202" spans="6:37" x14ac:dyDescent="0.2">
      <c r="F202" s="527">
        <f t="shared" si="217"/>
        <v>9.375E-2</v>
      </c>
      <c r="G202" s="8">
        <v>2</v>
      </c>
      <c r="H202" s="305">
        <f t="shared" si="218"/>
        <v>12</v>
      </c>
      <c r="I202" s="37" t="str">
        <f t="shared" si="216"/>
        <v>10;</v>
      </c>
      <c r="J202" s="38">
        <v>2</v>
      </c>
      <c r="K202" s="128">
        <f t="shared" si="219"/>
        <v>8.3333333333333329E-2</v>
      </c>
      <c r="L202" s="39" t="str">
        <f>INDEX(powers!$H$2:$H$75,33+J202)</f>
        <v>gross</v>
      </c>
      <c r="M202" s="40" t="str">
        <f t="shared" si="220"/>
        <v>0</v>
      </c>
      <c r="N202" s="24">
        <f t="shared" si="221"/>
        <v>1</v>
      </c>
      <c r="O202" s="41" t="str">
        <f t="shared" si="222"/>
        <v>1</v>
      </c>
      <c r="P202" s="24">
        <f t="shared" si="223"/>
        <v>0</v>
      </c>
      <c r="Q202" s="41" t="str">
        <f t="shared" si="224"/>
        <v>0</v>
      </c>
      <c r="R202" s="24">
        <f t="shared" si="225"/>
        <v>0</v>
      </c>
      <c r="S202" s="41" t="str">
        <f t="shared" si="226"/>
        <v/>
      </c>
      <c r="T202" s="24">
        <f t="shared" si="227"/>
        <v>0</v>
      </c>
      <c r="U202" s="41" t="str">
        <f t="shared" si="228"/>
        <v/>
      </c>
      <c r="V202" s="24">
        <f t="shared" si="229"/>
        <v>0</v>
      </c>
      <c r="W202" s="41" t="str">
        <f t="shared" si="230"/>
        <v/>
      </c>
      <c r="X202" s="24">
        <f t="shared" si="231"/>
        <v>0</v>
      </c>
      <c r="Y202" s="41" t="str">
        <f t="shared" si="232"/>
        <v/>
      </c>
      <c r="Z202" s="24">
        <f t="shared" si="233"/>
        <v>0</v>
      </c>
      <c r="AA202" s="41" t="str">
        <f t="shared" si="234"/>
        <v/>
      </c>
      <c r="AB202" s="24">
        <f t="shared" si="235"/>
        <v>0</v>
      </c>
      <c r="AC202" s="41" t="str">
        <f t="shared" si="236"/>
        <v/>
      </c>
      <c r="AD202" s="24">
        <f t="shared" si="237"/>
        <v>0</v>
      </c>
      <c r="AE202" s="41" t="str">
        <f t="shared" si="238"/>
        <v/>
      </c>
      <c r="AF202" s="24">
        <f t="shared" si="239"/>
        <v>0</v>
      </c>
      <c r="AG202" s="41" t="str">
        <f t="shared" si="240"/>
        <v/>
      </c>
      <c r="AH202" s="24">
        <f t="shared" si="241"/>
        <v>0</v>
      </c>
      <c r="AI202" s="41" t="str">
        <f t="shared" si="242"/>
        <v/>
      </c>
      <c r="AJ202" s="24">
        <f t="shared" si="243"/>
        <v>0</v>
      </c>
      <c r="AK202" s="41" t="str">
        <f t="shared" si="244"/>
        <v/>
      </c>
    </row>
    <row r="203" spans="6:37" x14ac:dyDescent="0.2">
      <c r="F203" s="527">
        <f t="shared" si="217"/>
        <v>0.1015625</v>
      </c>
      <c r="G203" s="8">
        <v>2</v>
      </c>
      <c r="H203" s="305">
        <f t="shared" si="218"/>
        <v>13</v>
      </c>
      <c r="I203" s="37" t="str">
        <f t="shared" si="216"/>
        <v>11;</v>
      </c>
      <c r="J203" s="38">
        <v>2</v>
      </c>
      <c r="K203" s="128">
        <f t="shared" si="219"/>
        <v>9.0277777777777776E-2</v>
      </c>
      <c r="L203" s="39" t="str">
        <f>INDEX(powers!$H$2:$H$75,33+J203)</f>
        <v>gross</v>
      </c>
      <c r="M203" s="40" t="str">
        <f t="shared" si="220"/>
        <v>0</v>
      </c>
      <c r="N203" s="24">
        <f t="shared" si="221"/>
        <v>1.0833333333333333</v>
      </c>
      <c r="O203" s="41" t="str">
        <f t="shared" si="222"/>
        <v>1</v>
      </c>
      <c r="P203" s="24">
        <f t="shared" si="223"/>
        <v>0.99999999999999911</v>
      </c>
      <c r="Q203" s="41" t="str">
        <f t="shared" si="224"/>
        <v>1</v>
      </c>
      <c r="R203" s="24">
        <f t="shared" si="225"/>
        <v>11.999999999999989</v>
      </c>
      <c r="S203" s="41" t="str">
        <f t="shared" si="226"/>
        <v/>
      </c>
      <c r="T203" s="24">
        <f t="shared" si="227"/>
        <v>-1.2789769243681803E-13</v>
      </c>
      <c r="U203" s="41" t="str">
        <f t="shared" si="228"/>
        <v/>
      </c>
      <c r="V203" s="24">
        <f t="shared" si="229"/>
        <v>11.999999999998465</v>
      </c>
      <c r="W203" s="41" t="str">
        <f t="shared" si="230"/>
        <v/>
      </c>
      <c r="X203" s="24">
        <f t="shared" si="231"/>
        <v>11.999999999981583</v>
      </c>
      <c r="Y203" s="41" t="str">
        <f t="shared" si="232"/>
        <v/>
      </c>
      <c r="Z203" s="24">
        <f t="shared" si="233"/>
        <v>11.999999999778993</v>
      </c>
      <c r="AA203" s="41" t="str">
        <f t="shared" si="234"/>
        <v/>
      </c>
      <c r="AB203" s="24">
        <f t="shared" si="235"/>
        <v>11.999999997347913</v>
      </c>
      <c r="AC203" s="41" t="str">
        <f t="shared" si="236"/>
        <v/>
      </c>
      <c r="AD203" s="24">
        <f t="shared" si="237"/>
        <v>11.999999968174961</v>
      </c>
      <c r="AE203" s="41" t="str">
        <f t="shared" si="238"/>
        <v/>
      </c>
      <c r="AF203" s="24">
        <f t="shared" si="239"/>
        <v>11.999999618099537</v>
      </c>
      <c r="AG203" s="41" t="str">
        <f t="shared" si="240"/>
        <v/>
      </c>
      <c r="AH203" s="24">
        <f t="shared" si="241"/>
        <v>11.999995417194441</v>
      </c>
      <c r="AI203" s="41" t="str">
        <f t="shared" si="242"/>
        <v/>
      </c>
      <c r="AJ203" s="24">
        <f t="shared" si="243"/>
        <v>11.999945006333292</v>
      </c>
      <c r="AK203" s="41" t="str">
        <f t="shared" si="244"/>
        <v/>
      </c>
    </row>
    <row r="204" spans="6:37" x14ac:dyDescent="0.2">
      <c r="F204" s="527">
        <f t="shared" si="217"/>
        <v>0.109375</v>
      </c>
      <c r="G204" s="8">
        <v>2</v>
      </c>
      <c r="H204" s="305">
        <f t="shared" si="218"/>
        <v>14</v>
      </c>
      <c r="I204" s="37" t="str">
        <f t="shared" si="216"/>
        <v>12;</v>
      </c>
      <c r="J204" s="38">
        <v>2</v>
      </c>
      <c r="K204" s="128">
        <f t="shared" si="219"/>
        <v>9.7222222222222224E-2</v>
      </c>
      <c r="L204" s="39" t="str">
        <f>INDEX(powers!$H$2:$H$75,33+J204)</f>
        <v>gross</v>
      </c>
      <c r="M204" s="40" t="str">
        <f t="shared" si="220"/>
        <v>0</v>
      </c>
      <c r="N204" s="24">
        <f t="shared" si="221"/>
        <v>1.1666666666666667</v>
      </c>
      <c r="O204" s="41" t="str">
        <f t="shared" si="222"/>
        <v>1</v>
      </c>
      <c r="P204" s="24">
        <f t="shared" si="223"/>
        <v>2.0000000000000009</v>
      </c>
      <c r="Q204" s="41" t="str">
        <f t="shared" si="224"/>
        <v>2</v>
      </c>
      <c r="R204" s="24">
        <f t="shared" si="225"/>
        <v>1.0658141036401503E-14</v>
      </c>
      <c r="S204" s="41" t="str">
        <f t="shared" si="226"/>
        <v/>
      </c>
      <c r="T204" s="24">
        <f t="shared" si="227"/>
        <v>1.2789769243681803E-13</v>
      </c>
      <c r="U204" s="41" t="str">
        <f t="shared" si="228"/>
        <v/>
      </c>
      <c r="V204" s="24">
        <f t="shared" si="229"/>
        <v>1.5347723092418164E-12</v>
      </c>
      <c r="W204" s="41" t="str">
        <f t="shared" si="230"/>
        <v/>
      </c>
      <c r="X204" s="24">
        <f t="shared" si="231"/>
        <v>1.8417267710901797E-11</v>
      </c>
      <c r="Y204" s="41" t="str">
        <f t="shared" si="232"/>
        <v/>
      </c>
      <c r="Z204" s="24">
        <f t="shared" si="233"/>
        <v>2.2100721253082156E-10</v>
      </c>
      <c r="AA204" s="41" t="str">
        <f t="shared" si="234"/>
        <v/>
      </c>
      <c r="AB204" s="24">
        <f t="shared" si="235"/>
        <v>2.6520865503698587E-9</v>
      </c>
      <c r="AC204" s="41" t="str">
        <f t="shared" si="236"/>
        <v/>
      </c>
      <c r="AD204" s="24">
        <f t="shared" si="237"/>
        <v>3.1825038604438305E-8</v>
      </c>
      <c r="AE204" s="41" t="str">
        <f t="shared" si="238"/>
        <v/>
      </c>
      <c r="AF204" s="24">
        <f t="shared" si="239"/>
        <v>3.8190046325325966E-7</v>
      </c>
      <c r="AG204" s="41" t="str">
        <f t="shared" si="240"/>
        <v/>
      </c>
      <c r="AH204" s="24">
        <f t="shared" si="241"/>
        <v>4.5828055590391159E-6</v>
      </c>
      <c r="AI204" s="41" t="str">
        <f t="shared" si="242"/>
        <v/>
      </c>
      <c r="AJ204" s="24">
        <f t="shared" si="243"/>
        <v>5.4993666708469391E-5</v>
      </c>
      <c r="AK204" s="41" t="str">
        <f t="shared" si="244"/>
        <v/>
      </c>
    </row>
    <row r="205" spans="6:37" x14ac:dyDescent="0.2">
      <c r="F205" s="527">
        <f t="shared" si="217"/>
        <v>0.1171875</v>
      </c>
      <c r="G205" s="8">
        <v>2</v>
      </c>
      <c r="H205" s="305">
        <f t="shared" si="218"/>
        <v>15</v>
      </c>
      <c r="I205" s="37" t="str">
        <f t="shared" si="216"/>
        <v>13;</v>
      </c>
      <c r="J205" s="38">
        <v>2</v>
      </c>
      <c r="K205" s="128">
        <f t="shared" si="219"/>
        <v>0.10416666666666667</v>
      </c>
      <c r="L205" s="39" t="str">
        <f>INDEX(powers!$H$2:$H$75,33+J205)</f>
        <v>gross</v>
      </c>
      <c r="M205" s="40" t="str">
        <f t="shared" si="220"/>
        <v>0</v>
      </c>
      <c r="N205" s="24">
        <f t="shared" si="221"/>
        <v>1.25</v>
      </c>
      <c r="O205" s="41" t="str">
        <f t="shared" si="222"/>
        <v>1</v>
      </c>
      <c r="P205" s="24">
        <f t="shared" si="223"/>
        <v>3</v>
      </c>
      <c r="Q205" s="41" t="str">
        <f t="shared" si="224"/>
        <v>3</v>
      </c>
      <c r="R205" s="24">
        <f t="shared" si="225"/>
        <v>0</v>
      </c>
      <c r="S205" s="41" t="str">
        <f t="shared" si="226"/>
        <v/>
      </c>
      <c r="T205" s="24">
        <f t="shared" si="227"/>
        <v>0</v>
      </c>
      <c r="U205" s="41" t="str">
        <f t="shared" si="228"/>
        <v/>
      </c>
      <c r="V205" s="24">
        <f t="shared" si="229"/>
        <v>0</v>
      </c>
      <c r="W205" s="41" t="str">
        <f t="shared" si="230"/>
        <v/>
      </c>
      <c r="X205" s="24">
        <f t="shared" si="231"/>
        <v>0</v>
      </c>
      <c r="Y205" s="41" t="str">
        <f t="shared" si="232"/>
        <v/>
      </c>
      <c r="Z205" s="24">
        <f t="shared" si="233"/>
        <v>0</v>
      </c>
      <c r="AA205" s="41" t="str">
        <f t="shared" si="234"/>
        <v/>
      </c>
      <c r="AB205" s="24">
        <f t="shared" si="235"/>
        <v>0</v>
      </c>
      <c r="AC205" s="41" t="str">
        <f t="shared" si="236"/>
        <v/>
      </c>
      <c r="AD205" s="24">
        <f t="shared" si="237"/>
        <v>0</v>
      </c>
      <c r="AE205" s="41" t="str">
        <f t="shared" si="238"/>
        <v/>
      </c>
      <c r="AF205" s="24">
        <f t="shared" si="239"/>
        <v>0</v>
      </c>
      <c r="AG205" s="41" t="str">
        <f t="shared" si="240"/>
        <v/>
      </c>
      <c r="AH205" s="24">
        <f t="shared" si="241"/>
        <v>0</v>
      </c>
      <c r="AI205" s="41" t="str">
        <f t="shared" si="242"/>
        <v/>
      </c>
      <c r="AJ205" s="24">
        <f t="shared" si="243"/>
        <v>0</v>
      </c>
      <c r="AK205" s="41" t="str">
        <f t="shared" si="244"/>
        <v/>
      </c>
    </row>
    <row r="206" spans="6:37" x14ac:dyDescent="0.2">
      <c r="F206" s="527">
        <f t="shared" si="217"/>
        <v>0.125</v>
      </c>
      <c r="G206" s="8">
        <v>2</v>
      </c>
      <c r="H206" s="305">
        <f t="shared" si="218"/>
        <v>16</v>
      </c>
      <c r="I206" s="37" t="str">
        <f t="shared" si="216"/>
        <v>14;</v>
      </c>
      <c r="J206" s="38">
        <v>2</v>
      </c>
      <c r="K206" s="128">
        <f t="shared" si="219"/>
        <v>0.1111111111111111</v>
      </c>
      <c r="L206" s="39" t="str">
        <f>INDEX(powers!$H$2:$H$75,33+J206)</f>
        <v>gross</v>
      </c>
      <c r="M206" s="40" t="str">
        <f t="shared" si="220"/>
        <v>0</v>
      </c>
      <c r="N206" s="24">
        <f t="shared" si="221"/>
        <v>1.3333333333333333</v>
      </c>
      <c r="O206" s="41" t="str">
        <f t="shared" si="222"/>
        <v>1</v>
      </c>
      <c r="P206" s="24">
        <f t="shared" si="223"/>
        <v>3.9999999999999991</v>
      </c>
      <c r="Q206" s="41" t="str">
        <f t="shared" si="224"/>
        <v>4</v>
      </c>
      <c r="R206" s="24">
        <f t="shared" si="225"/>
        <v>-1.0658141036401503E-14</v>
      </c>
      <c r="S206" s="41" t="str">
        <f t="shared" si="226"/>
        <v/>
      </c>
      <c r="T206" s="24">
        <f t="shared" si="227"/>
        <v>11.999999999999872</v>
      </c>
      <c r="U206" s="41" t="str">
        <f t="shared" si="228"/>
        <v/>
      </c>
      <c r="V206" s="24">
        <f t="shared" si="229"/>
        <v>11.999999999998465</v>
      </c>
      <c r="W206" s="41" t="str">
        <f t="shared" si="230"/>
        <v/>
      </c>
      <c r="X206" s="24">
        <f t="shared" si="231"/>
        <v>11.999999999981583</v>
      </c>
      <c r="Y206" s="41" t="str">
        <f t="shared" si="232"/>
        <v/>
      </c>
      <c r="Z206" s="24">
        <f t="shared" si="233"/>
        <v>11.999999999778993</v>
      </c>
      <c r="AA206" s="41" t="str">
        <f t="shared" si="234"/>
        <v/>
      </c>
      <c r="AB206" s="24">
        <f t="shared" si="235"/>
        <v>11.999999997347913</v>
      </c>
      <c r="AC206" s="41" t="str">
        <f t="shared" si="236"/>
        <v/>
      </c>
      <c r="AD206" s="24">
        <f t="shared" si="237"/>
        <v>11.999999968174961</v>
      </c>
      <c r="AE206" s="41" t="str">
        <f t="shared" si="238"/>
        <v/>
      </c>
      <c r="AF206" s="24">
        <f t="shared" si="239"/>
        <v>11.999999618099537</v>
      </c>
      <c r="AG206" s="41" t="str">
        <f t="shared" si="240"/>
        <v/>
      </c>
      <c r="AH206" s="24">
        <f t="shared" si="241"/>
        <v>11.999995417194441</v>
      </c>
      <c r="AI206" s="41" t="str">
        <f t="shared" si="242"/>
        <v/>
      </c>
      <c r="AJ206" s="24">
        <f t="shared" si="243"/>
        <v>11.999945006333292</v>
      </c>
      <c r="AK206" s="41" t="str">
        <f t="shared" si="244"/>
        <v/>
      </c>
    </row>
    <row r="207" spans="6:37" x14ac:dyDescent="0.2">
      <c r="F207" s="527">
        <f t="shared" si="217"/>
        <v>0.1328125</v>
      </c>
      <c r="G207" s="8">
        <v>2</v>
      </c>
      <c r="H207" s="305">
        <f t="shared" si="218"/>
        <v>17</v>
      </c>
      <c r="I207" s="37" t="str">
        <f t="shared" si="216"/>
        <v>15;</v>
      </c>
      <c r="J207" s="38">
        <v>2</v>
      </c>
      <c r="K207" s="128">
        <f t="shared" si="219"/>
        <v>0.11805555555555555</v>
      </c>
      <c r="L207" s="39" t="str">
        <f>INDEX(powers!$H$2:$H$75,33+J207)</f>
        <v>gross</v>
      </c>
      <c r="M207" s="40" t="str">
        <f t="shared" si="220"/>
        <v>0</v>
      </c>
      <c r="N207" s="24">
        <f t="shared" si="221"/>
        <v>1.4166666666666665</v>
      </c>
      <c r="O207" s="41" t="str">
        <f t="shared" si="222"/>
        <v>1</v>
      </c>
      <c r="P207" s="24">
        <f t="shared" si="223"/>
        <v>4.9999999999999982</v>
      </c>
      <c r="Q207" s="41" t="str">
        <f t="shared" si="224"/>
        <v>5</v>
      </c>
      <c r="R207" s="24">
        <f t="shared" si="225"/>
        <v>-2.1316282072803006E-14</v>
      </c>
      <c r="S207" s="41" t="str">
        <f t="shared" si="226"/>
        <v/>
      </c>
      <c r="T207" s="24">
        <f t="shared" si="227"/>
        <v>11.999999999999744</v>
      </c>
      <c r="U207" s="41" t="str">
        <f t="shared" si="228"/>
        <v/>
      </c>
      <c r="V207" s="24">
        <f t="shared" si="229"/>
        <v>11.99999999999693</v>
      </c>
      <c r="W207" s="41" t="str">
        <f t="shared" si="230"/>
        <v/>
      </c>
      <c r="X207" s="24">
        <f t="shared" si="231"/>
        <v>11.999999999963165</v>
      </c>
      <c r="Y207" s="41" t="str">
        <f t="shared" si="232"/>
        <v/>
      </c>
      <c r="Z207" s="24">
        <f t="shared" si="233"/>
        <v>11.999999999557986</v>
      </c>
      <c r="AA207" s="41" t="str">
        <f t="shared" si="234"/>
        <v/>
      </c>
      <c r="AB207" s="24">
        <f t="shared" si="235"/>
        <v>11.999999994695827</v>
      </c>
      <c r="AC207" s="41" t="str">
        <f t="shared" si="236"/>
        <v/>
      </c>
      <c r="AD207" s="24">
        <f t="shared" si="237"/>
        <v>11.999999936349923</v>
      </c>
      <c r="AE207" s="41" t="str">
        <f t="shared" si="238"/>
        <v/>
      </c>
      <c r="AF207" s="24">
        <f t="shared" si="239"/>
        <v>11.999999236199073</v>
      </c>
      <c r="AG207" s="41" t="str">
        <f t="shared" si="240"/>
        <v/>
      </c>
      <c r="AH207" s="24">
        <f t="shared" si="241"/>
        <v>11.999990834388882</v>
      </c>
      <c r="AI207" s="41" t="str">
        <f t="shared" si="242"/>
        <v/>
      </c>
      <c r="AJ207" s="24">
        <f t="shared" si="243"/>
        <v>11.999890012666583</v>
      </c>
      <c r="AK207" s="41" t="str">
        <f t="shared" si="244"/>
        <v/>
      </c>
    </row>
    <row r="208" spans="6:37" x14ac:dyDescent="0.2">
      <c r="F208" s="527">
        <f t="shared" si="217"/>
        <v>0.140625</v>
      </c>
      <c r="G208" s="8">
        <v>2</v>
      </c>
      <c r="H208" s="305">
        <f t="shared" si="218"/>
        <v>18</v>
      </c>
      <c r="I208" s="37" t="str">
        <f t="shared" si="216"/>
        <v>16;</v>
      </c>
      <c r="J208" s="38">
        <v>2</v>
      </c>
      <c r="K208" s="128">
        <f t="shared" si="219"/>
        <v>0.125</v>
      </c>
      <c r="L208" s="39" t="str">
        <f>INDEX(powers!$H$2:$H$75,33+J208)</f>
        <v>gross</v>
      </c>
      <c r="M208" s="40" t="str">
        <f t="shared" si="220"/>
        <v>0</v>
      </c>
      <c r="N208" s="24">
        <f t="shared" si="221"/>
        <v>1.5</v>
      </c>
      <c r="O208" s="41" t="str">
        <f t="shared" si="222"/>
        <v>1</v>
      </c>
      <c r="P208" s="24">
        <f t="shared" si="223"/>
        <v>6</v>
      </c>
      <c r="Q208" s="41" t="str">
        <f t="shared" si="224"/>
        <v>6</v>
      </c>
      <c r="R208" s="24">
        <f t="shared" si="225"/>
        <v>0</v>
      </c>
      <c r="S208" s="41" t="str">
        <f t="shared" si="226"/>
        <v/>
      </c>
      <c r="T208" s="24">
        <f t="shared" si="227"/>
        <v>0</v>
      </c>
      <c r="U208" s="41" t="str">
        <f t="shared" si="228"/>
        <v/>
      </c>
      <c r="V208" s="24">
        <f t="shared" si="229"/>
        <v>0</v>
      </c>
      <c r="W208" s="41" t="str">
        <f t="shared" si="230"/>
        <v/>
      </c>
      <c r="X208" s="24">
        <f t="shared" si="231"/>
        <v>0</v>
      </c>
      <c r="Y208" s="41" t="str">
        <f t="shared" si="232"/>
        <v/>
      </c>
      <c r="Z208" s="24">
        <f t="shared" si="233"/>
        <v>0</v>
      </c>
      <c r="AA208" s="41" t="str">
        <f t="shared" si="234"/>
        <v/>
      </c>
      <c r="AB208" s="24">
        <f t="shared" si="235"/>
        <v>0</v>
      </c>
      <c r="AC208" s="41" t="str">
        <f t="shared" si="236"/>
        <v/>
      </c>
      <c r="AD208" s="24">
        <f t="shared" si="237"/>
        <v>0</v>
      </c>
      <c r="AE208" s="41" t="str">
        <f t="shared" si="238"/>
        <v/>
      </c>
      <c r="AF208" s="24">
        <f t="shared" si="239"/>
        <v>0</v>
      </c>
      <c r="AG208" s="41" t="str">
        <f t="shared" si="240"/>
        <v/>
      </c>
      <c r="AH208" s="24">
        <f t="shared" si="241"/>
        <v>0</v>
      </c>
      <c r="AI208" s="41" t="str">
        <f t="shared" si="242"/>
        <v/>
      </c>
      <c r="AJ208" s="24">
        <f t="shared" si="243"/>
        <v>0</v>
      </c>
      <c r="AK208" s="41" t="str">
        <f t="shared" si="244"/>
        <v/>
      </c>
    </row>
    <row r="209" spans="6:37" x14ac:dyDescent="0.2">
      <c r="F209" s="527">
        <f t="shared" si="217"/>
        <v>0.1484375</v>
      </c>
      <c r="G209" s="8">
        <v>2</v>
      </c>
      <c r="H209" s="305">
        <f t="shared" si="218"/>
        <v>19</v>
      </c>
      <c r="I209" s="37" t="str">
        <f t="shared" si="216"/>
        <v>17;</v>
      </c>
      <c r="J209" s="38">
        <v>2</v>
      </c>
      <c r="K209" s="128">
        <f t="shared" si="219"/>
        <v>0.13194444444444445</v>
      </c>
      <c r="L209" s="39" t="str">
        <f>INDEX(powers!$H$2:$H$75,33+J209)</f>
        <v>gross</v>
      </c>
      <c r="M209" s="40" t="str">
        <f t="shared" si="220"/>
        <v>0</v>
      </c>
      <c r="N209" s="24">
        <f t="shared" si="221"/>
        <v>1.5833333333333335</v>
      </c>
      <c r="O209" s="41" t="str">
        <f t="shared" si="222"/>
        <v>1</v>
      </c>
      <c r="P209" s="24">
        <f t="shared" si="223"/>
        <v>7.0000000000000018</v>
      </c>
      <c r="Q209" s="41" t="str">
        <f t="shared" si="224"/>
        <v>7</v>
      </c>
      <c r="R209" s="24">
        <f t="shared" si="225"/>
        <v>2.1316282072803006E-14</v>
      </c>
      <c r="S209" s="41" t="str">
        <f t="shared" si="226"/>
        <v/>
      </c>
      <c r="T209" s="24">
        <f t="shared" si="227"/>
        <v>2.5579538487363607E-13</v>
      </c>
      <c r="U209" s="41" t="str">
        <f t="shared" si="228"/>
        <v/>
      </c>
      <c r="V209" s="24">
        <f t="shared" si="229"/>
        <v>3.0695446184836328E-12</v>
      </c>
      <c r="W209" s="41" t="str">
        <f t="shared" si="230"/>
        <v/>
      </c>
      <c r="X209" s="24">
        <f t="shared" si="231"/>
        <v>3.6834535421803594E-11</v>
      </c>
      <c r="Y209" s="41" t="str">
        <f t="shared" si="232"/>
        <v/>
      </c>
      <c r="Z209" s="24">
        <f t="shared" si="233"/>
        <v>4.4201442506164312E-10</v>
      </c>
      <c r="AA209" s="41" t="str">
        <f t="shared" si="234"/>
        <v/>
      </c>
      <c r="AB209" s="24">
        <f t="shared" si="235"/>
        <v>5.3041731007397175E-9</v>
      </c>
      <c r="AC209" s="41" t="str">
        <f t="shared" si="236"/>
        <v/>
      </c>
      <c r="AD209" s="24">
        <f t="shared" si="237"/>
        <v>6.365007720887661E-8</v>
      </c>
      <c r="AE209" s="41" t="str">
        <f t="shared" si="238"/>
        <v/>
      </c>
      <c r="AF209" s="24">
        <f t="shared" si="239"/>
        <v>7.6380092650651932E-7</v>
      </c>
      <c r="AG209" s="41" t="str">
        <f t="shared" si="240"/>
        <v/>
      </c>
      <c r="AH209" s="24">
        <f t="shared" si="241"/>
        <v>9.1656111180782318E-6</v>
      </c>
      <c r="AI209" s="41" t="str">
        <f t="shared" si="242"/>
        <v/>
      </c>
      <c r="AJ209" s="24">
        <f t="shared" si="243"/>
        <v>1.0998733341693878E-4</v>
      </c>
      <c r="AK209" s="41" t="str">
        <f t="shared" si="244"/>
        <v/>
      </c>
    </row>
    <row r="210" spans="6:37" x14ac:dyDescent="0.2">
      <c r="F210" s="527">
        <f t="shared" si="217"/>
        <v>0.15625</v>
      </c>
      <c r="G210" s="8">
        <v>2</v>
      </c>
      <c r="H210" s="305">
        <f t="shared" si="218"/>
        <v>20</v>
      </c>
      <c r="I210" s="37" t="str">
        <f t="shared" si="216"/>
        <v>18;</v>
      </c>
      <c r="J210" s="38">
        <v>2</v>
      </c>
      <c r="K210" s="128">
        <f t="shared" si="219"/>
        <v>0.1388888888888889</v>
      </c>
      <c r="L210" s="39" t="str">
        <f>INDEX(powers!$H$2:$H$75,33+J210)</f>
        <v>gross</v>
      </c>
      <c r="M210" s="40" t="str">
        <f t="shared" si="220"/>
        <v>0</v>
      </c>
      <c r="N210" s="24">
        <f t="shared" si="221"/>
        <v>1.6666666666666667</v>
      </c>
      <c r="O210" s="41" t="str">
        <f t="shared" si="222"/>
        <v>1</v>
      </c>
      <c r="P210" s="24">
        <f t="shared" si="223"/>
        <v>8</v>
      </c>
      <c r="Q210" s="41" t="str">
        <f t="shared" si="224"/>
        <v>8</v>
      </c>
      <c r="R210" s="24">
        <f t="shared" si="225"/>
        <v>0</v>
      </c>
      <c r="S210" s="41" t="str">
        <f t="shared" si="226"/>
        <v/>
      </c>
      <c r="T210" s="24">
        <f t="shared" si="227"/>
        <v>0</v>
      </c>
      <c r="U210" s="41" t="str">
        <f t="shared" si="228"/>
        <v/>
      </c>
      <c r="V210" s="24">
        <f t="shared" si="229"/>
        <v>0</v>
      </c>
      <c r="W210" s="41" t="str">
        <f t="shared" si="230"/>
        <v/>
      </c>
      <c r="X210" s="24">
        <f t="shared" si="231"/>
        <v>0</v>
      </c>
      <c r="Y210" s="41" t="str">
        <f t="shared" si="232"/>
        <v/>
      </c>
      <c r="Z210" s="24">
        <f t="shared" si="233"/>
        <v>0</v>
      </c>
      <c r="AA210" s="41" t="str">
        <f t="shared" si="234"/>
        <v/>
      </c>
      <c r="AB210" s="24">
        <f t="shared" si="235"/>
        <v>0</v>
      </c>
      <c r="AC210" s="41" t="str">
        <f t="shared" si="236"/>
        <v/>
      </c>
      <c r="AD210" s="24">
        <f t="shared" si="237"/>
        <v>0</v>
      </c>
      <c r="AE210" s="41" t="str">
        <f t="shared" si="238"/>
        <v/>
      </c>
      <c r="AF210" s="24">
        <f t="shared" si="239"/>
        <v>0</v>
      </c>
      <c r="AG210" s="41" t="str">
        <f t="shared" si="240"/>
        <v/>
      </c>
      <c r="AH210" s="24">
        <f t="shared" si="241"/>
        <v>0</v>
      </c>
      <c r="AI210" s="41" t="str">
        <f t="shared" si="242"/>
        <v/>
      </c>
      <c r="AJ210" s="24">
        <f t="shared" si="243"/>
        <v>0</v>
      </c>
      <c r="AK210" s="41" t="str">
        <f t="shared" si="244"/>
        <v/>
      </c>
    </row>
    <row r="211" spans="6:37" x14ac:dyDescent="0.2">
      <c r="F211" s="527">
        <f t="shared" si="217"/>
        <v>0.1640625</v>
      </c>
      <c r="G211" s="8">
        <v>2</v>
      </c>
      <c r="H211" s="305">
        <f t="shared" si="218"/>
        <v>21</v>
      </c>
      <c r="I211" s="37" t="str">
        <f t="shared" si="216"/>
        <v>19;</v>
      </c>
      <c r="J211" s="38">
        <v>2</v>
      </c>
      <c r="K211" s="128">
        <f t="shared" si="219"/>
        <v>0.14583333333333334</v>
      </c>
      <c r="L211" s="39" t="str">
        <f>INDEX(powers!$H$2:$H$75,33+J211)</f>
        <v>gross</v>
      </c>
      <c r="M211" s="40" t="str">
        <f t="shared" si="220"/>
        <v>0</v>
      </c>
      <c r="N211" s="24">
        <f t="shared" si="221"/>
        <v>1.75</v>
      </c>
      <c r="O211" s="41" t="str">
        <f t="shared" si="222"/>
        <v>1</v>
      </c>
      <c r="P211" s="24">
        <f t="shared" si="223"/>
        <v>9</v>
      </c>
      <c r="Q211" s="41" t="str">
        <f t="shared" si="224"/>
        <v>9</v>
      </c>
      <c r="R211" s="24">
        <f t="shared" si="225"/>
        <v>0</v>
      </c>
      <c r="S211" s="41" t="str">
        <f t="shared" si="226"/>
        <v/>
      </c>
      <c r="T211" s="24">
        <f t="shared" si="227"/>
        <v>0</v>
      </c>
      <c r="U211" s="41" t="str">
        <f t="shared" si="228"/>
        <v/>
      </c>
      <c r="V211" s="24">
        <f t="shared" si="229"/>
        <v>0</v>
      </c>
      <c r="W211" s="41" t="str">
        <f t="shared" si="230"/>
        <v/>
      </c>
      <c r="X211" s="24">
        <f t="shared" si="231"/>
        <v>0</v>
      </c>
      <c r="Y211" s="41" t="str">
        <f t="shared" si="232"/>
        <v/>
      </c>
      <c r="Z211" s="24">
        <f t="shared" si="233"/>
        <v>0</v>
      </c>
      <c r="AA211" s="41" t="str">
        <f t="shared" si="234"/>
        <v/>
      </c>
      <c r="AB211" s="24">
        <f t="shared" si="235"/>
        <v>0</v>
      </c>
      <c r="AC211" s="41" t="str">
        <f t="shared" si="236"/>
        <v/>
      </c>
      <c r="AD211" s="24">
        <f t="shared" si="237"/>
        <v>0</v>
      </c>
      <c r="AE211" s="41" t="str">
        <f t="shared" si="238"/>
        <v/>
      </c>
      <c r="AF211" s="24">
        <f t="shared" si="239"/>
        <v>0</v>
      </c>
      <c r="AG211" s="41" t="str">
        <f t="shared" si="240"/>
        <v/>
      </c>
      <c r="AH211" s="24">
        <f t="shared" si="241"/>
        <v>0</v>
      </c>
      <c r="AI211" s="41" t="str">
        <f t="shared" si="242"/>
        <v/>
      </c>
      <c r="AJ211" s="24">
        <f t="shared" si="243"/>
        <v>0</v>
      </c>
      <c r="AK211" s="41" t="str">
        <f t="shared" si="244"/>
        <v/>
      </c>
    </row>
    <row r="212" spans="6:37" x14ac:dyDescent="0.2">
      <c r="F212" s="527">
        <f t="shared" si="217"/>
        <v>0.171875</v>
      </c>
      <c r="G212" s="8">
        <v>2</v>
      </c>
      <c r="H212" s="305">
        <f t="shared" si="218"/>
        <v>22</v>
      </c>
      <c r="I212" s="37" t="str">
        <f t="shared" si="216"/>
        <v>1X;</v>
      </c>
      <c r="J212" s="38">
        <v>2</v>
      </c>
      <c r="K212" s="128">
        <f t="shared" si="219"/>
        <v>0.15277777777777779</v>
      </c>
      <c r="L212" s="39" t="str">
        <f>INDEX(powers!$H$2:$H$75,33+J212)</f>
        <v>gross</v>
      </c>
      <c r="M212" s="40" t="str">
        <f t="shared" si="220"/>
        <v>0</v>
      </c>
      <c r="N212" s="24">
        <f t="shared" si="221"/>
        <v>1.8333333333333335</v>
      </c>
      <c r="O212" s="41" t="str">
        <f t="shared" si="222"/>
        <v>1</v>
      </c>
      <c r="P212" s="24">
        <f t="shared" si="223"/>
        <v>10.000000000000002</v>
      </c>
      <c r="Q212" s="41" t="str">
        <f t="shared" si="224"/>
        <v>X</v>
      </c>
      <c r="R212" s="24">
        <f t="shared" si="225"/>
        <v>2.1316282072803006E-14</v>
      </c>
      <c r="S212" s="41" t="str">
        <f t="shared" si="226"/>
        <v/>
      </c>
      <c r="T212" s="24">
        <f t="shared" si="227"/>
        <v>2.5579538487363607E-13</v>
      </c>
      <c r="U212" s="41" t="str">
        <f t="shared" si="228"/>
        <v/>
      </c>
      <c r="V212" s="24">
        <f t="shared" si="229"/>
        <v>3.0695446184836328E-12</v>
      </c>
      <c r="W212" s="41" t="str">
        <f t="shared" si="230"/>
        <v/>
      </c>
      <c r="X212" s="24">
        <f t="shared" si="231"/>
        <v>3.6834535421803594E-11</v>
      </c>
      <c r="Y212" s="41" t="str">
        <f t="shared" si="232"/>
        <v/>
      </c>
      <c r="Z212" s="24">
        <f t="shared" si="233"/>
        <v>4.4201442506164312E-10</v>
      </c>
      <c r="AA212" s="41" t="str">
        <f t="shared" si="234"/>
        <v/>
      </c>
      <c r="AB212" s="24">
        <f t="shared" si="235"/>
        <v>5.3041731007397175E-9</v>
      </c>
      <c r="AC212" s="41" t="str">
        <f t="shared" si="236"/>
        <v/>
      </c>
      <c r="AD212" s="24">
        <f t="shared" si="237"/>
        <v>6.365007720887661E-8</v>
      </c>
      <c r="AE212" s="41" t="str">
        <f t="shared" si="238"/>
        <v/>
      </c>
      <c r="AF212" s="24">
        <f t="shared" si="239"/>
        <v>7.6380092650651932E-7</v>
      </c>
      <c r="AG212" s="41" t="str">
        <f t="shared" si="240"/>
        <v/>
      </c>
      <c r="AH212" s="24">
        <f t="shared" si="241"/>
        <v>9.1656111180782318E-6</v>
      </c>
      <c r="AI212" s="41" t="str">
        <f t="shared" si="242"/>
        <v/>
      </c>
      <c r="AJ212" s="24">
        <f t="shared" si="243"/>
        <v>1.0998733341693878E-4</v>
      </c>
      <c r="AK212" s="41" t="str">
        <f t="shared" si="244"/>
        <v/>
      </c>
    </row>
    <row r="213" spans="6:37" x14ac:dyDescent="0.2">
      <c r="F213" s="527">
        <f t="shared" si="217"/>
        <v>0.1796875</v>
      </c>
      <c r="G213" s="8">
        <v>2</v>
      </c>
      <c r="H213" s="305">
        <f t="shared" si="218"/>
        <v>23</v>
      </c>
      <c r="I213" s="37" t="str">
        <f t="shared" si="216"/>
        <v>1E;</v>
      </c>
      <c r="J213" s="38">
        <v>2</v>
      </c>
      <c r="K213" s="128">
        <f t="shared" si="219"/>
        <v>0.15972222222222221</v>
      </c>
      <c r="L213" s="39" t="str">
        <f>INDEX(powers!$H$2:$H$75,33+J213)</f>
        <v>gross</v>
      </c>
      <c r="M213" s="40" t="str">
        <f t="shared" si="220"/>
        <v>0</v>
      </c>
      <c r="N213" s="24">
        <f t="shared" si="221"/>
        <v>1.9166666666666665</v>
      </c>
      <c r="O213" s="41" t="str">
        <f t="shared" si="222"/>
        <v>1</v>
      </c>
      <c r="P213" s="24">
        <f t="shared" si="223"/>
        <v>10.999999999999998</v>
      </c>
      <c r="Q213" s="41" t="str">
        <f t="shared" si="224"/>
        <v>E</v>
      </c>
      <c r="R213" s="24">
        <f t="shared" si="225"/>
        <v>-2.1316282072803006E-14</v>
      </c>
      <c r="S213" s="41" t="str">
        <f t="shared" si="226"/>
        <v/>
      </c>
      <c r="T213" s="24">
        <f t="shared" si="227"/>
        <v>11.999999999999744</v>
      </c>
      <c r="U213" s="41" t="str">
        <f t="shared" si="228"/>
        <v/>
      </c>
      <c r="V213" s="24">
        <f t="shared" si="229"/>
        <v>11.99999999999693</v>
      </c>
      <c r="W213" s="41" t="str">
        <f t="shared" si="230"/>
        <v/>
      </c>
      <c r="X213" s="24">
        <f t="shared" si="231"/>
        <v>11.999999999963165</v>
      </c>
      <c r="Y213" s="41" t="str">
        <f t="shared" si="232"/>
        <v/>
      </c>
      <c r="Z213" s="24">
        <f t="shared" si="233"/>
        <v>11.999999999557986</v>
      </c>
      <c r="AA213" s="41" t="str">
        <f t="shared" si="234"/>
        <v/>
      </c>
      <c r="AB213" s="24">
        <f t="shared" si="235"/>
        <v>11.999999994695827</v>
      </c>
      <c r="AC213" s="41" t="str">
        <f t="shared" si="236"/>
        <v/>
      </c>
      <c r="AD213" s="24">
        <f t="shared" si="237"/>
        <v>11.999999936349923</v>
      </c>
      <c r="AE213" s="41" t="str">
        <f t="shared" si="238"/>
        <v/>
      </c>
      <c r="AF213" s="24">
        <f t="shared" si="239"/>
        <v>11.999999236199073</v>
      </c>
      <c r="AG213" s="41" t="str">
        <f t="shared" si="240"/>
        <v/>
      </c>
      <c r="AH213" s="24">
        <f t="shared" si="241"/>
        <v>11.999990834388882</v>
      </c>
      <c r="AI213" s="41" t="str">
        <f t="shared" si="242"/>
        <v/>
      </c>
      <c r="AJ213" s="24">
        <f t="shared" si="243"/>
        <v>11.999890012666583</v>
      </c>
      <c r="AK213" s="41" t="str">
        <f t="shared" si="244"/>
        <v/>
      </c>
    </row>
    <row r="214" spans="6:37" x14ac:dyDescent="0.2">
      <c r="F214" s="527">
        <f t="shared" si="217"/>
        <v>0.1875</v>
      </c>
      <c r="G214" s="8">
        <v>2</v>
      </c>
      <c r="H214" s="305">
        <f t="shared" si="218"/>
        <v>24</v>
      </c>
      <c r="I214" s="37" t="str">
        <f t="shared" si="216"/>
        <v>20;</v>
      </c>
      <c r="J214" s="38">
        <v>2</v>
      </c>
      <c r="K214" s="128">
        <f t="shared" si="219"/>
        <v>0.16666666666666666</v>
      </c>
      <c r="L214" s="39" t="str">
        <f>INDEX(powers!$H$2:$H$75,33+J214)</f>
        <v>gross</v>
      </c>
      <c r="M214" s="40" t="str">
        <f t="shared" si="220"/>
        <v>0</v>
      </c>
      <c r="N214" s="24">
        <f t="shared" si="221"/>
        <v>2</v>
      </c>
      <c r="O214" s="41" t="str">
        <f t="shared" si="222"/>
        <v>2</v>
      </c>
      <c r="P214" s="24">
        <f t="shared" si="223"/>
        <v>0</v>
      </c>
      <c r="Q214" s="41" t="str">
        <f t="shared" si="224"/>
        <v>0</v>
      </c>
      <c r="R214" s="24">
        <f t="shared" si="225"/>
        <v>0</v>
      </c>
      <c r="S214" s="41" t="str">
        <f t="shared" si="226"/>
        <v/>
      </c>
      <c r="T214" s="24">
        <f t="shared" si="227"/>
        <v>0</v>
      </c>
      <c r="U214" s="41" t="str">
        <f t="shared" si="228"/>
        <v/>
      </c>
      <c r="V214" s="24">
        <f t="shared" si="229"/>
        <v>0</v>
      </c>
      <c r="W214" s="41" t="str">
        <f t="shared" si="230"/>
        <v/>
      </c>
      <c r="X214" s="24">
        <f t="shared" si="231"/>
        <v>0</v>
      </c>
      <c r="Y214" s="41" t="str">
        <f t="shared" si="232"/>
        <v/>
      </c>
      <c r="Z214" s="24">
        <f t="shared" si="233"/>
        <v>0</v>
      </c>
      <c r="AA214" s="41" t="str">
        <f t="shared" si="234"/>
        <v/>
      </c>
      <c r="AB214" s="24">
        <f t="shared" si="235"/>
        <v>0</v>
      </c>
      <c r="AC214" s="41" t="str">
        <f t="shared" si="236"/>
        <v/>
      </c>
      <c r="AD214" s="24">
        <f t="shared" si="237"/>
        <v>0</v>
      </c>
      <c r="AE214" s="41" t="str">
        <f t="shared" si="238"/>
        <v/>
      </c>
      <c r="AF214" s="24">
        <f t="shared" si="239"/>
        <v>0</v>
      </c>
      <c r="AG214" s="41" t="str">
        <f t="shared" si="240"/>
        <v/>
      </c>
      <c r="AH214" s="24">
        <f t="shared" si="241"/>
        <v>0</v>
      </c>
      <c r="AI214" s="41" t="str">
        <f t="shared" si="242"/>
        <v/>
      </c>
      <c r="AJ214" s="24">
        <f t="shared" si="243"/>
        <v>0</v>
      </c>
      <c r="AK214" s="41" t="str">
        <f t="shared" si="244"/>
        <v/>
      </c>
    </row>
    <row r="215" spans="6:37" x14ac:dyDescent="0.2">
      <c r="F215" s="527">
        <f t="shared" si="217"/>
        <v>0.1953125</v>
      </c>
      <c r="G215" s="8">
        <v>2</v>
      </c>
      <c r="H215" s="305">
        <f t="shared" si="218"/>
        <v>25</v>
      </c>
      <c r="I215" s="37" t="str">
        <f t="shared" si="216"/>
        <v>21;</v>
      </c>
      <c r="J215" s="38">
        <v>2</v>
      </c>
      <c r="K215" s="128">
        <f t="shared" si="219"/>
        <v>0.1736111111111111</v>
      </c>
      <c r="L215" s="39" t="str">
        <f>INDEX(powers!$H$2:$H$75,33+J215)</f>
        <v>gross</v>
      </c>
      <c r="M215" s="40" t="str">
        <f t="shared" si="220"/>
        <v>0</v>
      </c>
      <c r="N215" s="24">
        <f t="shared" si="221"/>
        <v>2.083333333333333</v>
      </c>
      <c r="O215" s="41" t="str">
        <f t="shared" si="222"/>
        <v>2</v>
      </c>
      <c r="P215" s="24">
        <f t="shared" si="223"/>
        <v>0.99999999999999645</v>
      </c>
      <c r="Q215" s="41" t="str">
        <f t="shared" si="224"/>
        <v>1</v>
      </c>
      <c r="R215" s="24">
        <f t="shared" si="225"/>
        <v>11.999999999999957</v>
      </c>
      <c r="S215" s="41" t="str">
        <f t="shared" si="226"/>
        <v/>
      </c>
      <c r="T215" s="24">
        <f t="shared" si="227"/>
        <v>-5.1159076974727213E-13</v>
      </c>
      <c r="U215" s="41" t="str">
        <f t="shared" si="228"/>
        <v/>
      </c>
      <c r="V215" s="24">
        <f t="shared" si="229"/>
        <v>11.999999999993861</v>
      </c>
      <c r="W215" s="41" t="str">
        <f t="shared" si="230"/>
        <v/>
      </c>
      <c r="X215" s="24">
        <f t="shared" si="231"/>
        <v>11.999999999926331</v>
      </c>
      <c r="Y215" s="41" t="str">
        <f t="shared" si="232"/>
        <v/>
      </c>
      <c r="Z215" s="24">
        <f t="shared" si="233"/>
        <v>11.999999999115971</v>
      </c>
      <c r="AA215" s="41" t="str">
        <f t="shared" si="234"/>
        <v/>
      </c>
      <c r="AB215" s="24">
        <f t="shared" si="235"/>
        <v>11.999999989391654</v>
      </c>
      <c r="AC215" s="41" t="str">
        <f t="shared" si="236"/>
        <v/>
      </c>
      <c r="AD215" s="24">
        <f t="shared" si="237"/>
        <v>11.999999872699846</v>
      </c>
      <c r="AE215" s="41" t="str">
        <f t="shared" si="238"/>
        <v/>
      </c>
      <c r="AF215" s="24">
        <f t="shared" si="239"/>
        <v>11.999998472398147</v>
      </c>
      <c r="AG215" s="41" t="str">
        <f t="shared" si="240"/>
        <v/>
      </c>
      <c r="AH215" s="24">
        <f t="shared" si="241"/>
        <v>11.999981668777764</v>
      </c>
      <c r="AI215" s="41" t="str">
        <f t="shared" si="242"/>
        <v/>
      </c>
      <c r="AJ215" s="24">
        <f t="shared" si="243"/>
        <v>11.999780025333166</v>
      </c>
      <c r="AK215" s="41" t="str">
        <f t="shared" si="244"/>
        <v/>
      </c>
    </row>
    <row r="216" spans="6:37" x14ac:dyDescent="0.2">
      <c r="F216" s="527">
        <f t="shared" si="217"/>
        <v>0.203125</v>
      </c>
      <c r="G216" s="8">
        <v>2</v>
      </c>
      <c r="H216" s="305">
        <f t="shared" si="218"/>
        <v>26</v>
      </c>
      <c r="I216" s="37" t="str">
        <f t="shared" si="216"/>
        <v>22;</v>
      </c>
      <c r="J216" s="38">
        <v>2</v>
      </c>
      <c r="K216" s="128">
        <f t="shared" si="219"/>
        <v>0.18055555555555555</v>
      </c>
      <c r="L216" s="39" t="str">
        <f>INDEX(powers!$H$2:$H$75,33+J216)</f>
        <v>gross</v>
      </c>
      <c r="M216" s="40" t="str">
        <f t="shared" si="220"/>
        <v>0</v>
      </c>
      <c r="N216" s="24">
        <f t="shared" si="221"/>
        <v>2.1666666666666665</v>
      </c>
      <c r="O216" s="41" t="str">
        <f t="shared" si="222"/>
        <v>2</v>
      </c>
      <c r="P216" s="24">
        <f t="shared" si="223"/>
        <v>1.9999999999999982</v>
      </c>
      <c r="Q216" s="41" t="str">
        <f t="shared" si="224"/>
        <v>2</v>
      </c>
      <c r="R216" s="24">
        <f t="shared" si="225"/>
        <v>-2.1316282072803006E-14</v>
      </c>
      <c r="S216" s="41" t="str">
        <f t="shared" si="226"/>
        <v/>
      </c>
      <c r="T216" s="24">
        <f t="shared" si="227"/>
        <v>11.999999999999744</v>
      </c>
      <c r="U216" s="41" t="str">
        <f t="shared" si="228"/>
        <v/>
      </c>
      <c r="V216" s="24">
        <f t="shared" si="229"/>
        <v>11.99999999999693</v>
      </c>
      <c r="W216" s="41" t="str">
        <f t="shared" si="230"/>
        <v/>
      </c>
      <c r="X216" s="24">
        <f t="shared" si="231"/>
        <v>11.999999999963165</v>
      </c>
      <c r="Y216" s="41" t="str">
        <f t="shared" si="232"/>
        <v/>
      </c>
      <c r="Z216" s="24">
        <f t="shared" si="233"/>
        <v>11.999999999557986</v>
      </c>
      <c r="AA216" s="41" t="str">
        <f t="shared" si="234"/>
        <v/>
      </c>
      <c r="AB216" s="24">
        <f t="shared" si="235"/>
        <v>11.999999994695827</v>
      </c>
      <c r="AC216" s="41" t="str">
        <f t="shared" si="236"/>
        <v/>
      </c>
      <c r="AD216" s="24">
        <f t="shared" si="237"/>
        <v>11.999999936349923</v>
      </c>
      <c r="AE216" s="41" t="str">
        <f t="shared" si="238"/>
        <v/>
      </c>
      <c r="AF216" s="24">
        <f t="shared" si="239"/>
        <v>11.999999236199073</v>
      </c>
      <c r="AG216" s="41" t="str">
        <f t="shared" si="240"/>
        <v/>
      </c>
      <c r="AH216" s="24">
        <f t="shared" si="241"/>
        <v>11.999990834388882</v>
      </c>
      <c r="AI216" s="41" t="str">
        <f t="shared" si="242"/>
        <v/>
      </c>
      <c r="AJ216" s="24">
        <f t="shared" si="243"/>
        <v>11.999890012666583</v>
      </c>
      <c r="AK216" s="41" t="str">
        <f t="shared" si="244"/>
        <v/>
      </c>
    </row>
    <row r="217" spans="6:37" x14ac:dyDescent="0.2">
      <c r="F217" s="527">
        <f t="shared" si="217"/>
        <v>0.2109375</v>
      </c>
      <c r="G217" s="8">
        <v>2</v>
      </c>
      <c r="H217" s="305">
        <f t="shared" si="218"/>
        <v>27</v>
      </c>
      <c r="I217" s="37" t="str">
        <f t="shared" si="216"/>
        <v>23;</v>
      </c>
      <c r="J217" s="38">
        <v>2</v>
      </c>
      <c r="K217" s="128">
        <f t="shared" si="219"/>
        <v>0.1875</v>
      </c>
      <c r="L217" s="39" t="str">
        <f>INDEX(powers!$H$2:$H$75,33+J217)</f>
        <v>gross</v>
      </c>
      <c r="M217" s="40" t="str">
        <f t="shared" si="220"/>
        <v>0</v>
      </c>
      <c r="N217" s="24">
        <f t="shared" si="221"/>
        <v>2.25</v>
      </c>
      <c r="O217" s="41" t="str">
        <f t="shared" si="222"/>
        <v>2</v>
      </c>
      <c r="P217" s="24">
        <f t="shared" si="223"/>
        <v>3</v>
      </c>
      <c r="Q217" s="41" t="str">
        <f t="shared" si="224"/>
        <v>3</v>
      </c>
      <c r="R217" s="24">
        <f t="shared" si="225"/>
        <v>0</v>
      </c>
      <c r="S217" s="41" t="str">
        <f t="shared" si="226"/>
        <v/>
      </c>
      <c r="T217" s="24">
        <f t="shared" si="227"/>
        <v>0</v>
      </c>
      <c r="U217" s="41" t="str">
        <f t="shared" si="228"/>
        <v/>
      </c>
      <c r="V217" s="24">
        <f t="shared" si="229"/>
        <v>0</v>
      </c>
      <c r="W217" s="41" t="str">
        <f t="shared" si="230"/>
        <v/>
      </c>
      <c r="X217" s="24">
        <f t="shared" si="231"/>
        <v>0</v>
      </c>
      <c r="Y217" s="41" t="str">
        <f t="shared" si="232"/>
        <v/>
      </c>
      <c r="Z217" s="24">
        <f t="shared" si="233"/>
        <v>0</v>
      </c>
      <c r="AA217" s="41" t="str">
        <f t="shared" si="234"/>
        <v/>
      </c>
      <c r="AB217" s="24">
        <f t="shared" si="235"/>
        <v>0</v>
      </c>
      <c r="AC217" s="41" t="str">
        <f t="shared" si="236"/>
        <v/>
      </c>
      <c r="AD217" s="24">
        <f t="shared" si="237"/>
        <v>0</v>
      </c>
      <c r="AE217" s="41" t="str">
        <f t="shared" si="238"/>
        <v/>
      </c>
      <c r="AF217" s="24">
        <f t="shared" si="239"/>
        <v>0</v>
      </c>
      <c r="AG217" s="41" t="str">
        <f t="shared" si="240"/>
        <v/>
      </c>
      <c r="AH217" s="24">
        <f t="shared" si="241"/>
        <v>0</v>
      </c>
      <c r="AI217" s="41" t="str">
        <f t="shared" si="242"/>
        <v/>
      </c>
      <c r="AJ217" s="24">
        <f t="shared" si="243"/>
        <v>0</v>
      </c>
      <c r="AK217" s="41" t="str">
        <f t="shared" si="244"/>
        <v/>
      </c>
    </row>
    <row r="218" spans="6:37" x14ac:dyDescent="0.2">
      <c r="F218" s="527">
        <f t="shared" si="217"/>
        <v>0.21875</v>
      </c>
      <c r="G218" s="8">
        <v>2</v>
      </c>
      <c r="H218" s="305">
        <f t="shared" si="218"/>
        <v>28</v>
      </c>
      <c r="I218" s="37" t="str">
        <f t="shared" si="216"/>
        <v>24;</v>
      </c>
      <c r="J218" s="38">
        <v>2</v>
      </c>
      <c r="K218" s="128">
        <f t="shared" si="219"/>
        <v>0.19444444444444445</v>
      </c>
      <c r="L218" s="39" t="str">
        <f>INDEX(powers!$H$2:$H$75,33+J218)</f>
        <v>gross</v>
      </c>
      <c r="M218" s="40" t="str">
        <f t="shared" si="220"/>
        <v>0</v>
      </c>
      <c r="N218" s="24">
        <f t="shared" si="221"/>
        <v>2.3333333333333335</v>
      </c>
      <c r="O218" s="41" t="str">
        <f t="shared" si="222"/>
        <v>2</v>
      </c>
      <c r="P218" s="24">
        <f t="shared" si="223"/>
        <v>4.0000000000000018</v>
      </c>
      <c r="Q218" s="41" t="str">
        <f t="shared" si="224"/>
        <v>4</v>
      </c>
      <c r="R218" s="24">
        <f t="shared" si="225"/>
        <v>2.1316282072803006E-14</v>
      </c>
      <c r="S218" s="41" t="str">
        <f t="shared" si="226"/>
        <v/>
      </c>
      <c r="T218" s="24">
        <f t="shared" si="227"/>
        <v>2.5579538487363607E-13</v>
      </c>
      <c r="U218" s="41" t="str">
        <f t="shared" si="228"/>
        <v/>
      </c>
      <c r="V218" s="24">
        <f t="shared" si="229"/>
        <v>3.0695446184836328E-12</v>
      </c>
      <c r="W218" s="41" t="str">
        <f t="shared" si="230"/>
        <v/>
      </c>
      <c r="X218" s="24">
        <f t="shared" si="231"/>
        <v>3.6834535421803594E-11</v>
      </c>
      <c r="Y218" s="41" t="str">
        <f t="shared" si="232"/>
        <v/>
      </c>
      <c r="Z218" s="24">
        <f t="shared" si="233"/>
        <v>4.4201442506164312E-10</v>
      </c>
      <c r="AA218" s="41" t="str">
        <f t="shared" si="234"/>
        <v/>
      </c>
      <c r="AB218" s="24">
        <f t="shared" si="235"/>
        <v>5.3041731007397175E-9</v>
      </c>
      <c r="AC218" s="41" t="str">
        <f t="shared" si="236"/>
        <v/>
      </c>
      <c r="AD218" s="24">
        <f t="shared" si="237"/>
        <v>6.365007720887661E-8</v>
      </c>
      <c r="AE218" s="41" t="str">
        <f t="shared" si="238"/>
        <v/>
      </c>
      <c r="AF218" s="24">
        <f t="shared" si="239"/>
        <v>7.6380092650651932E-7</v>
      </c>
      <c r="AG218" s="41" t="str">
        <f t="shared" si="240"/>
        <v/>
      </c>
      <c r="AH218" s="24">
        <f t="shared" si="241"/>
        <v>9.1656111180782318E-6</v>
      </c>
      <c r="AI218" s="41" t="str">
        <f t="shared" si="242"/>
        <v/>
      </c>
      <c r="AJ218" s="24">
        <f t="shared" si="243"/>
        <v>1.0998733341693878E-4</v>
      </c>
      <c r="AK218" s="41" t="str">
        <f t="shared" si="244"/>
        <v/>
      </c>
    </row>
    <row r="219" spans="6:37" x14ac:dyDescent="0.2">
      <c r="F219" s="527">
        <f t="shared" si="217"/>
        <v>0.2265625</v>
      </c>
      <c r="G219" s="8">
        <v>2</v>
      </c>
      <c r="H219" s="305">
        <f t="shared" si="218"/>
        <v>29</v>
      </c>
      <c r="I219" s="37" t="str">
        <f t="shared" si="216"/>
        <v>25;</v>
      </c>
      <c r="J219" s="38">
        <v>2</v>
      </c>
      <c r="K219" s="128">
        <f t="shared" si="219"/>
        <v>0.2013888888888889</v>
      </c>
      <c r="L219" s="39" t="str">
        <f>INDEX(powers!$H$2:$H$75,33+J219)</f>
        <v>gross</v>
      </c>
      <c r="M219" s="40" t="str">
        <f t="shared" si="220"/>
        <v>0</v>
      </c>
      <c r="N219" s="24">
        <f t="shared" si="221"/>
        <v>2.416666666666667</v>
      </c>
      <c r="O219" s="41" t="str">
        <f t="shared" si="222"/>
        <v>2</v>
      </c>
      <c r="P219" s="24">
        <f t="shared" si="223"/>
        <v>5.0000000000000036</v>
      </c>
      <c r="Q219" s="41" t="str">
        <f t="shared" si="224"/>
        <v>5</v>
      </c>
      <c r="R219" s="24">
        <f t="shared" si="225"/>
        <v>4.2632564145606011E-14</v>
      </c>
      <c r="S219" s="41" t="str">
        <f t="shared" si="226"/>
        <v/>
      </c>
      <c r="T219" s="24">
        <f t="shared" si="227"/>
        <v>5.1159076974727213E-13</v>
      </c>
      <c r="U219" s="41" t="str">
        <f t="shared" si="228"/>
        <v/>
      </c>
      <c r="V219" s="24">
        <f t="shared" si="229"/>
        <v>6.1390892369672656E-12</v>
      </c>
      <c r="W219" s="41" t="str">
        <f t="shared" si="230"/>
        <v/>
      </c>
      <c r="X219" s="24">
        <f t="shared" si="231"/>
        <v>7.3669070843607187E-11</v>
      </c>
      <c r="Y219" s="41" t="str">
        <f t="shared" si="232"/>
        <v/>
      </c>
      <c r="Z219" s="24">
        <f t="shared" si="233"/>
        <v>8.8402885012328625E-10</v>
      </c>
      <c r="AA219" s="41" t="str">
        <f t="shared" si="234"/>
        <v/>
      </c>
      <c r="AB219" s="24">
        <f t="shared" si="235"/>
        <v>1.0608346201479435E-8</v>
      </c>
      <c r="AC219" s="41" t="str">
        <f t="shared" si="236"/>
        <v/>
      </c>
      <c r="AD219" s="24">
        <f t="shared" si="237"/>
        <v>1.2730015441775322E-7</v>
      </c>
      <c r="AE219" s="41" t="str">
        <f t="shared" si="238"/>
        <v/>
      </c>
      <c r="AF219" s="24">
        <f t="shared" si="239"/>
        <v>1.5276018530130386E-6</v>
      </c>
      <c r="AG219" s="41" t="str">
        <f t="shared" si="240"/>
        <v/>
      </c>
      <c r="AH219" s="24">
        <f t="shared" si="241"/>
        <v>1.8331222236156464E-5</v>
      </c>
      <c r="AI219" s="41" t="str">
        <f t="shared" si="242"/>
        <v/>
      </c>
      <c r="AJ219" s="24">
        <f t="shared" si="243"/>
        <v>2.1997466683387756E-4</v>
      </c>
      <c r="AK219" s="41" t="str">
        <f t="shared" si="244"/>
        <v/>
      </c>
    </row>
    <row r="220" spans="6:37" x14ac:dyDescent="0.2">
      <c r="F220" s="527">
        <f t="shared" si="217"/>
        <v>0.234375</v>
      </c>
      <c r="G220" s="8">
        <v>2</v>
      </c>
      <c r="H220" s="305">
        <f t="shared" si="218"/>
        <v>30</v>
      </c>
      <c r="I220" s="37" t="str">
        <f t="shared" si="216"/>
        <v>26;</v>
      </c>
      <c r="J220" s="38">
        <v>2</v>
      </c>
      <c r="K220" s="128">
        <f t="shared" si="219"/>
        <v>0.20833333333333334</v>
      </c>
      <c r="L220" s="39" t="str">
        <f>INDEX(powers!$H$2:$H$75,33+J220)</f>
        <v>gross</v>
      </c>
      <c r="M220" s="40" t="str">
        <f t="shared" si="220"/>
        <v>0</v>
      </c>
      <c r="N220" s="24">
        <f t="shared" si="221"/>
        <v>2.5</v>
      </c>
      <c r="O220" s="41" t="str">
        <f t="shared" si="222"/>
        <v>2</v>
      </c>
      <c r="P220" s="24">
        <f t="shared" si="223"/>
        <v>6</v>
      </c>
      <c r="Q220" s="41" t="str">
        <f t="shared" si="224"/>
        <v>6</v>
      </c>
      <c r="R220" s="24">
        <f t="shared" si="225"/>
        <v>0</v>
      </c>
      <c r="S220" s="41" t="str">
        <f t="shared" si="226"/>
        <v/>
      </c>
      <c r="T220" s="24">
        <f t="shared" si="227"/>
        <v>0</v>
      </c>
      <c r="U220" s="41" t="str">
        <f t="shared" si="228"/>
        <v/>
      </c>
      <c r="V220" s="24">
        <f t="shared" si="229"/>
        <v>0</v>
      </c>
      <c r="W220" s="41" t="str">
        <f t="shared" si="230"/>
        <v/>
      </c>
      <c r="X220" s="24">
        <f t="shared" si="231"/>
        <v>0</v>
      </c>
      <c r="Y220" s="41" t="str">
        <f t="shared" si="232"/>
        <v/>
      </c>
      <c r="Z220" s="24">
        <f t="shared" si="233"/>
        <v>0</v>
      </c>
      <c r="AA220" s="41" t="str">
        <f t="shared" si="234"/>
        <v/>
      </c>
      <c r="AB220" s="24">
        <f t="shared" si="235"/>
        <v>0</v>
      </c>
      <c r="AC220" s="41" t="str">
        <f t="shared" si="236"/>
        <v/>
      </c>
      <c r="AD220" s="24">
        <f t="shared" si="237"/>
        <v>0</v>
      </c>
      <c r="AE220" s="41" t="str">
        <f t="shared" si="238"/>
        <v/>
      </c>
      <c r="AF220" s="24">
        <f t="shared" si="239"/>
        <v>0</v>
      </c>
      <c r="AG220" s="41" t="str">
        <f t="shared" si="240"/>
        <v/>
      </c>
      <c r="AH220" s="24">
        <f t="shared" si="241"/>
        <v>0</v>
      </c>
      <c r="AI220" s="41" t="str">
        <f t="shared" si="242"/>
        <v/>
      </c>
      <c r="AJ220" s="24">
        <f t="shared" si="243"/>
        <v>0</v>
      </c>
      <c r="AK220" s="41" t="str">
        <f t="shared" si="244"/>
        <v/>
      </c>
    </row>
    <row r="221" spans="6:37" x14ac:dyDescent="0.2">
      <c r="F221" s="527">
        <f t="shared" si="217"/>
        <v>0.2421875</v>
      </c>
      <c r="G221" s="8">
        <v>2</v>
      </c>
      <c r="H221" s="305">
        <f t="shared" si="218"/>
        <v>31</v>
      </c>
      <c r="I221" s="37" t="str">
        <f t="shared" si="216"/>
        <v>27;</v>
      </c>
      <c r="J221" s="38">
        <v>2</v>
      </c>
      <c r="K221" s="128">
        <f t="shared" si="219"/>
        <v>0.21527777777777779</v>
      </c>
      <c r="L221" s="39" t="str">
        <f>INDEX(powers!$H$2:$H$75,33+J221)</f>
        <v>gross</v>
      </c>
      <c r="M221" s="40" t="str">
        <f t="shared" si="220"/>
        <v>0</v>
      </c>
      <c r="N221" s="24">
        <f t="shared" si="221"/>
        <v>2.5833333333333335</v>
      </c>
      <c r="O221" s="41" t="str">
        <f t="shared" si="222"/>
        <v>2</v>
      </c>
      <c r="P221" s="24">
        <f t="shared" si="223"/>
        <v>7.0000000000000018</v>
      </c>
      <c r="Q221" s="41" t="str">
        <f t="shared" si="224"/>
        <v>7</v>
      </c>
      <c r="R221" s="24">
        <f t="shared" si="225"/>
        <v>2.1316282072803006E-14</v>
      </c>
      <c r="S221" s="41" t="str">
        <f t="shared" si="226"/>
        <v/>
      </c>
      <c r="T221" s="24">
        <f t="shared" si="227"/>
        <v>2.5579538487363607E-13</v>
      </c>
      <c r="U221" s="41" t="str">
        <f t="shared" si="228"/>
        <v/>
      </c>
      <c r="V221" s="24">
        <f t="shared" si="229"/>
        <v>3.0695446184836328E-12</v>
      </c>
      <c r="W221" s="41" t="str">
        <f t="shared" si="230"/>
        <v/>
      </c>
      <c r="X221" s="24">
        <f t="shared" si="231"/>
        <v>3.6834535421803594E-11</v>
      </c>
      <c r="Y221" s="41" t="str">
        <f t="shared" si="232"/>
        <v/>
      </c>
      <c r="Z221" s="24">
        <f t="shared" si="233"/>
        <v>4.4201442506164312E-10</v>
      </c>
      <c r="AA221" s="41" t="str">
        <f t="shared" si="234"/>
        <v/>
      </c>
      <c r="AB221" s="24">
        <f t="shared" si="235"/>
        <v>5.3041731007397175E-9</v>
      </c>
      <c r="AC221" s="41" t="str">
        <f t="shared" si="236"/>
        <v/>
      </c>
      <c r="AD221" s="24">
        <f t="shared" si="237"/>
        <v>6.365007720887661E-8</v>
      </c>
      <c r="AE221" s="41" t="str">
        <f t="shared" si="238"/>
        <v/>
      </c>
      <c r="AF221" s="24">
        <f t="shared" si="239"/>
        <v>7.6380092650651932E-7</v>
      </c>
      <c r="AG221" s="41" t="str">
        <f t="shared" si="240"/>
        <v/>
      </c>
      <c r="AH221" s="24">
        <f t="shared" si="241"/>
        <v>9.1656111180782318E-6</v>
      </c>
      <c r="AI221" s="41" t="str">
        <f t="shared" si="242"/>
        <v/>
      </c>
      <c r="AJ221" s="24">
        <f t="shared" si="243"/>
        <v>1.0998733341693878E-4</v>
      </c>
      <c r="AK221" s="41" t="str">
        <f t="shared" si="244"/>
        <v/>
      </c>
    </row>
    <row r="222" spans="6:37" x14ac:dyDescent="0.2">
      <c r="F222" s="527">
        <f t="shared" si="217"/>
        <v>0.25</v>
      </c>
      <c r="G222" s="8">
        <v>2</v>
      </c>
      <c r="H222" s="305">
        <f t="shared" si="218"/>
        <v>32</v>
      </c>
      <c r="I222" s="37" t="str">
        <f t="shared" si="216"/>
        <v>28;</v>
      </c>
      <c r="J222" s="38">
        <v>2</v>
      </c>
      <c r="K222" s="128">
        <f t="shared" si="219"/>
        <v>0.22222222222222221</v>
      </c>
      <c r="L222" s="39" t="str">
        <f>INDEX(powers!$H$2:$H$75,33+J222)</f>
        <v>gross</v>
      </c>
      <c r="M222" s="40" t="str">
        <f t="shared" si="220"/>
        <v>0</v>
      </c>
      <c r="N222" s="24">
        <f t="shared" si="221"/>
        <v>2.6666666666666665</v>
      </c>
      <c r="O222" s="41" t="str">
        <f t="shared" si="222"/>
        <v>2</v>
      </c>
      <c r="P222" s="24">
        <f t="shared" si="223"/>
        <v>7.9999999999999982</v>
      </c>
      <c r="Q222" s="41" t="str">
        <f t="shared" si="224"/>
        <v>8</v>
      </c>
      <c r="R222" s="24">
        <f t="shared" si="225"/>
        <v>-2.1316282072803006E-14</v>
      </c>
      <c r="S222" s="41" t="str">
        <f t="shared" si="226"/>
        <v/>
      </c>
      <c r="T222" s="24">
        <f t="shared" si="227"/>
        <v>11.999999999999744</v>
      </c>
      <c r="U222" s="41" t="str">
        <f t="shared" si="228"/>
        <v/>
      </c>
      <c r="V222" s="24">
        <f t="shared" si="229"/>
        <v>11.99999999999693</v>
      </c>
      <c r="W222" s="41" t="str">
        <f t="shared" si="230"/>
        <v/>
      </c>
      <c r="X222" s="24">
        <f t="shared" si="231"/>
        <v>11.999999999963165</v>
      </c>
      <c r="Y222" s="41" t="str">
        <f t="shared" si="232"/>
        <v/>
      </c>
      <c r="Z222" s="24">
        <f t="shared" si="233"/>
        <v>11.999999999557986</v>
      </c>
      <c r="AA222" s="41" t="str">
        <f t="shared" si="234"/>
        <v/>
      </c>
      <c r="AB222" s="24">
        <f t="shared" si="235"/>
        <v>11.999999994695827</v>
      </c>
      <c r="AC222" s="41" t="str">
        <f t="shared" si="236"/>
        <v/>
      </c>
      <c r="AD222" s="24">
        <f t="shared" si="237"/>
        <v>11.999999936349923</v>
      </c>
      <c r="AE222" s="41" t="str">
        <f t="shared" si="238"/>
        <v/>
      </c>
      <c r="AF222" s="24">
        <f t="shared" si="239"/>
        <v>11.999999236199073</v>
      </c>
      <c r="AG222" s="41" t="str">
        <f t="shared" si="240"/>
        <v/>
      </c>
      <c r="AH222" s="24">
        <f t="shared" si="241"/>
        <v>11.999990834388882</v>
      </c>
      <c r="AI222" s="41" t="str">
        <f t="shared" si="242"/>
        <v/>
      </c>
      <c r="AJ222" s="24">
        <f t="shared" si="243"/>
        <v>11.999890012666583</v>
      </c>
      <c r="AK222" s="41" t="str">
        <f t="shared" si="244"/>
        <v/>
      </c>
    </row>
    <row r="223" spans="6:37" x14ac:dyDescent="0.2">
      <c r="F223" s="527">
        <f t="shared" si="217"/>
        <v>0.2578125</v>
      </c>
      <c r="G223" s="8">
        <v>2</v>
      </c>
      <c r="H223" s="305">
        <f t="shared" si="218"/>
        <v>33</v>
      </c>
      <c r="I223" s="37" t="str">
        <f t="shared" si="216"/>
        <v>29;</v>
      </c>
      <c r="J223" s="38">
        <v>2</v>
      </c>
      <c r="K223" s="128">
        <f t="shared" si="219"/>
        <v>0.22916666666666666</v>
      </c>
      <c r="L223" s="39" t="str">
        <f>INDEX(powers!$H$2:$H$75,33+J223)</f>
        <v>gross</v>
      </c>
      <c r="M223" s="40" t="str">
        <f t="shared" si="220"/>
        <v>0</v>
      </c>
      <c r="N223" s="24">
        <f t="shared" si="221"/>
        <v>2.75</v>
      </c>
      <c r="O223" s="41" t="str">
        <f t="shared" si="222"/>
        <v>2</v>
      </c>
      <c r="P223" s="24">
        <f t="shared" si="223"/>
        <v>9</v>
      </c>
      <c r="Q223" s="41" t="str">
        <f t="shared" si="224"/>
        <v>9</v>
      </c>
      <c r="R223" s="24">
        <f t="shared" si="225"/>
        <v>0</v>
      </c>
      <c r="S223" s="41" t="str">
        <f t="shared" si="226"/>
        <v/>
      </c>
      <c r="T223" s="24">
        <f t="shared" si="227"/>
        <v>0</v>
      </c>
      <c r="U223" s="41" t="str">
        <f t="shared" si="228"/>
        <v/>
      </c>
      <c r="V223" s="24">
        <f t="shared" si="229"/>
        <v>0</v>
      </c>
      <c r="W223" s="41" t="str">
        <f t="shared" si="230"/>
        <v/>
      </c>
      <c r="X223" s="24">
        <f t="shared" si="231"/>
        <v>0</v>
      </c>
      <c r="Y223" s="41" t="str">
        <f t="shared" si="232"/>
        <v/>
      </c>
      <c r="Z223" s="24">
        <f t="shared" si="233"/>
        <v>0</v>
      </c>
      <c r="AA223" s="41" t="str">
        <f t="shared" si="234"/>
        <v/>
      </c>
      <c r="AB223" s="24">
        <f t="shared" si="235"/>
        <v>0</v>
      </c>
      <c r="AC223" s="41" t="str">
        <f t="shared" si="236"/>
        <v/>
      </c>
      <c r="AD223" s="24">
        <f t="shared" si="237"/>
        <v>0</v>
      </c>
      <c r="AE223" s="41" t="str">
        <f t="shared" si="238"/>
        <v/>
      </c>
      <c r="AF223" s="24">
        <f t="shared" si="239"/>
        <v>0</v>
      </c>
      <c r="AG223" s="41" t="str">
        <f t="shared" si="240"/>
        <v/>
      </c>
      <c r="AH223" s="24">
        <f t="shared" si="241"/>
        <v>0</v>
      </c>
      <c r="AI223" s="41" t="str">
        <f t="shared" si="242"/>
        <v/>
      </c>
      <c r="AJ223" s="24">
        <f t="shared" si="243"/>
        <v>0</v>
      </c>
      <c r="AK223" s="41" t="str">
        <f t="shared" si="244"/>
        <v/>
      </c>
    </row>
    <row r="224" spans="6:37" x14ac:dyDescent="0.2">
      <c r="F224" s="527">
        <f t="shared" si="217"/>
        <v>0.265625</v>
      </c>
      <c r="G224" s="8">
        <v>2</v>
      </c>
      <c r="H224" s="305">
        <f t="shared" si="218"/>
        <v>34</v>
      </c>
      <c r="I224" s="37" t="str">
        <f t="shared" si="216"/>
        <v>2X;</v>
      </c>
      <c r="J224" s="38">
        <v>2</v>
      </c>
      <c r="K224" s="128">
        <f t="shared" si="219"/>
        <v>0.2361111111111111</v>
      </c>
      <c r="L224" s="39" t="str">
        <f>INDEX(powers!$H$2:$H$75,33+J224)</f>
        <v>gross</v>
      </c>
      <c r="M224" s="40" t="str">
        <f t="shared" si="220"/>
        <v>0</v>
      </c>
      <c r="N224" s="24">
        <f t="shared" si="221"/>
        <v>2.833333333333333</v>
      </c>
      <c r="O224" s="41" t="str">
        <f t="shared" si="222"/>
        <v>2</v>
      </c>
      <c r="P224" s="24">
        <f t="shared" si="223"/>
        <v>9.9999999999999964</v>
      </c>
      <c r="Q224" s="41" t="str">
        <f t="shared" si="224"/>
        <v>X</v>
      </c>
      <c r="R224" s="24">
        <f t="shared" si="225"/>
        <v>-4.2632564145606011E-14</v>
      </c>
      <c r="S224" s="41" t="str">
        <f t="shared" si="226"/>
        <v/>
      </c>
      <c r="T224" s="24">
        <f t="shared" si="227"/>
        <v>11.999999999999488</v>
      </c>
      <c r="U224" s="41" t="str">
        <f t="shared" si="228"/>
        <v/>
      </c>
      <c r="V224" s="24">
        <f t="shared" si="229"/>
        <v>11.999999999993861</v>
      </c>
      <c r="W224" s="41" t="str">
        <f t="shared" si="230"/>
        <v/>
      </c>
      <c r="X224" s="24">
        <f t="shared" si="231"/>
        <v>11.999999999926331</v>
      </c>
      <c r="Y224" s="41" t="str">
        <f t="shared" si="232"/>
        <v/>
      </c>
      <c r="Z224" s="24">
        <f t="shared" si="233"/>
        <v>11.999999999115971</v>
      </c>
      <c r="AA224" s="41" t="str">
        <f t="shared" si="234"/>
        <v/>
      </c>
      <c r="AB224" s="24">
        <f t="shared" si="235"/>
        <v>11.999999989391654</v>
      </c>
      <c r="AC224" s="41" t="str">
        <f t="shared" si="236"/>
        <v/>
      </c>
      <c r="AD224" s="24">
        <f t="shared" si="237"/>
        <v>11.999999872699846</v>
      </c>
      <c r="AE224" s="41" t="str">
        <f t="shared" si="238"/>
        <v/>
      </c>
      <c r="AF224" s="24">
        <f t="shared" si="239"/>
        <v>11.999998472398147</v>
      </c>
      <c r="AG224" s="41" t="str">
        <f t="shared" si="240"/>
        <v/>
      </c>
      <c r="AH224" s="24">
        <f t="shared" si="241"/>
        <v>11.999981668777764</v>
      </c>
      <c r="AI224" s="41" t="str">
        <f t="shared" si="242"/>
        <v/>
      </c>
      <c r="AJ224" s="24">
        <f t="shared" si="243"/>
        <v>11.999780025333166</v>
      </c>
      <c r="AK224" s="41" t="str">
        <f t="shared" si="244"/>
        <v/>
      </c>
    </row>
    <row r="225" spans="6:37" x14ac:dyDescent="0.2">
      <c r="F225" s="527">
        <f t="shared" si="217"/>
        <v>0.2734375</v>
      </c>
      <c r="G225" s="8">
        <v>2</v>
      </c>
      <c r="H225" s="305">
        <f t="shared" si="218"/>
        <v>35</v>
      </c>
      <c r="I225" s="37" t="str">
        <f t="shared" si="216"/>
        <v>2E;</v>
      </c>
      <c r="J225" s="38">
        <v>2</v>
      </c>
      <c r="K225" s="128">
        <f t="shared" si="219"/>
        <v>0.24305555555555555</v>
      </c>
      <c r="L225" s="39" t="str">
        <f>INDEX(powers!$H$2:$H$75,33+J225)</f>
        <v>gross</v>
      </c>
      <c r="M225" s="40" t="str">
        <f t="shared" si="220"/>
        <v>0</v>
      </c>
      <c r="N225" s="24">
        <f t="shared" si="221"/>
        <v>2.9166666666666665</v>
      </c>
      <c r="O225" s="41" t="str">
        <f t="shared" si="222"/>
        <v>2</v>
      </c>
      <c r="P225" s="24">
        <f t="shared" si="223"/>
        <v>10.999999999999998</v>
      </c>
      <c r="Q225" s="41" t="str">
        <f t="shared" si="224"/>
        <v>E</v>
      </c>
      <c r="R225" s="24">
        <f t="shared" si="225"/>
        <v>-2.1316282072803006E-14</v>
      </c>
      <c r="S225" s="41" t="str">
        <f t="shared" si="226"/>
        <v/>
      </c>
      <c r="T225" s="24">
        <f t="shared" si="227"/>
        <v>11.999999999999744</v>
      </c>
      <c r="U225" s="41" t="str">
        <f t="shared" si="228"/>
        <v/>
      </c>
      <c r="V225" s="24">
        <f t="shared" si="229"/>
        <v>11.99999999999693</v>
      </c>
      <c r="W225" s="41" t="str">
        <f t="shared" si="230"/>
        <v/>
      </c>
      <c r="X225" s="24">
        <f t="shared" si="231"/>
        <v>11.999999999963165</v>
      </c>
      <c r="Y225" s="41" t="str">
        <f t="shared" si="232"/>
        <v/>
      </c>
      <c r="Z225" s="24">
        <f t="shared" si="233"/>
        <v>11.999999999557986</v>
      </c>
      <c r="AA225" s="41" t="str">
        <f t="shared" si="234"/>
        <v/>
      </c>
      <c r="AB225" s="24">
        <f t="shared" si="235"/>
        <v>11.999999994695827</v>
      </c>
      <c r="AC225" s="41" t="str">
        <f t="shared" si="236"/>
        <v/>
      </c>
      <c r="AD225" s="24">
        <f t="shared" si="237"/>
        <v>11.999999936349923</v>
      </c>
      <c r="AE225" s="41" t="str">
        <f t="shared" si="238"/>
        <v/>
      </c>
      <c r="AF225" s="24">
        <f t="shared" si="239"/>
        <v>11.999999236199073</v>
      </c>
      <c r="AG225" s="41" t="str">
        <f t="shared" si="240"/>
        <v/>
      </c>
      <c r="AH225" s="24">
        <f t="shared" si="241"/>
        <v>11.999990834388882</v>
      </c>
      <c r="AI225" s="41" t="str">
        <f t="shared" si="242"/>
        <v/>
      </c>
      <c r="AJ225" s="24">
        <f t="shared" si="243"/>
        <v>11.999890012666583</v>
      </c>
      <c r="AK225" s="41" t="str">
        <f t="shared" si="244"/>
        <v/>
      </c>
    </row>
    <row r="226" spans="6:37" x14ac:dyDescent="0.2">
      <c r="F226" s="527">
        <f t="shared" si="217"/>
        <v>0.28125</v>
      </c>
      <c r="G226" s="8">
        <v>2</v>
      </c>
      <c r="H226" s="305">
        <f t="shared" si="218"/>
        <v>36</v>
      </c>
      <c r="I226" s="37" t="str">
        <f t="shared" si="216"/>
        <v>30;</v>
      </c>
      <c r="J226" s="38">
        <v>2</v>
      </c>
      <c r="K226" s="128">
        <f t="shared" si="219"/>
        <v>0.25</v>
      </c>
      <c r="L226" s="39" t="str">
        <f>INDEX(powers!$H$2:$H$75,33+J226)</f>
        <v>gross</v>
      </c>
      <c r="M226" s="40" t="str">
        <f t="shared" si="220"/>
        <v>0</v>
      </c>
      <c r="N226" s="24">
        <f t="shared" si="221"/>
        <v>3</v>
      </c>
      <c r="O226" s="41" t="str">
        <f t="shared" si="222"/>
        <v>3</v>
      </c>
      <c r="P226" s="24">
        <f t="shared" si="223"/>
        <v>0</v>
      </c>
      <c r="Q226" s="41" t="str">
        <f t="shared" si="224"/>
        <v>0</v>
      </c>
      <c r="R226" s="24">
        <f t="shared" si="225"/>
        <v>0</v>
      </c>
      <c r="S226" s="41" t="str">
        <f t="shared" si="226"/>
        <v/>
      </c>
      <c r="T226" s="24">
        <f t="shared" si="227"/>
        <v>0</v>
      </c>
      <c r="U226" s="41" t="str">
        <f t="shared" si="228"/>
        <v/>
      </c>
      <c r="V226" s="24">
        <f t="shared" si="229"/>
        <v>0</v>
      </c>
      <c r="W226" s="41" t="str">
        <f t="shared" si="230"/>
        <v/>
      </c>
      <c r="X226" s="24">
        <f t="shared" si="231"/>
        <v>0</v>
      </c>
      <c r="Y226" s="41" t="str">
        <f t="shared" si="232"/>
        <v/>
      </c>
      <c r="Z226" s="24">
        <f t="shared" si="233"/>
        <v>0</v>
      </c>
      <c r="AA226" s="41" t="str">
        <f t="shared" si="234"/>
        <v/>
      </c>
      <c r="AB226" s="24">
        <f t="shared" si="235"/>
        <v>0</v>
      </c>
      <c r="AC226" s="41" t="str">
        <f t="shared" si="236"/>
        <v/>
      </c>
      <c r="AD226" s="24">
        <f t="shared" si="237"/>
        <v>0</v>
      </c>
      <c r="AE226" s="41" t="str">
        <f t="shared" si="238"/>
        <v/>
      </c>
      <c r="AF226" s="24">
        <f t="shared" si="239"/>
        <v>0</v>
      </c>
      <c r="AG226" s="41" t="str">
        <f t="shared" si="240"/>
        <v/>
      </c>
      <c r="AH226" s="24">
        <f t="shared" si="241"/>
        <v>0</v>
      </c>
      <c r="AI226" s="41" t="str">
        <f t="shared" si="242"/>
        <v/>
      </c>
      <c r="AJ226" s="24">
        <f t="shared" si="243"/>
        <v>0</v>
      </c>
      <c r="AK226" s="41" t="str">
        <f t="shared" si="244"/>
        <v/>
      </c>
    </row>
    <row r="227" spans="6:37" x14ac:dyDescent="0.2">
      <c r="F227" s="527">
        <f t="shared" si="217"/>
        <v>0.2890625</v>
      </c>
      <c r="G227" s="8">
        <v>2</v>
      </c>
      <c r="H227" s="305">
        <f t="shared" si="218"/>
        <v>37</v>
      </c>
      <c r="I227" s="37" t="str">
        <f t="shared" si="216"/>
        <v>31;</v>
      </c>
      <c r="J227" s="38">
        <v>2</v>
      </c>
      <c r="K227" s="128">
        <f t="shared" si="219"/>
        <v>0.25694444444444442</v>
      </c>
      <c r="L227" s="39" t="str">
        <f>INDEX(powers!$H$2:$H$75,33+J227)</f>
        <v>gross</v>
      </c>
      <c r="M227" s="40" t="str">
        <f t="shared" si="220"/>
        <v>0</v>
      </c>
      <c r="N227" s="24">
        <f t="shared" si="221"/>
        <v>3.083333333333333</v>
      </c>
      <c r="O227" s="41" t="str">
        <f t="shared" si="222"/>
        <v>3</v>
      </c>
      <c r="P227" s="24">
        <f t="shared" si="223"/>
        <v>0.99999999999999645</v>
      </c>
      <c r="Q227" s="41" t="str">
        <f t="shared" si="224"/>
        <v>1</v>
      </c>
      <c r="R227" s="24">
        <f t="shared" si="225"/>
        <v>11.999999999999957</v>
      </c>
      <c r="S227" s="41" t="str">
        <f t="shared" si="226"/>
        <v/>
      </c>
      <c r="T227" s="24">
        <f t="shared" si="227"/>
        <v>-5.1159076974727213E-13</v>
      </c>
      <c r="U227" s="41" t="str">
        <f t="shared" si="228"/>
        <v/>
      </c>
      <c r="V227" s="24">
        <f t="shared" si="229"/>
        <v>11.999999999993861</v>
      </c>
      <c r="W227" s="41" t="str">
        <f t="shared" si="230"/>
        <v/>
      </c>
      <c r="X227" s="24">
        <f t="shared" si="231"/>
        <v>11.999999999926331</v>
      </c>
      <c r="Y227" s="41" t="str">
        <f t="shared" si="232"/>
        <v/>
      </c>
      <c r="Z227" s="24">
        <f t="shared" si="233"/>
        <v>11.999999999115971</v>
      </c>
      <c r="AA227" s="41" t="str">
        <f t="shared" si="234"/>
        <v/>
      </c>
      <c r="AB227" s="24">
        <f t="shared" si="235"/>
        <v>11.999999989391654</v>
      </c>
      <c r="AC227" s="41" t="str">
        <f t="shared" si="236"/>
        <v/>
      </c>
      <c r="AD227" s="24">
        <f t="shared" si="237"/>
        <v>11.999999872699846</v>
      </c>
      <c r="AE227" s="41" t="str">
        <f t="shared" si="238"/>
        <v/>
      </c>
      <c r="AF227" s="24">
        <f t="shared" si="239"/>
        <v>11.999998472398147</v>
      </c>
      <c r="AG227" s="41" t="str">
        <f t="shared" si="240"/>
        <v/>
      </c>
      <c r="AH227" s="24">
        <f t="shared" si="241"/>
        <v>11.999981668777764</v>
      </c>
      <c r="AI227" s="41" t="str">
        <f t="shared" si="242"/>
        <v/>
      </c>
      <c r="AJ227" s="24">
        <f t="shared" si="243"/>
        <v>11.999780025333166</v>
      </c>
      <c r="AK227" s="41" t="str">
        <f t="shared" si="244"/>
        <v/>
      </c>
    </row>
    <row r="228" spans="6:37" x14ac:dyDescent="0.2">
      <c r="F228" s="527">
        <f t="shared" si="217"/>
        <v>0.296875</v>
      </c>
      <c r="G228" s="8">
        <v>2</v>
      </c>
      <c r="H228" s="305">
        <f t="shared" si="218"/>
        <v>38</v>
      </c>
      <c r="I228" s="37" t="str">
        <f t="shared" si="216"/>
        <v>32;</v>
      </c>
      <c r="J228" s="38">
        <v>2</v>
      </c>
      <c r="K228" s="128">
        <f t="shared" si="219"/>
        <v>0.2638888888888889</v>
      </c>
      <c r="L228" s="39" t="str">
        <f>INDEX(powers!$H$2:$H$75,33+J228)</f>
        <v>gross</v>
      </c>
      <c r="M228" s="40" t="str">
        <f t="shared" si="220"/>
        <v>0</v>
      </c>
      <c r="N228" s="24">
        <f t="shared" si="221"/>
        <v>3.166666666666667</v>
      </c>
      <c r="O228" s="41" t="str">
        <f t="shared" si="222"/>
        <v>3</v>
      </c>
      <c r="P228" s="24">
        <f t="shared" si="223"/>
        <v>2.0000000000000036</v>
      </c>
      <c r="Q228" s="41" t="str">
        <f t="shared" si="224"/>
        <v>2</v>
      </c>
      <c r="R228" s="24">
        <f t="shared" si="225"/>
        <v>4.2632564145606011E-14</v>
      </c>
      <c r="S228" s="41" t="str">
        <f t="shared" si="226"/>
        <v/>
      </c>
      <c r="T228" s="24">
        <f t="shared" si="227"/>
        <v>5.1159076974727213E-13</v>
      </c>
      <c r="U228" s="41" t="str">
        <f t="shared" si="228"/>
        <v/>
      </c>
      <c r="V228" s="24">
        <f t="shared" si="229"/>
        <v>6.1390892369672656E-12</v>
      </c>
      <c r="W228" s="41" t="str">
        <f t="shared" si="230"/>
        <v/>
      </c>
      <c r="X228" s="24">
        <f t="shared" si="231"/>
        <v>7.3669070843607187E-11</v>
      </c>
      <c r="Y228" s="41" t="str">
        <f t="shared" si="232"/>
        <v/>
      </c>
      <c r="Z228" s="24">
        <f t="shared" si="233"/>
        <v>8.8402885012328625E-10</v>
      </c>
      <c r="AA228" s="41" t="str">
        <f t="shared" si="234"/>
        <v/>
      </c>
      <c r="AB228" s="24">
        <f t="shared" si="235"/>
        <v>1.0608346201479435E-8</v>
      </c>
      <c r="AC228" s="41" t="str">
        <f t="shared" si="236"/>
        <v/>
      </c>
      <c r="AD228" s="24">
        <f t="shared" si="237"/>
        <v>1.2730015441775322E-7</v>
      </c>
      <c r="AE228" s="41" t="str">
        <f t="shared" si="238"/>
        <v/>
      </c>
      <c r="AF228" s="24">
        <f t="shared" si="239"/>
        <v>1.5276018530130386E-6</v>
      </c>
      <c r="AG228" s="41" t="str">
        <f t="shared" si="240"/>
        <v/>
      </c>
      <c r="AH228" s="24">
        <f t="shared" si="241"/>
        <v>1.8331222236156464E-5</v>
      </c>
      <c r="AI228" s="41" t="str">
        <f t="shared" si="242"/>
        <v/>
      </c>
      <c r="AJ228" s="24">
        <f t="shared" si="243"/>
        <v>2.1997466683387756E-4</v>
      </c>
      <c r="AK228" s="41" t="str">
        <f t="shared" si="244"/>
        <v/>
      </c>
    </row>
    <row r="229" spans="6:37" x14ac:dyDescent="0.2">
      <c r="F229" s="527">
        <f t="shared" si="217"/>
        <v>0.3046875</v>
      </c>
      <c r="G229" s="8">
        <v>2</v>
      </c>
      <c r="H229" s="305">
        <f t="shared" si="218"/>
        <v>39</v>
      </c>
      <c r="I229" s="37" t="str">
        <f t="shared" si="216"/>
        <v>33;</v>
      </c>
      <c r="J229" s="38">
        <v>2</v>
      </c>
      <c r="K229" s="128">
        <f t="shared" si="219"/>
        <v>0.27083333333333331</v>
      </c>
      <c r="L229" s="39" t="str">
        <f>INDEX(powers!$H$2:$H$75,33+J229)</f>
        <v>gross</v>
      </c>
      <c r="M229" s="40" t="str">
        <f t="shared" si="220"/>
        <v>0</v>
      </c>
      <c r="N229" s="24">
        <f t="shared" si="221"/>
        <v>3.25</v>
      </c>
      <c r="O229" s="41" t="str">
        <f t="shared" si="222"/>
        <v>3</v>
      </c>
      <c r="P229" s="24">
        <f t="shared" si="223"/>
        <v>3</v>
      </c>
      <c r="Q229" s="41" t="str">
        <f t="shared" si="224"/>
        <v>3</v>
      </c>
      <c r="R229" s="24">
        <f t="shared" si="225"/>
        <v>0</v>
      </c>
      <c r="S229" s="41" t="str">
        <f t="shared" si="226"/>
        <v/>
      </c>
      <c r="T229" s="24">
        <f t="shared" si="227"/>
        <v>0</v>
      </c>
      <c r="U229" s="41" t="str">
        <f t="shared" si="228"/>
        <v/>
      </c>
      <c r="V229" s="24">
        <f t="shared" si="229"/>
        <v>0</v>
      </c>
      <c r="W229" s="41" t="str">
        <f t="shared" si="230"/>
        <v/>
      </c>
      <c r="X229" s="24">
        <f t="shared" si="231"/>
        <v>0</v>
      </c>
      <c r="Y229" s="41" t="str">
        <f t="shared" si="232"/>
        <v/>
      </c>
      <c r="Z229" s="24">
        <f t="shared" si="233"/>
        <v>0</v>
      </c>
      <c r="AA229" s="41" t="str">
        <f t="shared" si="234"/>
        <v/>
      </c>
      <c r="AB229" s="24">
        <f t="shared" si="235"/>
        <v>0</v>
      </c>
      <c r="AC229" s="41" t="str">
        <f t="shared" si="236"/>
        <v/>
      </c>
      <c r="AD229" s="24">
        <f t="shared" si="237"/>
        <v>0</v>
      </c>
      <c r="AE229" s="41" t="str">
        <f t="shared" si="238"/>
        <v/>
      </c>
      <c r="AF229" s="24">
        <f t="shared" si="239"/>
        <v>0</v>
      </c>
      <c r="AG229" s="41" t="str">
        <f t="shared" si="240"/>
        <v/>
      </c>
      <c r="AH229" s="24">
        <f t="shared" si="241"/>
        <v>0</v>
      </c>
      <c r="AI229" s="41" t="str">
        <f t="shared" si="242"/>
        <v/>
      </c>
      <c r="AJ229" s="24">
        <f t="shared" si="243"/>
        <v>0</v>
      </c>
      <c r="AK229" s="41" t="str">
        <f t="shared" si="244"/>
        <v/>
      </c>
    </row>
    <row r="230" spans="6:37" x14ac:dyDescent="0.2">
      <c r="F230" s="527">
        <f t="shared" si="217"/>
        <v>0.3125</v>
      </c>
      <c r="G230" s="8">
        <v>2</v>
      </c>
      <c r="H230" s="305">
        <f t="shared" si="218"/>
        <v>40</v>
      </c>
      <c r="I230" s="37" t="str">
        <f t="shared" si="216"/>
        <v>34;</v>
      </c>
      <c r="J230" s="38">
        <v>2</v>
      </c>
      <c r="K230" s="128">
        <f t="shared" si="219"/>
        <v>0.27777777777777779</v>
      </c>
      <c r="L230" s="39" t="str">
        <f>INDEX(powers!$H$2:$H$75,33+J230)</f>
        <v>gross</v>
      </c>
      <c r="M230" s="40" t="str">
        <f t="shared" si="220"/>
        <v>0</v>
      </c>
      <c r="N230" s="24">
        <f t="shared" si="221"/>
        <v>3.3333333333333335</v>
      </c>
      <c r="O230" s="41" t="str">
        <f t="shared" si="222"/>
        <v>3</v>
      </c>
      <c r="P230" s="24">
        <f t="shared" si="223"/>
        <v>4.0000000000000018</v>
      </c>
      <c r="Q230" s="41" t="str">
        <f t="shared" si="224"/>
        <v>4</v>
      </c>
      <c r="R230" s="24">
        <f t="shared" si="225"/>
        <v>2.1316282072803006E-14</v>
      </c>
      <c r="S230" s="41" t="str">
        <f t="shared" si="226"/>
        <v/>
      </c>
      <c r="T230" s="24">
        <f t="shared" si="227"/>
        <v>2.5579538487363607E-13</v>
      </c>
      <c r="U230" s="41" t="str">
        <f t="shared" si="228"/>
        <v/>
      </c>
      <c r="V230" s="24">
        <f t="shared" si="229"/>
        <v>3.0695446184836328E-12</v>
      </c>
      <c r="W230" s="41" t="str">
        <f t="shared" si="230"/>
        <v/>
      </c>
      <c r="X230" s="24">
        <f t="shared" si="231"/>
        <v>3.6834535421803594E-11</v>
      </c>
      <c r="Y230" s="41" t="str">
        <f t="shared" si="232"/>
        <v/>
      </c>
      <c r="Z230" s="24">
        <f t="shared" si="233"/>
        <v>4.4201442506164312E-10</v>
      </c>
      <c r="AA230" s="41" t="str">
        <f t="shared" si="234"/>
        <v/>
      </c>
      <c r="AB230" s="24">
        <f t="shared" si="235"/>
        <v>5.3041731007397175E-9</v>
      </c>
      <c r="AC230" s="41" t="str">
        <f t="shared" si="236"/>
        <v/>
      </c>
      <c r="AD230" s="24">
        <f t="shared" si="237"/>
        <v>6.365007720887661E-8</v>
      </c>
      <c r="AE230" s="41" t="str">
        <f t="shared" si="238"/>
        <v/>
      </c>
      <c r="AF230" s="24">
        <f t="shared" si="239"/>
        <v>7.6380092650651932E-7</v>
      </c>
      <c r="AG230" s="41" t="str">
        <f t="shared" si="240"/>
        <v/>
      </c>
      <c r="AH230" s="24">
        <f t="shared" si="241"/>
        <v>9.1656111180782318E-6</v>
      </c>
      <c r="AI230" s="41" t="str">
        <f t="shared" si="242"/>
        <v/>
      </c>
      <c r="AJ230" s="24">
        <f t="shared" si="243"/>
        <v>1.0998733341693878E-4</v>
      </c>
      <c r="AK230" s="41" t="str">
        <f t="shared" si="244"/>
        <v/>
      </c>
    </row>
    <row r="231" spans="6:37" x14ac:dyDescent="0.2">
      <c r="F231" s="527">
        <f t="shared" si="217"/>
        <v>0.3203125</v>
      </c>
      <c r="G231" s="8">
        <v>2</v>
      </c>
      <c r="H231" s="305">
        <f t="shared" si="218"/>
        <v>41</v>
      </c>
      <c r="I231" s="37" t="str">
        <f t="shared" si="216"/>
        <v>35;</v>
      </c>
      <c r="J231" s="38">
        <v>2</v>
      </c>
      <c r="K231" s="128">
        <f t="shared" si="219"/>
        <v>0.28472222222222221</v>
      </c>
      <c r="L231" s="39" t="str">
        <f>INDEX(powers!$H$2:$H$75,33+J231)</f>
        <v>gross</v>
      </c>
      <c r="M231" s="40" t="str">
        <f t="shared" si="220"/>
        <v>0</v>
      </c>
      <c r="N231" s="24">
        <f t="shared" si="221"/>
        <v>3.4166666666666665</v>
      </c>
      <c r="O231" s="41" t="str">
        <f t="shared" si="222"/>
        <v>3</v>
      </c>
      <c r="P231" s="24">
        <f t="shared" si="223"/>
        <v>4.9999999999999982</v>
      </c>
      <c r="Q231" s="41" t="str">
        <f t="shared" si="224"/>
        <v>5</v>
      </c>
      <c r="R231" s="24">
        <f t="shared" si="225"/>
        <v>-2.1316282072803006E-14</v>
      </c>
      <c r="S231" s="41" t="str">
        <f t="shared" si="226"/>
        <v/>
      </c>
      <c r="T231" s="24">
        <f t="shared" si="227"/>
        <v>11.999999999999744</v>
      </c>
      <c r="U231" s="41" t="str">
        <f t="shared" si="228"/>
        <v/>
      </c>
      <c r="V231" s="24">
        <f t="shared" si="229"/>
        <v>11.99999999999693</v>
      </c>
      <c r="W231" s="41" t="str">
        <f t="shared" si="230"/>
        <v/>
      </c>
      <c r="X231" s="24">
        <f t="shared" si="231"/>
        <v>11.999999999963165</v>
      </c>
      <c r="Y231" s="41" t="str">
        <f t="shared" si="232"/>
        <v/>
      </c>
      <c r="Z231" s="24">
        <f t="shared" si="233"/>
        <v>11.999999999557986</v>
      </c>
      <c r="AA231" s="41" t="str">
        <f t="shared" si="234"/>
        <v/>
      </c>
      <c r="AB231" s="24">
        <f t="shared" si="235"/>
        <v>11.999999994695827</v>
      </c>
      <c r="AC231" s="41" t="str">
        <f t="shared" si="236"/>
        <v/>
      </c>
      <c r="AD231" s="24">
        <f t="shared" si="237"/>
        <v>11.999999936349923</v>
      </c>
      <c r="AE231" s="41" t="str">
        <f t="shared" si="238"/>
        <v/>
      </c>
      <c r="AF231" s="24">
        <f t="shared" si="239"/>
        <v>11.999999236199073</v>
      </c>
      <c r="AG231" s="41" t="str">
        <f t="shared" si="240"/>
        <v/>
      </c>
      <c r="AH231" s="24">
        <f t="shared" si="241"/>
        <v>11.999990834388882</v>
      </c>
      <c r="AI231" s="41" t="str">
        <f t="shared" si="242"/>
        <v/>
      </c>
      <c r="AJ231" s="24">
        <f t="shared" si="243"/>
        <v>11.999890012666583</v>
      </c>
      <c r="AK231" s="41" t="str">
        <f t="shared" si="244"/>
        <v/>
      </c>
    </row>
    <row r="232" spans="6:37" x14ac:dyDescent="0.2">
      <c r="F232" s="527">
        <f t="shared" si="217"/>
        <v>0.328125</v>
      </c>
      <c r="G232" s="8">
        <v>2</v>
      </c>
      <c r="H232" s="305">
        <f t="shared" si="218"/>
        <v>42</v>
      </c>
      <c r="I232" s="37" t="str">
        <f t="shared" si="216"/>
        <v>36;</v>
      </c>
      <c r="J232" s="38">
        <v>2</v>
      </c>
      <c r="K232" s="128">
        <f t="shared" si="219"/>
        <v>0.29166666666666669</v>
      </c>
      <c r="L232" s="39" t="str">
        <f>INDEX(powers!$H$2:$H$75,33+J232)</f>
        <v>gross</v>
      </c>
      <c r="M232" s="40" t="str">
        <f t="shared" si="220"/>
        <v>0</v>
      </c>
      <c r="N232" s="24">
        <f t="shared" si="221"/>
        <v>3.5</v>
      </c>
      <c r="O232" s="41" t="str">
        <f t="shared" si="222"/>
        <v>3</v>
      </c>
      <c r="P232" s="24">
        <f t="shared" si="223"/>
        <v>6</v>
      </c>
      <c r="Q232" s="41" t="str">
        <f t="shared" si="224"/>
        <v>6</v>
      </c>
      <c r="R232" s="24">
        <f t="shared" si="225"/>
        <v>0</v>
      </c>
      <c r="S232" s="41" t="str">
        <f t="shared" si="226"/>
        <v/>
      </c>
      <c r="T232" s="24">
        <f t="shared" si="227"/>
        <v>0</v>
      </c>
      <c r="U232" s="41" t="str">
        <f t="shared" si="228"/>
        <v/>
      </c>
      <c r="V232" s="24">
        <f t="shared" si="229"/>
        <v>0</v>
      </c>
      <c r="W232" s="41" t="str">
        <f t="shared" si="230"/>
        <v/>
      </c>
      <c r="X232" s="24">
        <f t="shared" si="231"/>
        <v>0</v>
      </c>
      <c r="Y232" s="41" t="str">
        <f t="shared" si="232"/>
        <v/>
      </c>
      <c r="Z232" s="24">
        <f t="shared" si="233"/>
        <v>0</v>
      </c>
      <c r="AA232" s="41" t="str">
        <f t="shared" si="234"/>
        <v/>
      </c>
      <c r="AB232" s="24">
        <f t="shared" si="235"/>
        <v>0</v>
      </c>
      <c r="AC232" s="41" t="str">
        <f t="shared" si="236"/>
        <v/>
      </c>
      <c r="AD232" s="24">
        <f t="shared" si="237"/>
        <v>0</v>
      </c>
      <c r="AE232" s="41" t="str">
        <f t="shared" si="238"/>
        <v/>
      </c>
      <c r="AF232" s="24">
        <f t="shared" si="239"/>
        <v>0</v>
      </c>
      <c r="AG232" s="41" t="str">
        <f t="shared" si="240"/>
        <v/>
      </c>
      <c r="AH232" s="24">
        <f t="shared" si="241"/>
        <v>0</v>
      </c>
      <c r="AI232" s="41" t="str">
        <f t="shared" si="242"/>
        <v/>
      </c>
      <c r="AJ232" s="24">
        <f t="shared" si="243"/>
        <v>0</v>
      </c>
      <c r="AK232" s="41" t="str">
        <f t="shared" si="244"/>
        <v/>
      </c>
    </row>
    <row r="233" spans="6:37" x14ac:dyDescent="0.2">
      <c r="F233" s="527">
        <f t="shared" si="217"/>
        <v>0.3359375</v>
      </c>
      <c r="G233" s="8">
        <v>2</v>
      </c>
      <c r="H233" s="305">
        <f t="shared" si="218"/>
        <v>43</v>
      </c>
      <c r="I233" s="37" t="str">
        <f t="shared" si="216"/>
        <v>37;</v>
      </c>
      <c r="J233" s="38">
        <v>2</v>
      </c>
      <c r="K233" s="128">
        <f t="shared" si="219"/>
        <v>0.2986111111111111</v>
      </c>
      <c r="L233" s="39" t="str">
        <f>INDEX(powers!$H$2:$H$75,33+J233)</f>
        <v>gross</v>
      </c>
      <c r="M233" s="40" t="str">
        <f t="shared" si="220"/>
        <v>0</v>
      </c>
      <c r="N233" s="24">
        <f t="shared" si="221"/>
        <v>3.583333333333333</v>
      </c>
      <c r="O233" s="41" t="str">
        <f t="shared" si="222"/>
        <v>3</v>
      </c>
      <c r="P233" s="24">
        <f t="shared" si="223"/>
        <v>6.9999999999999964</v>
      </c>
      <c r="Q233" s="41" t="str">
        <f t="shared" si="224"/>
        <v>7</v>
      </c>
      <c r="R233" s="24">
        <f t="shared" si="225"/>
        <v>-4.2632564145606011E-14</v>
      </c>
      <c r="S233" s="41" t="str">
        <f t="shared" si="226"/>
        <v/>
      </c>
      <c r="T233" s="24">
        <f t="shared" si="227"/>
        <v>11.999999999999488</v>
      </c>
      <c r="U233" s="41" t="str">
        <f t="shared" si="228"/>
        <v/>
      </c>
      <c r="V233" s="24">
        <f t="shared" si="229"/>
        <v>11.999999999993861</v>
      </c>
      <c r="W233" s="41" t="str">
        <f t="shared" si="230"/>
        <v/>
      </c>
      <c r="X233" s="24">
        <f t="shared" si="231"/>
        <v>11.999999999926331</v>
      </c>
      <c r="Y233" s="41" t="str">
        <f t="shared" si="232"/>
        <v/>
      </c>
      <c r="Z233" s="24">
        <f t="shared" si="233"/>
        <v>11.999999999115971</v>
      </c>
      <c r="AA233" s="41" t="str">
        <f t="shared" si="234"/>
        <v/>
      </c>
      <c r="AB233" s="24">
        <f t="shared" si="235"/>
        <v>11.999999989391654</v>
      </c>
      <c r="AC233" s="41" t="str">
        <f t="shared" si="236"/>
        <v/>
      </c>
      <c r="AD233" s="24">
        <f t="shared" si="237"/>
        <v>11.999999872699846</v>
      </c>
      <c r="AE233" s="41" t="str">
        <f t="shared" si="238"/>
        <v/>
      </c>
      <c r="AF233" s="24">
        <f t="shared" si="239"/>
        <v>11.999998472398147</v>
      </c>
      <c r="AG233" s="41" t="str">
        <f t="shared" si="240"/>
        <v/>
      </c>
      <c r="AH233" s="24">
        <f t="shared" si="241"/>
        <v>11.999981668777764</v>
      </c>
      <c r="AI233" s="41" t="str">
        <f t="shared" si="242"/>
        <v/>
      </c>
      <c r="AJ233" s="24">
        <f t="shared" si="243"/>
        <v>11.999780025333166</v>
      </c>
      <c r="AK233" s="41" t="str">
        <f t="shared" si="244"/>
        <v/>
      </c>
    </row>
    <row r="234" spans="6:37" x14ac:dyDescent="0.2">
      <c r="F234" s="527">
        <f t="shared" si="217"/>
        <v>0.34375</v>
      </c>
      <c r="G234" s="8">
        <v>2</v>
      </c>
      <c r="H234" s="305">
        <f t="shared" si="218"/>
        <v>44</v>
      </c>
      <c r="I234" s="37" t="str">
        <f t="shared" si="216"/>
        <v>38;</v>
      </c>
      <c r="J234" s="38">
        <v>2</v>
      </c>
      <c r="K234" s="128">
        <f t="shared" si="219"/>
        <v>0.30555555555555558</v>
      </c>
      <c r="L234" s="39" t="str">
        <f>INDEX(powers!$H$2:$H$75,33+J234)</f>
        <v>gross</v>
      </c>
      <c r="M234" s="40" t="str">
        <f t="shared" si="220"/>
        <v>0</v>
      </c>
      <c r="N234" s="24">
        <f t="shared" si="221"/>
        <v>3.666666666666667</v>
      </c>
      <c r="O234" s="41" t="str">
        <f t="shared" si="222"/>
        <v>3</v>
      </c>
      <c r="P234" s="24">
        <f t="shared" si="223"/>
        <v>8.0000000000000036</v>
      </c>
      <c r="Q234" s="41" t="str">
        <f t="shared" si="224"/>
        <v>8</v>
      </c>
      <c r="R234" s="24">
        <f t="shared" si="225"/>
        <v>4.2632564145606011E-14</v>
      </c>
      <c r="S234" s="41" t="str">
        <f t="shared" si="226"/>
        <v/>
      </c>
      <c r="T234" s="24">
        <f t="shared" si="227"/>
        <v>5.1159076974727213E-13</v>
      </c>
      <c r="U234" s="41" t="str">
        <f t="shared" si="228"/>
        <v/>
      </c>
      <c r="V234" s="24">
        <f t="shared" si="229"/>
        <v>6.1390892369672656E-12</v>
      </c>
      <c r="W234" s="41" t="str">
        <f t="shared" si="230"/>
        <v/>
      </c>
      <c r="X234" s="24">
        <f t="shared" si="231"/>
        <v>7.3669070843607187E-11</v>
      </c>
      <c r="Y234" s="41" t="str">
        <f t="shared" si="232"/>
        <v/>
      </c>
      <c r="Z234" s="24">
        <f t="shared" si="233"/>
        <v>8.8402885012328625E-10</v>
      </c>
      <c r="AA234" s="41" t="str">
        <f t="shared" si="234"/>
        <v/>
      </c>
      <c r="AB234" s="24">
        <f t="shared" si="235"/>
        <v>1.0608346201479435E-8</v>
      </c>
      <c r="AC234" s="41" t="str">
        <f t="shared" si="236"/>
        <v/>
      </c>
      <c r="AD234" s="24">
        <f t="shared" si="237"/>
        <v>1.2730015441775322E-7</v>
      </c>
      <c r="AE234" s="41" t="str">
        <f t="shared" si="238"/>
        <v/>
      </c>
      <c r="AF234" s="24">
        <f t="shared" si="239"/>
        <v>1.5276018530130386E-6</v>
      </c>
      <c r="AG234" s="41" t="str">
        <f t="shared" si="240"/>
        <v/>
      </c>
      <c r="AH234" s="24">
        <f t="shared" si="241"/>
        <v>1.8331222236156464E-5</v>
      </c>
      <c r="AI234" s="41" t="str">
        <f t="shared" si="242"/>
        <v/>
      </c>
      <c r="AJ234" s="24">
        <f t="shared" si="243"/>
        <v>2.1997466683387756E-4</v>
      </c>
      <c r="AK234" s="41" t="str">
        <f t="shared" si="244"/>
        <v/>
      </c>
    </row>
    <row r="235" spans="6:37" x14ac:dyDescent="0.2">
      <c r="F235" s="527">
        <f t="shared" si="217"/>
        <v>0.3515625</v>
      </c>
      <c r="G235" s="8">
        <v>2</v>
      </c>
      <c r="H235" s="305">
        <f t="shared" si="218"/>
        <v>45</v>
      </c>
      <c r="I235" s="37" t="str">
        <f t="shared" si="216"/>
        <v>39;</v>
      </c>
      <c r="J235" s="38">
        <v>2</v>
      </c>
      <c r="K235" s="128">
        <f t="shared" si="219"/>
        <v>0.3125</v>
      </c>
      <c r="L235" s="39" t="str">
        <f>INDEX(powers!$H$2:$H$75,33+J235)</f>
        <v>gross</v>
      </c>
      <c r="M235" s="40" t="str">
        <f t="shared" si="220"/>
        <v>0</v>
      </c>
      <c r="N235" s="24">
        <f t="shared" si="221"/>
        <v>3.75</v>
      </c>
      <c r="O235" s="41" t="str">
        <f t="shared" si="222"/>
        <v>3</v>
      </c>
      <c r="P235" s="24">
        <f t="shared" si="223"/>
        <v>9</v>
      </c>
      <c r="Q235" s="41" t="str">
        <f t="shared" si="224"/>
        <v>9</v>
      </c>
      <c r="R235" s="24">
        <f t="shared" si="225"/>
        <v>0</v>
      </c>
      <c r="S235" s="41" t="str">
        <f t="shared" si="226"/>
        <v/>
      </c>
      <c r="T235" s="24">
        <f t="shared" si="227"/>
        <v>0</v>
      </c>
      <c r="U235" s="41" t="str">
        <f t="shared" si="228"/>
        <v/>
      </c>
      <c r="V235" s="24">
        <f t="shared" si="229"/>
        <v>0</v>
      </c>
      <c r="W235" s="41" t="str">
        <f t="shared" si="230"/>
        <v/>
      </c>
      <c r="X235" s="24">
        <f t="shared" si="231"/>
        <v>0</v>
      </c>
      <c r="Y235" s="41" t="str">
        <f t="shared" si="232"/>
        <v/>
      </c>
      <c r="Z235" s="24">
        <f t="shared" si="233"/>
        <v>0</v>
      </c>
      <c r="AA235" s="41" t="str">
        <f t="shared" si="234"/>
        <v/>
      </c>
      <c r="AB235" s="24">
        <f t="shared" si="235"/>
        <v>0</v>
      </c>
      <c r="AC235" s="41" t="str">
        <f t="shared" si="236"/>
        <v/>
      </c>
      <c r="AD235" s="24">
        <f t="shared" si="237"/>
        <v>0</v>
      </c>
      <c r="AE235" s="41" t="str">
        <f t="shared" si="238"/>
        <v/>
      </c>
      <c r="AF235" s="24">
        <f t="shared" si="239"/>
        <v>0</v>
      </c>
      <c r="AG235" s="41" t="str">
        <f t="shared" si="240"/>
        <v/>
      </c>
      <c r="AH235" s="24">
        <f t="shared" si="241"/>
        <v>0</v>
      </c>
      <c r="AI235" s="41" t="str">
        <f t="shared" si="242"/>
        <v/>
      </c>
      <c r="AJ235" s="24">
        <f t="shared" si="243"/>
        <v>0</v>
      </c>
      <c r="AK235" s="41" t="str">
        <f t="shared" si="244"/>
        <v/>
      </c>
    </row>
    <row r="236" spans="6:37" x14ac:dyDescent="0.2">
      <c r="F236" s="527">
        <f t="shared" si="217"/>
        <v>0.359375</v>
      </c>
      <c r="G236" s="8">
        <v>2</v>
      </c>
      <c r="H236" s="305">
        <f t="shared" si="218"/>
        <v>46</v>
      </c>
      <c r="I236" s="37" t="str">
        <f t="shared" si="216"/>
        <v>3X;</v>
      </c>
      <c r="J236" s="38">
        <v>2</v>
      </c>
      <c r="K236" s="128">
        <f t="shared" si="219"/>
        <v>0.31944444444444442</v>
      </c>
      <c r="L236" s="39" t="str">
        <f>INDEX(powers!$H$2:$H$75,33+J236)</f>
        <v>gross</v>
      </c>
      <c r="M236" s="40" t="str">
        <f t="shared" si="220"/>
        <v>0</v>
      </c>
      <c r="N236" s="24">
        <f t="shared" si="221"/>
        <v>3.833333333333333</v>
      </c>
      <c r="O236" s="41" t="str">
        <f t="shared" si="222"/>
        <v>3</v>
      </c>
      <c r="P236" s="24">
        <f t="shared" si="223"/>
        <v>9.9999999999999964</v>
      </c>
      <c r="Q236" s="41" t="str">
        <f t="shared" si="224"/>
        <v>X</v>
      </c>
      <c r="R236" s="24">
        <f t="shared" si="225"/>
        <v>-4.2632564145606011E-14</v>
      </c>
      <c r="S236" s="41" t="str">
        <f t="shared" si="226"/>
        <v/>
      </c>
      <c r="T236" s="24">
        <f t="shared" si="227"/>
        <v>11.999999999999488</v>
      </c>
      <c r="U236" s="41" t="str">
        <f t="shared" si="228"/>
        <v/>
      </c>
      <c r="V236" s="24">
        <f t="shared" si="229"/>
        <v>11.999999999993861</v>
      </c>
      <c r="W236" s="41" t="str">
        <f t="shared" si="230"/>
        <v/>
      </c>
      <c r="X236" s="24">
        <f t="shared" si="231"/>
        <v>11.999999999926331</v>
      </c>
      <c r="Y236" s="41" t="str">
        <f t="shared" si="232"/>
        <v/>
      </c>
      <c r="Z236" s="24">
        <f t="shared" si="233"/>
        <v>11.999999999115971</v>
      </c>
      <c r="AA236" s="41" t="str">
        <f t="shared" si="234"/>
        <v/>
      </c>
      <c r="AB236" s="24">
        <f t="shared" si="235"/>
        <v>11.999999989391654</v>
      </c>
      <c r="AC236" s="41" t="str">
        <f t="shared" si="236"/>
        <v/>
      </c>
      <c r="AD236" s="24">
        <f t="shared" si="237"/>
        <v>11.999999872699846</v>
      </c>
      <c r="AE236" s="41" t="str">
        <f t="shared" si="238"/>
        <v/>
      </c>
      <c r="AF236" s="24">
        <f t="shared" si="239"/>
        <v>11.999998472398147</v>
      </c>
      <c r="AG236" s="41" t="str">
        <f t="shared" si="240"/>
        <v/>
      </c>
      <c r="AH236" s="24">
        <f t="shared" si="241"/>
        <v>11.999981668777764</v>
      </c>
      <c r="AI236" s="41" t="str">
        <f t="shared" si="242"/>
        <v/>
      </c>
      <c r="AJ236" s="24">
        <f t="shared" si="243"/>
        <v>11.999780025333166</v>
      </c>
      <c r="AK236" s="41" t="str">
        <f t="shared" si="244"/>
        <v/>
      </c>
    </row>
    <row r="237" spans="6:37" x14ac:dyDescent="0.2">
      <c r="F237" s="527">
        <f t="shared" si="217"/>
        <v>0.3671875</v>
      </c>
      <c r="G237" s="8">
        <v>2</v>
      </c>
      <c r="H237" s="305">
        <f t="shared" si="218"/>
        <v>47</v>
      </c>
      <c r="I237" s="37" t="str">
        <f t="shared" si="216"/>
        <v>3E;</v>
      </c>
      <c r="J237" s="38">
        <v>2</v>
      </c>
      <c r="K237" s="128">
        <f t="shared" si="219"/>
        <v>0.3263888888888889</v>
      </c>
      <c r="L237" s="39" t="str">
        <f>INDEX(powers!$H$2:$H$75,33+J237)</f>
        <v>gross</v>
      </c>
      <c r="M237" s="40" t="str">
        <f t="shared" si="220"/>
        <v>0</v>
      </c>
      <c r="N237" s="24">
        <f t="shared" si="221"/>
        <v>3.916666666666667</v>
      </c>
      <c r="O237" s="41" t="str">
        <f t="shared" si="222"/>
        <v>3</v>
      </c>
      <c r="P237" s="24">
        <f t="shared" si="223"/>
        <v>11.000000000000004</v>
      </c>
      <c r="Q237" s="41" t="str">
        <f t="shared" si="224"/>
        <v>E</v>
      </c>
      <c r="R237" s="24">
        <f t="shared" si="225"/>
        <v>4.2632564145606011E-14</v>
      </c>
      <c r="S237" s="41" t="str">
        <f t="shared" si="226"/>
        <v/>
      </c>
      <c r="T237" s="24">
        <f t="shared" si="227"/>
        <v>5.1159076974727213E-13</v>
      </c>
      <c r="U237" s="41" t="str">
        <f t="shared" si="228"/>
        <v/>
      </c>
      <c r="V237" s="24">
        <f t="shared" si="229"/>
        <v>6.1390892369672656E-12</v>
      </c>
      <c r="W237" s="41" t="str">
        <f t="shared" si="230"/>
        <v/>
      </c>
      <c r="X237" s="24">
        <f t="shared" si="231"/>
        <v>7.3669070843607187E-11</v>
      </c>
      <c r="Y237" s="41" t="str">
        <f t="shared" si="232"/>
        <v/>
      </c>
      <c r="Z237" s="24">
        <f t="shared" si="233"/>
        <v>8.8402885012328625E-10</v>
      </c>
      <c r="AA237" s="41" t="str">
        <f t="shared" si="234"/>
        <v/>
      </c>
      <c r="AB237" s="24">
        <f t="shared" si="235"/>
        <v>1.0608346201479435E-8</v>
      </c>
      <c r="AC237" s="41" t="str">
        <f t="shared" si="236"/>
        <v/>
      </c>
      <c r="AD237" s="24">
        <f t="shared" si="237"/>
        <v>1.2730015441775322E-7</v>
      </c>
      <c r="AE237" s="41" t="str">
        <f t="shared" si="238"/>
        <v/>
      </c>
      <c r="AF237" s="24">
        <f t="shared" si="239"/>
        <v>1.5276018530130386E-6</v>
      </c>
      <c r="AG237" s="41" t="str">
        <f t="shared" si="240"/>
        <v/>
      </c>
      <c r="AH237" s="24">
        <f t="shared" si="241"/>
        <v>1.8331222236156464E-5</v>
      </c>
      <c r="AI237" s="41" t="str">
        <f t="shared" si="242"/>
        <v/>
      </c>
      <c r="AJ237" s="24">
        <f t="shared" si="243"/>
        <v>2.1997466683387756E-4</v>
      </c>
      <c r="AK237" s="41" t="str">
        <f t="shared" si="244"/>
        <v/>
      </c>
    </row>
    <row r="238" spans="6:37" x14ac:dyDescent="0.2">
      <c r="F238" s="527">
        <f t="shared" si="217"/>
        <v>0.375</v>
      </c>
      <c r="G238" s="8">
        <v>2</v>
      </c>
      <c r="H238" s="305">
        <f t="shared" si="218"/>
        <v>48</v>
      </c>
      <c r="I238" s="37" t="str">
        <f t="shared" si="216"/>
        <v>40;</v>
      </c>
      <c r="J238" s="38">
        <v>2</v>
      </c>
      <c r="K238" s="128">
        <f t="shared" si="219"/>
        <v>0.33333333333333331</v>
      </c>
      <c r="L238" s="39" t="str">
        <f>INDEX(powers!$H$2:$H$75,33+J238)</f>
        <v>gross</v>
      </c>
      <c r="M238" s="40" t="str">
        <f t="shared" si="220"/>
        <v>0</v>
      </c>
      <c r="N238" s="24">
        <f t="shared" si="221"/>
        <v>4</v>
      </c>
      <c r="O238" s="41" t="str">
        <f t="shared" si="222"/>
        <v>4</v>
      </c>
      <c r="P238" s="24">
        <f t="shared" si="223"/>
        <v>0</v>
      </c>
      <c r="Q238" s="41" t="str">
        <f t="shared" si="224"/>
        <v>0</v>
      </c>
      <c r="R238" s="24">
        <f t="shared" si="225"/>
        <v>0</v>
      </c>
      <c r="S238" s="41" t="str">
        <f t="shared" si="226"/>
        <v/>
      </c>
      <c r="T238" s="24">
        <f t="shared" si="227"/>
        <v>0</v>
      </c>
      <c r="U238" s="41" t="str">
        <f t="shared" si="228"/>
        <v/>
      </c>
      <c r="V238" s="24">
        <f t="shared" si="229"/>
        <v>0</v>
      </c>
      <c r="W238" s="41" t="str">
        <f t="shared" si="230"/>
        <v/>
      </c>
      <c r="X238" s="24">
        <f t="shared" si="231"/>
        <v>0</v>
      </c>
      <c r="Y238" s="41" t="str">
        <f t="shared" si="232"/>
        <v/>
      </c>
      <c r="Z238" s="24">
        <f t="shared" si="233"/>
        <v>0</v>
      </c>
      <c r="AA238" s="41" t="str">
        <f t="shared" si="234"/>
        <v/>
      </c>
      <c r="AB238" s="24">
        <f t="shared" si="235"/>
        <v>0</v>
      </c>
      <c r="AC238" s="41" t="str">
        <f t="shared" si="236"/>
        <v/>
      </c>
      <c r="AD238" s="24">
        <f t="shared" si="237"/>
        <v>0</v>
      </c>
      <c r="AE238" s="41" t="str">
        <f t="shared" si="238"/>
        <v/>
      </c>
      <c r="AF238" s="24">
        <f t="shared" si="239"/>
        <v>0</v>
      </c>
      <c r="AG238" s="41" t="str">
        <f t="shared" si="240"/>
        <v/>
      </c>
      <c r="AH238" s="24">
        <f t="shared" si="241"/>
        <v>0</v>
      </c>
      <c r="AI238" s="41" t="str">
        <f t="shared" si="242"/>
        <v/>
      </c>
      <c r="AJ238" s="24">
        <f t="shared" si="243"/>
        <v>0</v>
      </c>
      <c r="AK238" s="41" t="str">
        <f t="shared" si="244"/>
        <v/>
      </c>
    </row>
    <row r="239" spans="6:37" x14ac:dyDescent="0.2">
      <c r="F239" s="527">
        <f t="shared" si="217"/>
        <v>0.3828125</v>
      </c>
      <c r="G239" s="8">
        <v>2</v>
      </c>
      <c r="H239" s="305">
        <f t="shared" si="218"/>
        <v>49</v>
      </c>
      <c r="I239" s="37" t="str">
        <f t="shared" si="216"/>
        <v>41;</v>
      </c>
      <c r="J239" s="38">
        <v>2</v>
      </c>
      <c r="K239" s="128">
        <f t="shared" si="219"/>
        <v>0.34027777777777779</v>
      </c>
      <c r="L239" s="39" t="str">
        <f>INDEX(powers!$H$2:$H$75,33+J239)</f>
        <v>gross</v>
      </c>
      <c r="M239" s="40" t="str">
        <f t="shared" si="220"/>
        <v>0</v>
      </c>
      <c r="N239" s="24">
        <f t="shared" si="221"/>
        <v>4.0833333333333339</v>
      </c>
      <c r="O239" s="41" t="str">
        <f t="shared" si="222"/>
        <v>4</v>
      </c>
      <c r="P239" s="24">
        <f t="shared" si="223"/>
        <v>1.0000000000000071</v>
      </c>
      <c r="Q239" s="41" t="str">
        <f t="shared" si="224"/>
        <v>1</v>
      </c>
      <c r="R239" s="24">
        <f t="shared" si="225"/>
        <v>8.5265128291212022E-14</v>
      </c>
      <c r="S239" s="41" t="str">
        <f t="shared" si="226"/>
        <v/>
      </c>
      <c r="T239" s="24">
        <f t="shared" si="227"/>
        <v>1.0231815394945443E-12</v>
      </c>
      <c r="U239" s="41" t="str">
        <f t="shared" si="228"/>
        <v/>
      </c>
      <c r="V239" s="24">
        <f t="shared" si="229"/>
        <v>1.2278178473934531E-11</v>
      </c>
      <c r="W239" s="41" t="str">
        <f t="shared" si="230"/>
        <v/>
      </c>
      <c r="X239" s="24">
        <f t="shared" si="231"/>
        <v>1.4733814168721437E-10</v>
      </c>
      <c r="Y239" s="41" t="str">
        <f t="shared" si="232"/>
        <v/>
      </c>
      <c r="Z239" s="24">
        <f t="shared" si="233"/>
        <v>1.7680577002465725E-9</v>
      </c>
      <c r="AA239" s="41" t="str">
        <f t="shared" si="234"/>
        <v/>
      </c>
      <c r="AB239" s="24">
        <f t="shared" si="235"/>
        <v>2.121669240295887E-8</v>
      </c>
      <c r="AC239" s="41" t="str">
        <f t="shared" si="236"/>
        <v/>
      </c>
      <c r="AD239" s="24">
        <f t="shared" si="237"/>
        <v>2.5460030883550644E-7</v>
      </c>
      <c r="AE239" s="41" t="str">
        <f t="shared" si="238"/>
        <v/>
      </c>
      <c r="AF239" s="24">
        <f t="shared" si="239"/>
        <v>3.0552037060260773E-6</v>
      </c>
      <c r="AG239" s="41" t="str">
        <f t="shared" si="240"/>
        <v/>
      </c>
      <c r="AH239" s="24">
        <f t="shared" si="241"/>
        <v>3.6662444472312927E-5</v>
      </c>
      <c r="AI239" s="41" t="str">
        <f t="shared" si="242"/>
        <v/>
      </c>
      <c r="AJ239" s="24">
        <f t="shared" si="243"/>
        <v>4.3994933366775513E-4</v>
      </c>
      <c r="AK239" s="41" t="str">
        <f t="shared" si="244"/>
        <v/>
      </c>
    </row>
    <row r="240" spans="6:37" x14ac:dyDescent="0.2">
      <c r="F240" s="527">
        <f t="shared" si="217"/>
        <v>0.390625</v>
      </c>
      <c r="G240" s="8">
        <v>2</v>
      </c>
      <c r="H240" s="305">
        <f t="shared" si="218"/>
        <v>50</v>
      </c>
      <c r="I240" s="37" t="str">
        <f t="shared" si="216"/>
        <v>42;</v>
      </c>
      <c r="J240" s="38">
        <v>2</v>
      </c>
      <c r="K240" s="128">
        <f t="shared" si="219"/>
        <v>0.34722222222222221</v>
      </c>
      <c r="L240" s="39" t="str">
        <f>INDEX(powers!$H$2:$H$75,33+J240)</f>
        <v>gross</v>
      </c>
      <c r="M240" s="40" t="str">
        <f t="shared" si="220"/>
        <v>0</v>
      </c>
      <c r="N240" s="24">
        <f t="shared" si="221"/>
        <v>4.1666666666666661</v>
      </c>
      <c r="O240" s="41" t="str">
        <f t="shared" si="222"/>
        <v>4</v>
      </c>
      <c r="P240" s="24">
        <f t="shared" si="223"/>
        <v>1.9999999999999929</v>
      </c>
      <c r="Q240" s="41" t="str">
        <f t="shared" si="224"/>
        <v>2</v>
      </c>
      <c r="R240" s="24">
        <f t="shared" si="225"/>
        <v>11.999999999999915</v>
      </c>
      <c r="S240" s="41" t="str">
        <f t="shared" si="226"/>
        <v/>
      </c>
      <c r="T240" s="24">
        <f t="shared" si="227"/>
        <v>11.999999999998977</v>
      </c>
      <c r="U240" s="41" t="str">
        <f t="shared" si="228"/>
        <v/>
      </c>
      <c r="V240" s="24">
        <f t="shared" si="229"/>
        <v>11.999999999987722</v>
      </c>
      <c r="W240" s="41" t="str">
        <f t="shared" si="230"/>
        <v/>
      </c>
      <c r="X240" s="24">
        <f t="shared" si="231"/>
        <v>11.999999999852662</v>
      </c>
      <c r="Y240" s="41" t="str">
        <f t="shared" si="232"/>
        <v/>
      </c>
      <c r="Z240" s="24">
        <f t="shared" si="233"/>
        <v>11.999999998231942</v>
      </c>
      <c r="AA240" s="41" t="str">
        <f t="shared" si="234"/>
        <v/>
      </c>
      <c r="AB240" s="24">
        <f t="shared" si="235"/>
        <v>11.999999978783308</v>
      </c>
      <c r="AC240" s="41" t="str">
        <f t="shared" si="236"/>
        <v/>
      </c>
      <c r="AD240" s="24">
        <f t="shared" si="237"/>
        <v>11.999999745399691</v>
      </c>
      <c r="AE240" s="41" t="str">
        <f t="shared" si="238"/>
        <v/>
      </c>
      <c r="AF240" s="24">
        <f t="shared" si="239"/>
        <v>11.999996944796294</v>
      </c>
      <c r="AG240" s="41" t="str">
        <f t="shared" si="240"/>
        <v/>
      </c>
      <c r="AH240" s="24">
        <f t="shared" si="241"/>
        <v>11.999963337555528</v>
      </c>
      <c r="AI240" s="41" t="str">
        <f t="shared" si="242"/>
        <v/>
      </c>
      <c r="AJ240" s="24">
        <f t="shared" si="243"/>
        <v>11.999560050666332</v>
      </c>
      <c r="AK240" s="41" t="str">
        <f t="shared" si="244"/>
        <v/>
      </c>
    </row>
    <row r="241" spans="6:37" x14ac:dyDescent="0.2">
      <c r="F241" s="527">
        <f t="shared" si="217"/>
        <v>0.3984375</v>
      </c>
      <c r="G241" s="8">
        <v>2</v>
      </c>
      <c r="H241" s="305">
        <f t="shared" si="218"/>
        <v>51</v>
      </c>
      <c r="I241" s="37" t="str">
        <f t="shared" si="216"/>
        <v>43;</v>
      </c>
      <c r="J241" s="38">
        <v>2</v>
      </c>
      <c r="K241" s="128">
        <f t="shared" si="219"/>
        <v>0.35416666666666669</v>
      </c>
      <c r="L241" s="39" t="str">
        <f>INDEX(powers!$H$2:$H$75,33+J241)</f>
        <v>gross</v>
      </c>
      <c r="M241" s="40" t="str">
        <f t="shared" si="220"/>
        <v>0</v>
      </c>
      <c r="N241" s="24">
        <f t="shared" si="221"/>
        <v>4.25</v>
      </c>
      <c r="O241" s="41" t="str">
        <f t="shared" si="222"/>
        <v>4</v>
      </c>
      <c r="P241" s="24">
        <f t="shared" si="223"/>
        <v>3</v>
      </c>
      <c r="Q241" s="41" t="str">
        <f t="shared" si="224"/>
        <v>3</v>
      </c>
      <c r="R241" s="24">
        <f t="shared" si="225"/>
        <v>0</v>
      </c>
      <c r="S241" s="41" t="str">
        <f t="shared" si="226"/>
        <v/>
      </c>
      <c r="T241" s="24">
        <f t="shared" si="227"/>
        <v>0</v>
      </c>
      <c r="U241" s="41" t="str">
        <f t="shared" si="228"/>
        <v/>
      </c>
      <c r="V241" s="24">
        <f t="shared" si="229"/>
        <v>0</v>
      </c>
      <c r="W241" s="41" t="str">
        <f t="shared" si="230"/>
        <v/>
      </c>
      <c r="X241" s="24">
        <f t="shared" si="231"/>
        <v>0</v>
      </c>
      <c r="Y241" s="41" t="str">
        <f t="shared" si="232"/>
        <v/>
      </c>
      <c r="Z241" s="24">
        <f t="shared" si="233"/>
        <v>0</v>
      </c>
      <c r="AA241" s="41" t="str">
        <f t="shared" si="234"/>
        <v/>
      </c>
      <c r="AB241" s="24">
        <f t="shared" si="235"/>
        <v>0</v>
      </c>
      <c r="AC241" s="41" t="str">
        <f t="shared" si="236"/>
        <v/>
      </c>
      <c r="AD241" s="24">
        <f t="shared" si="237"/>
        <v>0</v>
      </c>
      <c r="AE241" s="41" t="str">
        <f t="shared" si="238"/>
        <v/>
      </c>
      <c r="AF241" s="24">
        <f t="shared" si="239"/>
        <v>0</v>
      </c>
      <c r="AG241" s="41" t="str">
        <f t="shared" si="240"/>
        <v/>
      </c>
      <c r="AH241" s="24">
        <f t="shared" si="241"/>
        <v>0</v>
      </c>
      <c r="AI241" s="41" t="str">
        <f t="shared" si="242"/>
        <v/>
      </c>
      <c r="AJ241" s="24">
        <f t="shared" si="243"/>
        <v>0</v>
      </c>
      <c r="AK241" s="41" t="str">
        <f t="shared" si="244"/>
        <v/>
      </c>
    </row>
    <row r="242" spans="6:37" x14ac:dyDescent="0.2">
      <c r="F242" s="527">
        <f t="shared" si="217"/>
        <v>0.40625</v>
      </c>
      <c r="G242" s="8">
        <v>2</v>
      </c>
      <c r="H242" s="305">
        <f t="shared" si="218"/>
        <v>52</v>
      </c>
      <c r="I242" s="37" t="str">
        <f t="shared" si="216"/>
        <v>44;</v>
      </c>
      <c r="J242" s="38">
        <v>2</v>
      </c>
      <c r="K242" s="128">
        <f t="shared" si="219"/>
        <v>0.3611111111111111</v>
      </c>
      <c r="L242" s="39" t="str">
        <f>INDEX(powers!$H$2:$H$75,33+J242)</f>
        <v>gross</v>
      </c>
      <c r="M242" s="40" t="str">
        <f t="shared" si="220"/>
        <v>0</v>
      </c>
      <c r="N242" s="24">
        <f t="shared" si="221"/>
        <v>4.333333333333333</v>
      </c>
      <c r="O242" s="41" t="str">
        <f t="shared" si="222"/>
        <v>4</v>
      </c>
      <c r="P242" s="24">
        <f t="shared" si="223"/>
        <v>3.9999999999999964</v>
      </c>
      <c r="Q242" s="41" t="str">
        <f t="shared" si="224"/>
        <v>4</v>
      </c>
      <c r="R242" s="24">
        <f t="shared" si="225"/>
        <v>-4.2632564145606011E-14</v>
      </c>
      <c r="S242" s="41" t="str">
        <f t="shared" si="226"/>
        <v/>
      </c>
      <c r="T242" s="24">
        <f t="shared" si="227"/>
        <v>11.999999999999488</v>
      </c>
      <c r="U242" s="41" t="str">
        <f t="shared" si="228"/>
        <v/>
      </c>
      <c r="V242" s="24">
        <f t="shared" si="229"/>
        <v>11.999999999993861</v>
      </c>
      <c r="W242" s="41" t="str">
        <f t="shared" si="230"/>
        <v/>
      </c>
      <c r="X242" s="24">
        <f t="shared" si="231"/>
        <v>11.999999999926331</v>
      </c>
      <c r="Y242" s="41" t="str">
        <f t="shared" si="232"/>
        <v/>
      </c>
      <c r="Z242" s="24">
        <f t="shared" si="233"/>
        <v>11.999999999115971</v>
      </c>
      <c r="AA242" s="41" t="str">
        <f t="shared" si="234"/>
        <v/>
      </c>
      <c r="AB242" s="24">
        <f t="shared" si="235"/>
        <v>11.999999989391654</v>
      </c>
      <c r="AC242" s="41" t="str">
        <f t="shared" si="236"/>
        <v/>
      </c>
      <c r="AD242" s="24">
        <f t="shared" si="237"/>
        <v>11.999999872699846</v>
      </c>
      <c r="AE242" s="41" t="str">
        <f t="shared" si="238"/>
        <v/>
      </c>
      <c r="AF242" s="24">
        <f t="shared" si="239"/>
        <v>11.999998472398147</v>
      </c>
      <c r="AG242" s="41" t="str">
        <f t="shared" si="240"/>
        <v/>
      </c>
      <c r="AH242" s="24">
        <f t="shared" si="241"/>
        <v>11.999981668777764</v>
      </c>
      <c r="AI242" s="41" t="str">
        <f t="shared" si="242"/>
        <v/>
      </c>
      <c r="AJ242" s="24">
        <f t="shared" si="243"/>
        <v>11.999780025333166</v>
      </c>
      <c r="AK242" s="41" t="str">
        <f t="shared" si="244"/>
        <v/>
      </c>
    </row>
    <row r="243" spans="6:37" x14ac:dyDescent="0.2">
      <c r="F243" s="527">
        <f t="shared" si="217"/>
        <v>0.4140625</v>
      </c>
      <c r="G243" s="8">
        <v>2</v>
      </c>
      <c r="H243" s="305">
        <f t="shared" si="218"/>
        <v>53</v>
      </c>
      <c r="I243" s="37" t="str">
        <f t="shared" si="216"/>
        <v>45;</v>
      </c>
      <c r="J243" s="38">
        <v>2</v>
      </c>
      <c r="K243" s="128">
        <f t="shared" si="219"/>
        <v>0.36805555555555558</v>
      </c>
      <c r="L243" s="39" t="str">
        <f>INDEX(powers!$H$2:$H$75,33+J243)</f>
        <v>gross</v>
      </c>
      <c r="M243" s="40" t="str">
        <f t="shared" si="220"/>
        <v>0</v>
      </c>
      <c r="N243" s="24">
        <f t="shared" si="221"/>
        <v>4.416666666666667</v>
      </c>
      <c r="O243" s="41" t="str">
        <f t="shared" si="222"/>
        <v>4</v>
      </c>
      <c r="P243" s="24">
        <f t="shared" si="223"/>
        <v>5.0000000000000036</v>
      </c>
      <c r="Q243" s="41" t="str">
        <f t="shared" si="224"/>
        <v>5</v>
      </c>
      <c r="R243" s="24">
        <f t="shared" si="225"/>
        <v>4.2632564145606011E-14</v>
      </c>
      <c r="S243" s="41" t="str">
        <f t="shared" si="226"/>
        <v/>
      </c>
      <c r="T243" s="24">
        <f t="shared" si="227"/>
        <v>5.1159076974727213E-13</v>
      </c>
      <c r="U243" s="41" t="str">
        <f t="shared" si="228"/>
        <v/>
      </c>
      <c r="V243" s="24">
        <f t="shared" si="229"/>
        <v>6.1390892369672656E-12</v>
      </c>
      <c r="W243" s="41" t="str">
        <f t="shared" si="230"/>
        <v/>
      </c>
      <c r="X243" s="24">
        <f t="shared" si="231"/>
        <v>7.3669070843607187E-11</v>
      </c>
      <c r="Y243" s="41" t="str">
        <f t="shared" si="232"/>
        <v/>
      </c>
      <c r="Z243" s="24">
        <f t="shared" si="233"/>
        <v>8.8402885012328625E-10</v>
      </c>
      <c r="AA243" s="41" t="str">
        <f t="shared" si="234"/>
        <v/>
      </c>
      <c r="AB243" s="24">
        <f t="shared" si="235"/>
        <v>1.0608346201479435E-8</v>
      </c>
      <c r="AC243" s="41" t="str">
        <f t="shared" si="236"/>
        <v/>
      </c>
      <c r="AD243" s="24">
        <f t="shared" si="237"/>
        <v>1.2730015441775322E-7</v>
      </c>
      <c r="AE243" s="41" t="str">
        <f t="shared" si="238"/>
        <v/>
      </c>
      <c r="AF243" s="24">
        <f t="shared" si="239"/>
        <v>1.5276018530130386E-6</v>
      </c>
      <c r="AG243" s="41" t="str">
        <f t="shared" si="240"/>
        <v/>
      </c>
      <c r="AH243" s="24">
        <f t="shared" si="241"/>
        <v>1.8331222236156464E-5</v>
      </c>
      <c r="AI243" s="41" t="str">
        <f t="shared" si="242"/>
        <v/>
      </c>
      <c r="AJ243" s="24">
        <f t="shared" si="243"/>
        <v>2.1997466683387756E-4</v>
      </c>
      <c r="AK243" s="41" t="str">
        <f t="shared" si="244"/>
        <v/>
      </c>
    </row>
    <row r="244" spans="6:37" x14ac:dyDescent="0.2">
      <c r="F244" s="527">
        <f t="shared" si="217"/>
        <v>0.421875</v>
      </c>
      <c r="G244" s="8">
        <v>2</v>
      </c>
      <c r="H244" s="305">
        <f t="shared" si="218"/>
        <v>54</v>
      </c>
      <c r="I244" s="37" t="str">
        <f t="shared" si="216"/>
        <v>46;</v>
      </c>
      <c r="J244" s="38">
        <v>2</v>
      </c>
      <c r="K244" s="128">
        <f t="shared" si="219"/>
        <v>0.375</v>
      </c>
      <c r="L244" s="39" t="str">
        <f>INDEX(powers!$H$2:$H$75,33+J244)</f>
        <v>gross</v>
      </c>
      <c r="M244" s="40" t="str">
        <f t="shared" si="220"/>
        <v>0</v>
      </c>
      <c r="N244" s="24">
        <f t="shared" si="221"/>
        <v>4.5</v>
      </c>
      <c r="O244" s="41" t="str">
        <f t="shared" si="222"/>
        <v>4</v>
      </c>
      <c r="P244" s="24">
        <f t="shared" si="223"/>
        <v>6</v>
      </c>
      <c r="Q244" s="41" t="str">
        <f t="shared" si="224"/>
        <v>6</v>
      </c>
      <c r="R244" s="24">
        <f t="shared" si="225"/>
        <v>0</v>
      </c>
      <c r="S244" s="41" t="str">
        <f t="shared" si="226"/>
        <v/>
      </c>
      <c r="T244" s="24">
        <f t="shared" si="227"/>
        <v>0</v>
      </c>
      <c r="U244" s="41" t="str">
        <f t="shared" si="228"/>
        <v/>
      </c>
      <c r="V244" s="24">
        <f t="shared" si="229"/>
        <v>0</v>
      </c>
      <c r="W244" s="41" t="str">
        <f t="shared" si="230"/>
        <v/>
      </c>
      <c r="X244" s="24">
        <f t="shared" si="231"/>
        <v>0</v>
      </c>
      <c r="Y244" s="41" t="str">
        <f t="shared" si="232"/>
        <v/>
      </c>
      <c r="Z244" s="24">
        <f t="shared" si="233"/>
        <v>0</v>
      </c>
      <c r="AA244" s="41" t="str">
        <f t="shared" si="234"/>
        <v/>
      </c>
      <c r="AB244" s="24">
        <f t="shared" si="235"/>
        <v>0</v>
      </c>
      <c r="AC244" s="41" t="str">
        <f t="shared" si="236"/>
        <v/>
      </c>
      <c r="AD244" s="24">
        <f t="shared" si="237"/>
        <v>0</v>
      </c>
      <c r="AE244" s="41" t="str">
        <f t="shared" si="238"/>
        <v/>
      </c>
      <c r="AF244" s="24">
        <f t="shared" si="239"/>
        <v>0</v>
      </c>
      <c r="AG244" s="41" t="str">
        <f t="shared" si="240"/>
        <v/>
      </c>
      <c r="AH244" s="24">
        <f t="shared" si="241"/>
        <v>0</v>
      </c>
      <c r="AI244" s="41" t="str">
        <f t="shared" si="242"/>
        <v/>
      </c>
      <c r="AJ244" s="24">
        <f t="shared" si="243"/>
        <v>0</v>
      </c>
      <c r="AK244" s="41" t="str">
        <f t="shared" si="244"/>
        <v/>
      </c>
    </row>
    <row r="245" spans="6:37" x14ac:dyDescent="0.2">
      <c r="F245" s="527">
        <f t="shared" si="217"/>
        <v>0.4296875</v>
      </c>
      <c r="G245" s="8">
        <v>2</v>
      </c>
      <c r="H245" s="305">
        <f t="shared" si="218"/>
        <v>55</v>
      </c>
      <c r="I245" s="37" t="str">
        <f t="shared" si="216"/>
        <v>47;</v>
      </c>
      <c r="J245" s="38">
        <v>2</v>
      </c>
      <c r="K245" s="128">
        <f t="shared" si="219"/>
        <v>0.38194444444444442</v>
      </c>
      <c r="L245" s="39" t="str">
        <f>INDEX(powers!$H$2:$H$75,33+J245)</f>
        <v>gross</v>
      </c>
      <c r="M245" s="40" t="str">
        <f t="shared" si="220"/>
        <v>0</v>
      </c>
      <c r="N245" s="24">
        <f t="shared" si="221"/>
        <v>4.583333333333333</v>
      </c>
      <c r="O245" s="41" t="str">
        <f t="shared" si="222"/>
        <v>4</v>
      </c>
      <c r="P245" s="24">
        <f t="shared" si="223"/>
        <v>6.9999999999999964</v>
      </c>
      <c r="Q245" s="41" t="str">
        <f t="shared" si="224"/>
        <v>7</v>
      </c>
      <c r="R245" s="24">
        <f t="shared" si="225"/>
        <v>-4.2632564145606011E-14</v>
      </c>
      <c r="S245" s="41" t="str">
        <f t="shared" si="226"/>
        <v/>
      </c>
      <c r="T245" s="24">
        <f t="shared" si="227"/>
        <v>11.999999999999488</v>
      </c>
      <c r="U245" s="41" t="str">
        <f t="shared" si="228"/>
        <v/>
      </c>
      <c r="V245" s="24">
        <f t="shared" si="229"/>
        <v>11.999999999993861</v>
      </c>
      <c r="W245" s="41" t="str">
        <f t="shared" si="230"/>
        <v/>
      </c>
      <c r="X245" s="24">
        <f t="shared" si="231"/>
        <v>11.999999999926331</v>
      </c>
      <c r="Y245" s="41" t="str">
        <f t="shared" si="232"/>
        <v/>
      </c>
      <c r="Z245" s="24">
        <f t="shared" si="233"/>
        <v>11.999999999115971</v>
      </c>
      <c r="AA245" s="41" t="str">
        <f t="shared" si="234"/>
        <v/>
      </c>
      <c r="AB245" s="24">
        <f t="shared" si="235"/>
        <v>11.999999989391654</v>
      </c>
      <c r="AC245" s="41" t="str">
        <f t="shared" si="236"/>
        <v/>
      </c>
      <c r="AD245" s="24">
        <f t="shared" si="237"/>
        <v>11.999999872699846</v>
      </c>
      <c r="AE245" s="41" t="str">
        <f t="shared" si="238"/>
        <v/>
      </c>
      <c r="AF245" s="24">
        <f t="shared" si="239"/>
        <v>11.999998472398147</v>
      </c>
      <c r="AG245" s="41" t="str">
        <f t="shared" si="240"/>
        <v/>
      </c>
      <c r="AH245" s="24">
        <f t="shared" si="241"/>
        <v>11.999981668777764</v>
      </c>
      <c r="AI245" s="41" t="str">
        <f t="shared" si="242"/>
        <v/>
      </c>
      <c r="AJ245" s="24">
        <f t="shared" si="243"/>
        <v>11.999780025333166</v>
      </c>
      <c r="AK245" s="41" t="str">
        <f t="shared" si="244"/>
        <v/>
      </c>
    </row>
    <row r="246" spans="6:37" x14ac:dyDescent="0.2">
      <c r="F246" s="527">
        <f t="shared" si="217"/>
        <v>0.4375</v>
      </c>
      <c r="G246" s="8">
        <v>2</v>
      </c>
      <c r="H246" s="305">
        <f t="shared" si="218"/>
        <v>56</v>
      </c>
      <c r="I246" s="37" t="str">
        <f t="shared" si="216"/>
        <v>48;</v>
      </c>
      <c r="J246" s="38">
        <v>2</v>
      </c>
      <c r="K246" s="128">
        <f t="shared" si="219"/>
        <v>0.3888888888888889</v>
      </c>
      <c r="L246" s="39" t="str">
        <f>INDEX(powers!$H$2:$H$75,33+J246)</f>
        <v>gross</v>
      </c>
      <c r="M246" s="40" t="str">
        <f t="shared" si="220"/>
        <v>0</v>
      </c>
      <c r="N246" s="24">
        <f t="shared" si="221"/>
        <v>4.666666666666667</v>
      </c>
      <c r="O246" s="41" t="str">
        <f t="shared" si="222"/>
        <v>4</v>
      </c>
      <c r="P246" s="24">
        <f t="shared" si="223"/>
        <v>8.0000000000000036</v>
      </c>
      <c r="Q246" s="41" t="str">
        <f t="shared" si="224"/>
        <v>8</v>
      </c>
      <c r="R246" s="24">
        <f t="shared" si="225"/>
        <v>4.2632564145606011E-14</v>
      </c>
      <c r="S246" s="41" t="str">
        <f t="shared" si="226"/>
        <v/>
      </c>
      <c r="T246" s="24">
        <f t="shared" si="227"/>
        <v>5.1159076974727213E-13</v>
      </c>
      <c r="U246" s="41" t="str">
        <f t="shared" si="228"/>
        <v/>
      </c>
      <c r="V246" s="24">
        <f t="shared" si="229"/>
        <v>6.1390892369672656E-12</v>
      </c>
      <c r="W246" s="41" t="str">
        <f t="shared" si="230"/>
        <v/>
      </c>
      <c r="X246" s="24">
        <f t="shared" si="231"/>
        <v>7.3669070843607187E-11</v>
      </c>
      <c r="Y246" s="41" t="str">
        <f t="shared" si="232"/>
        <v/>
      </c>
      <c r="Z246" s="24">
        <f t="shared" si="233"/>
        <v>8.8402885012328625E-10</v>
      </c>
      <c r="AA246" s="41" t="str">
        <f t="shared" si="234"/>
        <v/>
      </c>
      <c r="AB246" s="24">
        <f t="shared" si="235"/>
        <v>1.0608346201479435E-8</v>
      </c>
      <c r="AC246" s="41" t="str">
        <f t="shared" si="236"/>
        <v/>
      </c>
      <c r="AD246" s="24">
        <f t="shared" si="237"/>
        <v>1.2730015441775322E-7</v>
      </c>
      <c r="AE246" s="41" t="str">
        <f t="shared" si="238"/>
        <v/>
      </c>
      <c r="AF246" s="24">
        <f t="shared" si="239"/>
        <v>1.5276018530130386E-6</v>
      </c>
      <c r="AG246" s="41" t="str">
        <f t="shared" si="240"/>
        <v/>
      </c>
      <c r="AH246" s="24">
        <f t="shared" si="241"/>
        <v>1.8331222236156464E-5</v>
      </c>
      <c r="AI246" s="41" t="str">
        <f t="shared" si="242"/>
        <v/>
      </c>
      <c r="AJ246" s="24">
        <f t="shared" si="243"/>
        <v>2.1997466683387756E-4</v>
      </c>
      <c r="AK246" s="41" t="str">
        <f t="shared" si="244"/>
        <v/>
      </c>
    </row>
    <row r="247" spans="6:37" x14ac:dyDescent="0.2">
      <c r="F247" s="527">
        <f t="shared" si="217"/>
        <v>0.4453125</v>
      </c>
      <c r="G247" s="8">
        <v>2</v>
      </c>
      <c r="H247" s="305">
        <f t="shared" si="218"/>
        <v>57</v>
      </c>
      <c r="I247" s="37" t="str">
        <f t="shared" si="216"/>
        <v>49;</v>
      </c>
      <c r="J247" s="38">
        <v>2</v>
      </c>
      <c r="K247" s="128">
        <f t="shared" si="219"/>
        <v>0.39583333333333331</v>
      </c>
      <c r="L247" s="39" t="str">
        <f>INDEX(powers!$H$2:$H$75,33+J247)</f>
        <v>gross</v>
      </c>
      <c r="M247" s="40" t="str">
        <f t="shared" si="220"/>
        <v>0</v>
      </c>
      <c r="N247" s="24">
        <f t="shared" si="221"/>
        <v>4.75</v>
      </c>
      <c r="O247" s="41" t="str">
        <f t="shared" si="222"/>
        <v>4</v>
      </c>
      <c r="P247" s="24">
        <f t="shared" si="223"/>
        <v>9</v>
      </c>
      <c r="Q247" s="41" t="str">
        <f t="shared" si="224"/>
        <v>9</v>
      </c>
      <c r="R247" s="24">
        <f t="shared" si="225"/>
        <v>0</v>
      </c>
      <c r="S247" s="41" t="str">
        <f t="shared" si="226"/>
        <v/>
      </c>
      <c r="T247" s="24">
        <f t="shared" si="227"/>
        <v>0</v>
      </c>
      <c r="U247" s="41" t="str">
        <f t="shared" si="228"/>
        <v/>
      </c>
      <c r="V247" s="24">
        <f t="shared" si="229"/>
        <v>0</v>
      </c>
      <c r="W247" s="41" t="str">
        <f t="shared" si="230"/>
        <v/>
      </c>
      <c r="X247" s="24">
        <f t="shared" si="231"/>
        <v>0</v>
      </c>
      <c r="Y247" s="41" t="str">
        <f t="shared" si="232"/>
        <v/>
      </c>
      <c r="Z247" s="24">
        <f t="shared" si="233"/>
        <v>0</v>
      </c>
      <c r="AA247" s="41" t="str">
        <f t="shared" si="234"/>
        <v/>
      </c>
      <c r="AB247" s="24">
        <f t="shared" si="235"/>
        <v>0</v>
      </c>
      <c r="AC247" s="41" t="str">
        <f t="shared" si="236"/>
        <v/>
      </c>
      <c r="AD247" s="24">
        <f t="shared" si="237"/>
        <v>0</v>
      </c>
      <c r="AE247" s="41" t="str">
        <f t="shared" si="238"/>
        <v/>
      </c>
      <c r="AF247" s="24">
        <f t="shared" si="239"/>
        <v>0</v>
      </c>
      <c r="AG247" s="41" t="str">
        <f t="shared" si="240"/>
        <v/>
      </c>
      <c r="AH247" s="24">
        <f t="shared" si="241"/>
        <v>0</v>
      </c>
      <c r="AI247" s="41" t="str">
        <f t="shared" si="242"/>
        <v/>
      </c>
      <c r="AJ247" s="24">
        <f t="shared" si="243"/>
        <v>0</v>
      </c>
      <c r="AK247" s="41" t="str">
        <f t="shared" si="244"/>
        <v/>
      </c>
    </row>
    <row r="248" spans="6:37" x14ac:dyDescent="0.2">
      <c r="F248" s="527">
        <f t="shared" si="217"/>
        <v>0.453125</v>
      </c>
      <c r="G248" s="8">
        <v>2</v>
      </c>
      <c r="H248" s="305">
        <f t="shared" si="218"/>
        <v>58</v>
      </c>
      <c r="I248" s="37" t="str">
        <f t="shared" si="216"/>
        <v>4X;</v>
      </c>
      <c r="J248" s="38">
        <v>2</v>
      </c>
      <c r="K248" s="128">
        <f t="shared" si="219"/>
        <v>0.40277777777777779</v>
      </c>
      <c r="L248" s="39" t="str">
        <f>INDEX(powers!$H$2:$H$75,33+J248)</f>
        <v>gross</v>
      </c>
      <c r="M248" s="40" t="str">
        <f t="shared" si="220"/>
        <v>0</v>
      </c>
      <c r="N248" s="24">
        <f t="shared" si="221"/>
        <v>4.8333333333333339</v>
      </c>
      <c r="O248" s="41" t="str">
        <f t="shared" si="222"/>
        <v>4</v>
      </c>
      <c r="P248" s="24">
        <f t="shared" si="223"/>
        <v>10.000000000000007</v>
      </c>
      <c r="Q248" s="41" t="str">
        <f t="shared" si="224"/>
        <v>X</v>
      </c>
      <c r="R248" s="24">
        <f t="shared" si="225"/>
        <v>8.5265128291212022E-14</v>
      </c>
      <c r="S248" s="41" t="str">
        <f t="shared" si="226"/>
        <v/>
      </c>
      <c r="T248" s="24">
        <f t="shared" si="227"/>
        <v>1.0231815394945443E-12</v>
      </c>
      <c r="U248" s="41" t="str">
        <f t="shared" si="228"/>
        <v/>
      </c>
      <c r="V248" s="24">
        <f t="shared" si="229"/>
        <v>1.2278178473934531E-11</v>
      </c>
      <c r="W248" s="41" t="str">
        <f t="shared" si="230"/>
        <v/>
      </c>
      <c r="X248" s="24">
        <f t="shared" si="231"/>
        <v>1.4733814168721437E-10</v>
      </c>
      <c r="Y248" s="41" t="str">
        <f t="shared" si="232"/>
        <v/>
      </c>
      <c r="Z248" s="24">
        <f t="shared" si="233"/>
        <v>1.7680577002465725E-9</v>
      </c>
      <c r="AA248" s="41" t="str">
        <f t="shared" si="234"/>
        <v/>
      </c>
      <c r="AB248" s="24">
        <f t="shared" si="235"/>
        <v>2.121669240295887E-8</v>
      </c>
      <c r="AC248" s="41" t="str">
        <f t="shared" si="236"/>
        <v/>
      </c>
      <c r="AD248" s="24">
        <f t="shared" si="237"/>
        <v>2.5460030883550644E-7</v>
      </c>
      <c r="AE248" s="41" t="str">
        <f t="shared" si="238"/>
        <v/>
      </c>
      <c r="AF248" s="24">
        <f t="shared" si="239"/>
        <v>3.0552037060260773E-6</v>
      </c>
      <c r="AG248" s="41" t="str">
        <f t="shared" si="240"/>
        <v/>
      </c>
      <c r="AH248" s="24">
        <f t="shared" si="241"/>
        <v>3.6662444472312927E-5</v>
      </c>
      <c r="AI248" s="41" t="str">
        <f t="shared" si="242"/>
        <v/>
      </c>
      <c r="AJ248" s="24">
        <f t="shared" si="243"/>
        <v>4.3994933366775513E-4</v>
      </c>
      <c r="AK248" s="41" t="str">
        <f t="shared" si="244"/>
        <v/>
      </c>
    </row>
    <row r="249" spans="6:37" x14ac:dyDescent="0.2">
      <c r="F249" s="527">
        <f t="shared" si="217"/>
        <v>0.4609375</v>
      </c>
      <c r="G249" s="8">
        <v>2</v>
      </c>
      <c r="H249" s="305">
        <f t="shared" si="218"/>
        <v>59</v>
      </c>
      <c r="I249" s="37" t="str">
        <f t="shared" si="216"/>
        <v>4E;</v>
      </c>
      <c r="J249" s="38">
        <v>2</v>
      </c>
      <c r="K249" s="128">
        <f t="shared" si="219"/>
        <v>0.40972222222222221</v>
      </c>
      <c r="L249" s="39" t="str">
        <f>INDEX(powers!$H$2:$H$75,33+J249)</f>
        <v>gross</v>
      </c>
      <c r="M249" s="40" t="str">
        <f t="shared" si="220"/>
        <v>0</v>
      </c>
      <c r="N249" s="24">
        <f t="shared" si="221"/>
        <v>4.9166666666666661</v>
      </c>
      <c r="O249" s="41" t="str">
        <f t="shared" si="222"/>
        <v>4</v>
      </c>
      <c r="P249" s="24">
        <f t="shared" si="223"/>
        <v>10.999999999999993</v>
      </c>
      <c r="Q249" s="41" t="str">
        <f t="shared" si="224"/>
        <v>E</v>
      </c>
      <c r="R249" s="24">
        <f t="shared" si="225"/>
        <v>-8.5265128291212022E-14</v>
      </c>
      <c r="S249" s="41" t="str">
        <f t="shared" si="226"/>
        <v/>
      </c>
      <c r="T249" s="24">
        <f t="shared" si="227"/>
        <v>11.999999999998977</v>
      </c>
      <c r="U249" s="41" t="str">
        <f t="shared" si="228"/>
        <v/>
      </c>
      <c r="V249" s="24">
        <f t="shared" si="229"/>
        <v>11.999999999987722</v>
      </c>
      <c r="W249" s="41" t="str">
        <f t="shared" si="230"/>
        <v/>
      </c>
      <c r="X249" s="24">
        <f t="shared" si="231"/>
        <v>11.999999999852662</v>
      </c>
      <c r="Y249" s="41" t="str">
        <f t="shared" si="232"/>
        <v/>
      </c>
      <c r="Z249" s="24">
        <f t="shared" si="233"/>
        <v>11.999999998231942</v>
      </c>
      <c r="AA249" s="41" t="str">
        <f t="shared" si="234"/>
        <v/>
      </c>
      <c r="AB249" s="24">
        <f t="shared" si="235"/>
        <v>11.999999978783308</v>
      </c>
      <c r="AC249" s="41" t="str">
        <f t="shared" si="236"/>
        <v/>
      </c>
      <c r="AD249" s="24">
        <f t="shared" si="237"/>
        <v>11.999999745399691</v>
      </c>
      <c r="AE249" s="41" t="str">
        <f t="shared" si="238"/>
        <v/>
      </c>
      <c r="AF249" s="24">
        <f t="shared" si="239"/>
        <v>11.999996944796294</v>
      </c>
      <c r="AG249" s="41" t="str">
        <f t="shared" si="240"/>
        <v/>
      </c>
      <c r="AH249" s="24">
        <f t="shared" si="241"/>
        <v>11.999963337555528</v>
      </c>
      <c r="AI249" s="41" t="str">
        <f t="shared" si="242"/>
        <v/>
      </c>
      <c r="AJ249" s="24">
        <f t="shared" si="243"/>
        <v>11.999560050666332</v>
      </c>
      <c r="AK249" s="41" t="str">
        <f t="shared" si="244"/>
        <v/>
      </c>
    </row>
    <row r="250" spans="6:37" x14ac:dyDescent="0.2">
      <c r="F250" s="527">
        <f t="shared" si="217"/>
        <v>0.46875</v>
      </c>
      <c r="G250" s="8">
        <v>2</v>
      </c>
      <c r="H250" s="305">
        <f t="shared" si="218"/>
        <v>60</v>
      </c>
      <c r="I250" s="37" t="str">
        <f t="shared" si="216"/>
        <v>50;</v>
      </c>
      <c r="J250" s="38">
        <v>2</v>
      </c>
      <c r="K250" s="128">
        <f t="shared" si="219"/>
        <v>0.41666666666666669</v>
      </c>
      <c r="L250" s="39" t="str">
        <f>INDEX(powers!$H$2:$H$75,33+J250)</f>
        <v>gross</v>
      </c>
      <c r="M250" s="40" t="str">
        <f t="shared" si="220"/>
        <v>0</v>
      </c>
      <c r="N250" s="24">
        <f t="shared" si="221"/>
        <v>5</v>
      </c>
      <c r="O250" s="41" t="str">
        <f t="shared" si="222"/>
        <v>5</v>
      </c>
      <c r="P250" s="24">
        <f t="shared" si="223"/>
        <v>0</v>
      </c>
      <c r="Q250" s="41" t="str">
        <f t="shared" si="224"/>
        <v>0</v>
      </c>
      <c r="R250" s="24">
        <f t="shared" si="225"/>
        <v>0</v>
      </c>
      <c r="S250" s="41" t="str">
        <f t="shared" si="226"/>
        <v/>
      </c>
      <c r="T250" s="24">
        <f t="shared" si="227"/>
        <v>0</v>
      </c>
      <c r="U250" s="41" t="str">
        <f t="shared" si="228"/>
        <v/>
      </c>
      <c r="V250" s="24">
        <f t="shared" si="229"/>
        <v>0</v>
      </c>
      <c r="W250" s="41" t="str">
        <f t="shared" si="230"/>
        <v/>
      </c>
      <c r="X250" s="24">
        <f t="shared" si="231"/>
        <v>0</v>
      </c>
      <c r="Y250" s="41" t="str">
        <f t="shared" si="232"/>
        <v/>
      </c>
      <c r="Z250" s="24">
        <f t="shared" si="233"/>
        <v>0</v>
      </c>
      <c r="AA250" s="41" t="str">
        <f t="shared" si="234"/>
        <v/>
      </c>
      <c r="AB250" s="24">
        <f t="shared" si="235"/>
        <v>0</v>
      </c>
      <c r="AC250" s="41" t="str">
        <f t="shared" si="236"/>
        <v/>
      </c>
      <c r="AD250" s="24">
        <f t="shared" si="237"/>
        <v>0</v>
      </c>
      <c r="AE250" s="41" t="str">
        <f t="shared" si="238"/>
        <v/>
      </c>
      <c r="AF250" s="24">
        <f t="shared" si="239"/>
        <v>0</v>
      </c>
      <c r="AG250" s="41" t="str">
        <f t="shared" si="240"/>
        <v/>
      </c>
      <c r="AH250" s="24">
        <f t="shared" si="241"/>
        <v>0</v>
      </c>
      <c r="AI250" s="41" t="str">
        <f t="shared" si="242"/>
        <v/>
      </c>
      <c r="AJ250" s="24">
        <f t="shared" si="243"/>
        <v>0</v>
      </c>
      <c r="AK250" s="41" t="str">
        <f t="shared" si="244"/>
        <v/>
      </c>
    </row>
    <row r="251" spans="6:37" x14ac:dyDescent="0.2">
      <c r="F251" s="527">
        <f t="shared" si="217"/>
        <v>0.4765625</v>
      </c>
      <c r="G251" s="8">
        <v>2</v>
      </c>
      <c r="H251" s="305">
        <f t="shared" si="218"/>
        <v>61</v>
      </c>
      <c r="I251" s="37" t="str">
        <f t="shared" si="216"/>
        <v>51;</v>
      </c>
      <c r="J251" s="38">
        <v>2</v>
      </c>
      <c r="K251" s="128">
        <f t="shared" si="219"/>
        <v>0.4236111111111111</v>
      </c>
      <c r="L251" s="39" t="str">
        <f>INDEX(powers!$H$2:$H$75,33+J251)</f>
        <v>gross</v>
      </c>
      <c r="M251" s="40" t="str">
        <f t="shared" si="220"/>
        <v>0</v>
      </c>
      <c r="N251" s="24">
        <f t="shared" si="221"/>
        <v>5.083333333333333</v>
      </c>
      <c r="O251" s="41" t="str">
        <f t="shared" si="222"/>
        <v>5</v>
      </c>
      <c r="P251" s="24">
        <f t="shared" si="223"/>
        <v>0.99999999999999645</v>
      </c>
      <c r="Q251" s="41" t="str">
        <f t="shared" si="224"/>
        <v>1</v>
      </c>
      <c r="R251" s="24">
        <f t="shared" si="225"/>
        <v>11.999999999999957</v>
      </c>
      <c r="S251" s="41" t="str">
        <f t="shared" si="226"/>
        <v/>
      </c>
      <c r="T251" s="24">
        <f t="shared" si="227"/>
        <v>-5.1159076974727213E-13</v>
      </c>
      <c r="U251" s="41" t="str">
        <f t="shared" si="228"/>
        <v/>
      </c>
      <c r="V251" s="24">
        <f t="shared" si="229"/>
        <v>11.999999999993861</v>
      </c>
      <c r="W251" s="41" t="str">
        <f t="shared" si="230"/>
        <v/>
      </c>
      <c r="X251" s="24">
        <f t="shared" si="231"/>
        <v>11.999999999926331</v>
      </c>
      <c r="Y251" s="41" t="str">
        <f t="shared" si="232"/>
        <v/>
      </c>
      <c r="Z251" s="24">
        <f t="shared" si="233"/>
        <v>11.999999999115971</v>
      </c>
      <c r="AA251" s="41" t="str">
        <f t="shared" si="234"/>
        <v/>
      </c>
      <c r="AB251" s="24">
        <f t="shared" si="235"/>
        <v>11.999999989391654</v>
      </c>
      <c r="AC251" s="41" t="str">
        <f t="shared" si="236"/>
        <v/>
      </c>
      <c r="AD251" s="24">
        <f t="shared" si="237"/>
        <v>11.999999872699846</v>
      </c>
      <c r="AE251" s="41" t="str">
        <f t="shared" si="238"/>
        <v/>
      </c>
      <c r="AF251" s="24">
        <f t="shared" si="239"/>
        <v>11.999998472398147</v>
      </c>
      <c r="AG251" s="41" t="str">
        <f t="shared" si="240"/>
        <v/>
      </c>
      <c r="AH251" s="24">
        <f t="shared" si="241"/>
        <v>11.999981668777764</v>
      </c>
      <c r="AI251" s="41" t="str">
        <f t="shared" si="242"/>
        <v/>
      </c>
      <c r="AJ251" s="24">
        <f t="shared" si="243"/>
        <v>11.999780025333166</v>
      </c>
      <c r="AK251" s="41" t="str">
        <f t="shared" si="244"/>
        <v/>
      </c>
    </row>
    <row r="252" spans="6:37" x14ac:dyDescent="0.2">
      <c r="F252" s="527">
        <f t="shared" si="217"/>
        <v>0.484375</v>
      </c>
      <c r="G252" s="8">
        <v>2</v>
      </c>
      <c r="H252" s="305">
        <f t="shared" si="218"/>
        <v>62</v>
      </c>
      <c r="I252" s="37" t="str">
        <f t="shared" si="216"/>
        <v>52;</v>
      </c>
      <c r="J252" s="38">
        <v>2</v>
      </c>
      <c r="K252" s="128">
        <f t="shared" si="219"/>
        <v>0.43055555555555558</v>
      </c>
      <c r="L252" s="39" t="str">
        <f>INDEX(powers!$H$2:$H$75,33+J252)</f>
        <v>gross</v>
      </c>
      <c r="M252" s="40" t="str">
        <f t="shared" si="220"/>
        <v>0</v>
      </c>
      <c r="N252" s="24">
        <f t="shared" si="221"/>
        <v>5.166666666666667</v>
      </c>
      <c r="O252" s="41" t="str">
        <f t="shared" si="222"/>
        <v>5</v>
      </c>
      <c r="P252" s="24">
        <f t="shared" si="223"/>
        <v>2.0000000000000036</v>
      </c>
      <c r="Q252" s="41" t="str">
        <f t="shared" si="224"/>
        <v>2</v>
      </c>
      <c r="R252" s="24">
        <f t="shared" si="225"/>
        <v>4.2632564145606011E-14</v>
      </c>
      <c r="S252" s="41" t="str">
        <f t="shared" si="226"/>
        <v/>
      </c>
      <c r="T252" s="24">
        <f t="shared" si="227"/>
        <v>5.1159076974727213E-13</v>
      </c>
      <c r="U252" s="41" t="str">
        <f t="shared" si="228"/>
        <v/>
      </c>
      <c r="V252" s="24">
        <f t="shared" si="229"/>
        <v>6.1390892369672656E-12</v>
      </c>
      <c r="W252" s="41" t="str">
        <f t="shared" si="230"/>
        <v/>
      </c>
      <c r="X252" s="24">
        <f t="shared" si="231"/>
        <v>7.3669070843607187E-11</v>
      </c>
      <c r="Y252" s="41" t="str">
        <f t="shared" si="232"/>
        <v/>
      </c>
      <c r="Z252" s="24">
        <f t="shared" si="233"/>
        <v>8.8402885012328625E-10</v>
      </c>
      <c r="AA252" s="41" t="str">
        <f t="shared" si="234"/>
        <v/>
      </c>
      <c r="AB252" s="24">
        <f t="shared" si="235"/>
        <v>1.0608346201479435E-8</v>
      </c>
      <c r="AC252" s="41" t="str">
        <f t="shared" si="236"/>
        <v/>
      </c>
      <c r="AD252" s="24">
        <f t="shared" si="237"/>
        <v>1.2730015441775322E-7</v>
      </c>
      <c r="AE252" s="41" t="str">
        <f t="shared" si="238"/>
        <v/>
      </c>
      <c r="AF252" s="24">
        <f t="shared" si="239"/>
        <v>1.5276018530130386E-6</v>
      </c>
      <c r="AG252" s="41" t="str">
        <f t="shared" si="240"/>
        <v/>
      </c>
      <c r="AH252" s="24">
        <f t="shared" si="241"/>
        <v>1.8331222236156464E-5</v>
      </c>
      <c r="AI252" s="41" t="str">
        <f t="shared" si="242"/>
        <v/>
      </c>
      <c r="AJ252" s="24">
        <f t="shared" si="243"/>
        <v>2.1997466683387756E-4</v>
      </c>
      <c r="AK252" s="41" t="str">
        <f t="shared" si="244"/>
        <v/>
      </c>
    </row>
    <row r="253" spans="6:37" x14ac:dyDescent="0.2">
      <c r="F253" s="527">
        <f t="shared" si="217"/>
        <v>0.4921875</v>
      </c>
      <c r="G253" s="8">
        <v>2</v>
      </c>
      <c r="H253" s="305">
        <f t="shared" si="218"/>
        <v>63</v>
      </c>
      <c r="I253" s="37" t="str">
        <f t="shared" si="216"/>
        <v>53;</v>
      </c>
      <c r="J253" s="38">
        <v>2</v>
      </c>
      <c r="K253" s="128">
        <f t="shared" si="219"/>
        <v>0.4375</v>
      </c>
      <c r="L253" s="39" t="str">
        <f>INDEX(powers!$H$2:$H$75,33+J253)</f>
        <v>gross</v>
      </c>
      <c r="M253" s="40" t="str">
        <f t="shared" si="220"/>
        <v>0</v>
      </c>
      <c r="N253" s="24">
        <f t="shared" si="221"/>
        <v>5.25</v>
      </c>
      <c r="O253" s="41" t="str">
        <f t="shared" si="222"/>
        <v>5</v>
      </c>
      <c r="P253" s="24">
        <f t="shared" si="223"/>
        <v>3</v>
      </c>
      <c r="Q253" s="41" t="str">
        <f t="shared" si="224"/>
        <v>3</v>
      </c>
      <c r="R253" s="24">
        <f t="shared" si="225"/>
        <v>0</v>
      </c>
      <c r="S253" s="41" t="str">
        <f t="shared" si="226"/>
        <v/>
      </c>
      <c r="T253" s="24">
        <f t="shared" si="227"/>
        <v>0</v>
      </c>
      <c r="U253" s="41" t="str">
        <f t="shared" si="228"/>
        <v/>
      </c>
      <c r="V253" s="24">
        <f t="shared" si="229"/>
        <v>0</v>
      </c>
      <c r="W253" s="41" t="str">
        <f t="shared" si="230"/>
        <v/>
      </c>
      <c r="X253" s="24">
        <f t="shared" si="231"/>
        <v>0</v>
      </c>
      <c r="Y253" s="41" t="str">
        <f t="shared" si="232"/>
        <v/>
      </c>
      <c r="Z253" s="24">
        <f t="shared" si="233"/>
        <v>0</v>
      </c>
      <c r="AA253" s="41" t="str">
        <f t="shared" si="234"/>
        <v/>
      </c>
      <c r="AB253" s="24">
        <f t="shared" si="235"/>
        <v>0</v>
      </c>
      <c r="AC253" s="41" t="str">
        <f t="shared" si="236"/>
        <v/>
      </c>
      <c r="AD253" s="24">
        <f t="shared" si="237"/>
        <v>0</v>
      </c>
      <c r="AE253" s="41" t="str">
        <f t="shared" si="238"/>
        <v/>
      </c>
      <c r="AF253" s="24">
        <f t="shared" si="239"/>
        <v>0</v>
      </c>
      <c r="AG253" s="41" t="str">
        <f t="shared" si="240"/>
        <v/>
      </c>
      <c r="AH253" s="24">
        <f t="shared" si="241"/>
        <v>0</v>
      </c>
      <c r="AI253" s="41" t="str">
        <f t="shared" si="242"/>
        <v/>
      </c>
      <c r="AJ253" s="24">
        <f t="shared" si="243"/>
        <v>0</v>
      </c>
      <c r="AK253" s="41" t="str">
        <f t="shared" si="244"/>
        <v/>
      </c>
    </row>
    <row r="254" spans="6:37" x14ac:dyDescent="0.2">
      <c r="F254" s="527">
        <f t="shared" si="217"/>
        <v>0.5</v>
      </c>
      <c r="G254" s="8">
        <v>2</v>
      </c>
      <c r="H254" s="305">
        <f t="shared" si="218"/>
        <v>64</v>
      </c>
      <c r="I254" s="37" t="str">
        <f t="shared" si="216"/>
        <v>54;</v>
      </c>
      <c r="J254" s="38">
        <v>2</v>
      </c>
      <c r="K254" s="128">
        <f t="shared" si="219"/>
        <v>0.44444444444444442</v>
      </c>
      <c r="L254" s="39" t="str">
        <f>INDEX(powers!$H$2:$H$75,33+J254)</f>
        <v>gross</v>
      </c>
      <c r="M254" s="40" t="str">
        <f t="shared" si="220"/>
        <v>0</v>
      </c>
      <c r="N254" s="24">
        <f t="shared" si="221"/>
        <v>5.333333333333333</v>
      </c>
      <c r="O254" s="41" t="str">
        <f t="shared" si="222"/>
        <v>5</v>
      </c>
      <c r="P254" s="24">
        <f t="shared" si="223"/>
        <v>3.9999999999999964</v>
      </c>
      <c r="Q254" s="41" t="str">
        <f t="shared" si="224"/>
        <v>4</v>
      </c>
      <c r="R254" s="24">
        <f t="shared" si="225"/>
        <v>-4.2632564145606011E-14</v>
      </c>
      <c r="S254" s="41" t="str">
        <f t="shared" si="226"/>
        <v/>
      </c>
      <c r="T254" s="24">
        <f t="shared" si="227"/>
        <v>11.999999999999488</v>
      </c>
      <c r="U254" s="41" t="str">
        <f t="shared" si="228"/>
        <v/>
      </c>
      <c r="V254" s="24">
        <f t="shared" si="229"/>
        <v>11.999999999993861</v>
      </c>
      <c r="W254" s="41" t="str">
        <f t="shared" si="230"/>
        <v/>
      </c>
      <c r="X254" s="24">
        <f t="shared" si="231"/>
        <v>11.999999999926331</v>
      </c>
      <c r="Y254" s="41" t="str">
        <f t="shared" si="232"/>
        <v/>
      </c>
      <c r="Z254" s="24">
        <f t="shared" si="233"/>
        <v>11.999999999115971</v>
      </c>
      <c r="AA254" s="41" t="str">
        <f t="shared" si="234"/>
        <v/>
      </c>
      <c r="AB254" s="24">
        <f t="shared" si="235"/>
        <v>11.999999989391654</v>
      </c>
      <c r="AC254" s="41" t="str">
        <f t="shared" si="236"/>
        <v/>
      </c>
      <c r="AD254" s="24">
        <f t="shared" si="237"/>
        <v>11.999999872699846</v>
      </c>
      <c r="AE254" s="41" t="str">
        <f t="shared" si="238"/>
        <v/>
      </c>
      <c r="AF254" s="24">
        <f t="shared" si="239"/>
        <v>11.999998472398147</v>
      </c>
      <c r="AG254" s="41" t="str">
        <f t="shared" si="240"/>
        <v/>
      </c>
      <c r="AH254" s="24">
        <f t="shared" si="241"/>
        <v>11.999981668777764</v>
      </c>
      <c r="AI254" s="41" t="str">
        <f t="shared" si="242"/>
        <v/>
      </c>
      <c r="AJ254" s="24">
        <f t="shared" si="243"/>
        <v>11.999780025333166</v>
      </c>
      <c r="AK254" s="41" t="str">
        <f t="shared" si="244"/>
        <v/>
      </c>
    </row>
    <row r="255" spans="6:37" x14ac:dyDescent="0.2">
      <c r="F255" s="527">
        <f t="shared" si="217"/>
        <v>0.5078125</v>
      </c>
      <c r="G255" s="8">
        <v>2</v>
      </c>
      <c r="H255" s="305">
        <f t="shared" si="218"/>
        <v>65</v>
      </c>
      <c r="I255" s="37" t="str">
        <f t="shared" si="216"/>
        <v>55;</v>
      </c>
      <c r="J255" s="38">
        <v>2</v>
      </c>
      <c r="K255" s="128">
        <f t="shared" si="219"/>
        <v>0.4513888888888889</v>
      </c>
      <c r="L255" s="39" t="str">
        <f>INDEX(powers!$H$2:$H$75,33+J255)</f>
        <v>gross</v>
      </c>
      <c r="M255" s="40" t="str">
        <f t="shared" si="220"/>
        <v>0</v>
      </c>
      <c r="N255" s="24">
        <f t="shared" si="221"/>
        <v>5.416666666666667</v>
      </c>
      <c r="O255" s="41" t="str">
        <f t="shared" si="222"/>
        <v>5</v>
      </c>
      <c r="P255" s="24">
        <f t="shared" si="223"/>
        <v>5.0000000000000036</v>
      </c>
      <c r="Q255" s="41" t="str">
        <f t="shared" si="224"/>
        <v>5</v>
      </c>
      <c r="R255" s="24">
        <f t="shared" si="225"/>
        <v>4.2632564145606011E-14</v>
      </c>
      <c r="S255" s="41" t="str">
        <f t="shared" si="226"/>
        <v/>
      </c>
      <c r="T255" s="24">
        <f t="shared" si="227"/>
        <v>5.1159076974727213E-13</v>
      </c>
      <c r="U255" s="41" t="str">
        <f t="shared" si="228"/>
        <v/>
      </c>
      <c r="V255" s="24">
        <f t="shared" si="229"/>
        <v>6.1390892369672656E-12</v>
      </c>
      <c r="W255" s="41" t="str">
        <f t="shared" si="230"/>
        <v/>
      </c>
      <c r="X255" s="24">
        <f t="shared" si="231"/>
        <v>7.3669070843607187E-11</v>
      </c>
      <c r="Y255" s="41" t="str">
        <f t="shared" si="232"/>
        <v/>
      </c>
      <c r="Z255" s="24">
        <f t="shared" si="233"/>
        <v>8.8402885012328625E-10</v>
      </c>
      <c r="AA255" s="41" t="str">
        <f t="shared" si="234"/>
        <v/>
      </c>
      <c r="AB255" s="24">
        <f t="shared" si="235"/>
        <v>1.0608346201479435E-8</v>
      </c>
      <c r="AC255" s="41" t="str">
        <f t="shared" si="236"/>
        <v/>
      </c>
      <c r="AD255" s="24">
        <f t="shared" si="237"/>
        <v>1.2730015441775322E-7</v>
      </c>
      <c r="AE255" s="41" t="str">
        <f t="shared" si="238"/>
        <v/>
      </c>
      <c r="AF255" s="24">
        <f t="shared" si="239"/>
        <v>1.5276018530130386E-6</v>
      </c>
      <c r="AG255" s="41" t="str">
        <f t="shared" si="240"/>
        <v/>
      </c>
      <c r="AH255" s="24">
        <f t="shared" si="241"/>
        <v>1.8331222236156464E-5</v>
      </c>
      <c r="AI255" s="41" t="str">
        <f t="shared" si="242"/>
        <v/>
      </c>
      <c r="AJ255" s="24">
        <f t="shared" si="243"/>
        <v>2.1997466683387756E-4</v>
      </c>
      <c r="AK255" s="41" t="str">
        <f t="shared" si="244"/>
        <v/>
      </c>
    </row>
    <row r="256" spans="6:37" x14ac:dyDescent="0.2">
      <c r="F256" s="527">
        <f t="shared" si="217"/>
        <v>0.515625</v>
      </c>
      <c r="G256" s="8">
        <v>2</v>
      </c>
      <c r="H256" s="305">
        <f t="shared" si="218"/>
        <v>66</v>
      </c>
      <c r="I256" s="37" t="str">
        <f t="shared" ref="I256:I317" si="245">O256&amp;Q256&amp;S256&amp;U256&amp;W256&amp;Y256&amp;AA256&amp;AC256&amp;AE256&amp;AG256&amp;AI256&amp;AK256&amp;";"</f>
        <v>56;</v>
      </c>
      <c r="J256" s="38">
        <v>2</v>
      </c>
      <c r="K256" s="128">
        <f t="shared" si="219"/>
        <v>0.45833333333333331</v>
      </c>
      <c r="L256" s="39" t="str">
        <f>INDEX(powers!$H$2:$H$75,33+J256)</f>
        <v>gross</v>
      </c>
      <c r="M256" s="40" t="str">
        <f t="shared" si="220"/>
        <v>0</v>
      </c>
      <c r="N256" s="24">
        <f t="shared" si="221"/>
        <v>5.5</v>
      </c>
      <c r="O256" s="41" t="str">
        <f t="shared" si="222"/>
        <v>5</v>
      </c>
      <c r="P256" s="24">
        <f t="shared" si="223"/>
        <v>6</v>
      </c>
      <c r="Q256" s="41" t="str">
        <f t="shared" si="224"/>
        <v>6</v>
      </c>
      <c r="R256" s="24">
        <f t="shared" si="225"/>
        <v>0</v>
      </c>
      <c r="S256" s="41" t="str">
        <f t="shared" si="226"/>
        <v/>
      </c>
      <c r="T256" s="24">
        <f t="shared" si="227"/>
        <v>0</v>
      </c>
      <c r="U256" s="41" t="str">
        <f t="shared" si="228"/>
        <v/>
      </c>
      <c r="V256" s="24">
        <f t="shared" si="229"/>
        <v>0</v>
      </c>
      <c r="W256" s="41" t="str">
        <f t="shared" si="230"/>
        <v/>
      </c>
      <c r="X256" s="24">
        <f t="shared" si="231"/>
        <v>0</v>
      </c>
      <c r="Y256" s="41" t="str">
        <f t="shared" si="232"/>
        <v/>
      </c>
      <c r="Z256" s="24">
        <f t="shared" si="233"/>
        <v>0</v>
      </c>
      <c r="AA256" s="41" t="str">
        <f t="shared" si="234"/>
        <v/>
      </c>
      <c r="AB256" s="24">
        <f t="shared" si="235"/>
        <v>0</v>
      </c>
      <c r="AC256" s="41" t="str">
        <f t="shared" si="236"/>
        <v/>
      </c>
      <c r="AD256" s="24">
        <f t="shared" si="237"/>
        <v>0</v>
      </c>
      <c r="AE256" s="41" t="str">
        <f t="shared" si="238"/>
        <v/>
      </c>
      <c r="AF256" s="24">
        <f t="shared" si="239"/>
        <v>0</v>
      </c>
      <c r="AG256" s="41" t="str">
        <f t="shared" si="240"/>
        <v/>
      </c>
      <c r="AH256" s="24">
        <f t="shared" si="241"/>
        <v>0</v>
      </c>
      <c r="AI256" s="41" t="str">
        <f t="shared" si="242"/>
        <v/>
      </c>
      <c r="AJ256" s="24">
        <f t="shared" si="243"/>
        <v>0</v>
      </c>
      <c r="AK256" s="41" t="str">
        <f t="shared" si="244"/>
        <v/>
      </c>
    </row>
    <row r="257" spans="6:37" x14ac:dyDescent="0.2">
      <c r="F257" s="527">
        <f t="shared" si="217"/>
        <v>0.5234375</v>
      </c>
      <c r="G257" s="8">
        <v>2</v>
      </c>
      <c r="H257" s="305">
        <f t="shared" si="218"/>
        <v>67</v>
      </c>
      <c r="I257" s="37" t="str">
        <f t="shared" si="245"/>
        <v>57;</v>
      </c>
      <c r="J257" s="38">
        <v>2</v>
      </c>
      <c r="K257" s="128">
        <f t="shared" si="219"/>
        <v>0.46527777777777779</v>
      </c>
      <c r="L257" s="39" t="str">
        <f>INDEX(powers!$H$2:$H$75,33+J257)</f>
        <v>gross</v>
      </c>
      <c r="M257" s="40" t="str">
        <f t="shared" si="220"/>
        <v>0</v>
      </c>
      <c r="N257" s="24">
        <f t="shared" si="221"/>
        <v>5.5833333333333339</v>
      </c>
      <c r="O257" s="41" t="str">
        <f t="shared" si="222"/>
        <v>5</v>
      </c>
      <c r="P257" s="24">
        <f t="shared" si="223"/>
        <v>7.0000000000000071</v>
      </c>
      <c r="Q257" s="41" t="str">
        <f t="shared" si="224"/>
        <v>7</v>
      </c>
      <c r="R257" s="24">
        <f t="shared" si="225"/>
        <v>8.5265128291212022E-14</v>
      </c>
      <c r="S257" s="41" t="str">
        <f t="shared" si="226"/>
        <v/>
      </c>
      <c r="T257" s="24">
        <f t="shared" si="227"/>
        <v>1.0231815394945443E-12</v>
      </c>
      <c r="U257" s="41" t="str">
        <f t="shared" si="228"/>
        <v/>
      </c>
      <c r="V257" s="24">
        <f t="shared" si="229"/>
        <v>1.2278178473934531E-11</v>
      </c>
      <c r="W257" s="41" t="str">
        <f t="shared" si="230"/>
        <v/>
      </c>
      <c r="X257" s="24">
        <f t="shared" si="231"/>
        <v>1.4733814168721437E-10</v>
      </c>
      <c r="Y257" s="41" t="str">
        <f t="shared" si="232"/>
        <v/>
      </c>
      <c r="Z257" s="24">
        <f t="shared" si="233"/>
        <v>1.7680577002465725E-9</v>
      </c>
      <c r="AA257" s="41" t="str">
        <f t="shared" si="234"/>
        <v/>
      </c>
      <c r="AB257" s="24">
        <f t="shared" si="235"/>
        <v>2.121669240295887E-8</v>
      </c>
      <c r="AC257" s="41" t="str">
        <f t="shared" si="236"/>
        <v/>
      </c>
      <c r="AD257" s="24">
        <f t="shared" si="237"/>
        <v>2.5460030883550644E-7</v>
      </c>
      <c r="AE257" s="41" t="str">
        <f t="shared" si="238"/>
        <v/>
      </c>
      <c r="AF257" s="24">
        <f t="shared" si="239"/>
        <v>3.0552037060260773E-6</v>
      </c>
      <c r="AG257" s="41" t="str">
        <f t="shared" si="240"/>
        <v/>
      </c>
      <c r="AH257" s="24">
        <f t="shared" si="241"/>
        <v>3.6662444472312927E-5</v>
      </c>
      <c r="AI257" s="41" t="str">
        <f t="shared" si="242"/>
        <v/>
      </c>
      <c r="AJ257" s="24">
        <f t="shared" si="243"/>
        <v>4.3994933366775513E-4</v>
      </c>
      <c r="AK257" s="41" t="str">
        <f t="shared" si="244"/>
        <v/>
      </c>
    </row>
    <row r="258" spans="6:37" x14ac:dyDescent="0.2">
      <c r="F258" s="527">
        <f t="shared" si="217"/>
        <v>0.53125</v>
      </c>
      <c r="G258" s="8">
        <v>2</v>
      </c>
      <c r="H258" s="305">
        <f t="shared" si="218"/>
        <v>68</v>
      </c>
      <c r="I258" s="37" t="str">
        <f t="shared" si="245"/>
        <v>58;</v>
      </c>
      <c r="J258" s="38">
        <v>2</v>
      </c>
      <c r="K258" s="128">
        <f t="shared" si="219"/>
        <v>0.47222222222222221</v>
      </c>
      <c r="L258" s="39" t="str">
        <f>INDEX(powers!$H$2:$H$75,33+J258)</f>
        <v>gross</v>
      </c>
      <c r="M258" s="40" t="str">
        <f t="shared" si="220"/>
        <v>0</v>
      </c>
      <c r="N258" s="24">
        <f t="shared" si="221"/>
        <v>5.6666666666666661</v>
      </c>
      <c r="O258" s="41" t="str">
        <f t="shared" si="222"/>
        <v>5</v>
      </c>
      <c r="P258" s="24">
        <f t="shared" si="223"/>
        <v>7.9999999999999929</v>
      </c>
      <c r="Q258" s="41" t="str">
        <f t="shared" si="224"/>
        <v>8</v>
      </c>
      <c r="R258" s="24">
        <f t="shared" si="225"/>
        <v>11.999999999999915</v>
      </c>
      <c r="S258" s="41" t="str">
        <f t="shared" si="226"/>
        <v/>
      </c>
      <c r="T258" s="24">
        <f t="shared" si="227"/>
        <v>11.999999999998977</v>
      </c>
      <c r="U258" s="41" t="str">
        <f t="shared" si="228"/>
        <v/>
      </c>
      <c r="V258" s="24">
        <f t="shared" si="229"/>
        <v>11.999999999987722</v>
      </c>
      <c r="W258" s="41" t="str">
        <f t="shared" si="230"/>
        <v/>
      </c>
      <c r="X258" s="24">
        <f t="shared" si="231"/>
        <v>11.999999999852662</v>
      </c>
      <c r="Y258" s="41" t="str">
        <f t="shared" si="232"/>
        <v/>
      </c>
      <c r="Z258" s="24">
        <f t="shared" si="233"/>
        <v>11.999999998231942</v>
      </c>
      <c r="AA258" s="41" t="str">
        <f t="shared" si="234"/>
        <v/>
      </c>
      <c r="AB258" s="24">
        <f t="shared" si="235"/>
        <v>11.999999978783308</v>
      </c>
      <c r="AC258" s="41" t="str">
        <f t="shared" si="236"/>
        <v/>
      </c>
      <c r="AD258" s="24">
        <f t="shared" si="237"/>
        <v>11.999999745399691</v>
      </c>
      <c r="AE258" s="41" t="str">
        <f t="shared" si="238"/>
        <v/>
      </c>
      <c r="AF258" s="24">
        <f t="shared" si="239"/>
        <v>11.999996944796294</v>
      </c>
      <c r="AG258" s="41" t="str">
        <f t="shared" si="240"/>
        <v/>
      </c>
      <c r="AH258" s="24">
        <f t="shared" si="241"/>
        <v>11.999963337555528</v>
      </c>
      <c r="AI258" s="41" t="str">
        <f t="shared" si="242"/>
        <v/>
      </c>
      <c r="AJ258" s="24">
        <f t="shared" si="243"/>
        <v>11.999560050666332</v>
      </c>
      <c r="AK258" s="41" t="str">
        <f t="shared" si="244"/>
        <v/>
      </c>
    </row>
    <row r="259" spans="6:37" x14ac:dyDescent="0.2">
      <c r="F259" s="527">
        <f t="shared" ref="F259:F317" si="246">H259/128</f>
        <v>0.5390625</v>
      </c>
      <c r="G259" s="8">
        <v>2</v>
      </c>
      <c r="H259" s="305">
        <f t="shared" ref="H259:H317" si="247">H258+1</f>
        <v>69</v>
      </c>
      <c r="I259" s="37" t="str">
        <f t="shared" si="245"/>
        <v>59;</v>
      </c>
      <c r="J259" s="38">
        <v>2</v>
      </c>
      <c r="K259" s="128">
        <f t="shared" ref="K259:K317" si="248">H259/POWER(12,J259)</f>
        <v>0.47916666666666669</v>
      </c>
      <c r="L259" s="39" t="str">
        <f>INDEX(powers!$H$2:$H$75,33+J259)</f>
        <v>gross</v>
      </c>
      <c r="M259" s="40" t="str">
        <f t="shared" ref="M259:M317" si="249">IF($G259&gt;=M$17,MID($J$17,IF($G259&gt;M$17,INT(K259),ROUND(K259,0))+1,1),"")</f>
        <v>0</v>
      </c>
      <c r="N259" s="24">
        <f t="shared" ref="N259:N317" si="250">(K259-INT(K259))*12</f>
        <v>5.75</v>
      </c>
      <c r="O259" s="41" t="str">
        <f t="shared" ref="O259:O317" si="251">IF($G259&gt;=O$17,MID($J$17,IF($G259&gt;O$17,INT(N259),ROUND(N259,0))+1,1),"")</f>
        <v>5</v>
      </c>
      <c r="P259" s="24">
        <f t="shared" ref="P259:P317" si="252">(N259-INT(N259))*12</f>
        <v>9</v>
      </c>
      <c r="Q259" s="41" t="str">
        <f t="shared" ref="Q259:Q317" si="253">IF($G259&gt;=Q$17,MID($J$17,IF($G259&gt;Q$17,INT(P259),ROUND(P259,0))+1,1),"")</f>
        <v>9</v>
      </c>
      <c r="R259" s="24">
        <f t="shared" ref="R259:R317" si="254">(P259-INT(P259))*12</f>
        <v>0</v>
      </c>
      <c r="S259" s="41" t="str">
        <f t="shared" ref="S259:S317" si="255">IF($G259&gt;=S$17,MID($J$17,IF($G259&gt;S$17,INT(R259),ROUND(R259,0))+1,1),"")</f>
        <v/>
      </c>
      <c r="T259" s="24">
        <f t="shared" ref="T259:T317" si="256">(R259-INT(R259))*12</f>
        <v>0</v>
      </c>
      <c r="U259" s="41" t="str">
        <f t="shared" ref="U259:U317" si="257">IF($G259&gt;=U$17,MID($J$17,IF($G259&gt;U$17,INT(T259),ROUND(T259,0))+1,1),"")</f>
        <v/>
      </c>
      <c r="V259" s="24">
        <f t="shared" ref="V259:V317" si="258">(T259-INT(T259))*12</f>
        <v>0</v>
      </c>
      <c r="W259" s="41" t="str">
        <f t="shared" ref="W259:W317" si="259">IF($G259&gt;=W$17,MID($J$17,IF($G259&gt;W$17,INT(V259),ROUND(V259,0))+1,1),"")</f>
        <v/>
      </c>
      <c r="X259" s="24">
        <f t="shared" ref="X259:X317" si="260">(V259-INT(V259))*12</f>
        <v>0</v>
      </c>
      <c r="Y259" s="41" t="str">
        <f t="shared" ref="Y259:Y317" si="261">IF($G259&gt;=Y$17,MID($J$17,IF($G259&gt;Y$17,INT(X259),ROUND(X259,0))+1,1),"")</f>
        <v/>
      </c>
      <c r="Z259" s="24">
        <f t="shared" ref="Z259:Z317" si="262">(X259-INT(X259))*12</f>
        <v>0</v>
      </c>
      <c r="AA259" s="41" t="str">
        <f t="shared" ref="AA259:AA317" si="263">IF($G259&gt;=AA$17,MID($J$17,IF($G259&gt;AA$17,INT(Z259),ROUND(Z259,0))+1,1),"")</f>
        <v/>
      </c>
      <c r="AB259" s="24">
        <f t="shared" ref="AB259:AB317" si="264">(Z259-INT(Z259))*12</f>
        <v>0</v>
      </c>
      <c r="AC259" s="41" t="str">
        <f t="shared" ref="AC259:AC317" si="265">IF($G259&gt;=AC$17,MID($J$17,IF($G259&gt;AC$17,INT(AB259),ROUND(AB259,0))+1,1),"")</f>
        <v/>
      </c>
      <c r="AD259" s="24">
        <f t="shared" ref="AD259:AD317" si="266">(AB259-INT(AB259))*12</f>
        <v>0</v>
      </c>
      <c r="AE259" s="41" t="str">
        <f t="shared" ref="AE259:AE317" si="267">IF($G259&gt;=AE$17,MID($J$17,IF($G259&gt;AE$17,INT(AD259),ROUND(AD259,0))+1,1),"")</f>
        <v/>
      </c>
      <c r="AF259" s="24">
        <f t="shared" ref="AF259:AF317" si="268">(AD259-INT(AD259))*12</f>
        <v>0</v>
      </c>
      <c r="AG259" s="41" t="str">
        <f t="shared" ref="AG259:AG317" si="269">IF($G259&gt;=AG$17,MID($J$17,IF($G259&gt;AG$17,INT(AF259),ROUND(AF259,0))+1,1),"")</f>
        <v/>
      </c>
      <c r="AH259" s="24">
        <f t="shared" ref="AH259:AH317" si="270">(AF259-INT(AF259))*12</f>
        <v>0</v>
      </c>
      <c r="AI259" s="41" t="str">
        <f t="shared" ref="AI259:AI317" si="271">IF($G259&gt;=AI$17,MID($J$17,IF($G259&gt;AI$17,INT(AH259),ROUND(AH259,0))+1,1),"")</f>
        <v/>
      </c>
      <c r="AJ259" s="24">
        <f t="shared" ref="AJ259:AJ317" si="272">(AH259-INT(AH259))*12</f>
        <v>0</v>
      </c>
      <c r="AK259" s="41" t="str">
        <f t="shared" ref="AK259:AK317" si="273">IF($G259&gt;=AK$17,MID($J$17,IF($G259&gt;AK$17,INT(AJ259),ROUND(AJ259,0))+1,1),"")</f>
        <v/>
      </c>
    </row>
    <row r="260" spans="6:37" x14ac:dyDescent="0.2">
      <c r="F260" s="527">
        <f t="shared" si="246"/>
        <v>0.546875</v>
      </c>
      <c r="G260" s="8">
        <v>2</v>
      </c>
      <c r="H260" s="305">
        <f t="shared" si="247"/>
        <v>70</v>
      </c>
      <c r="I260" s="37" t="str">
        <f t="shared" si="245"/>
        <v>5X;</v>
      </c>
      <c r="J260" s="38">
        <v>2</v>
      </c>
      <c r="K260" s="128">
        <f t="shared" si="248"/>
        <v>0.4861111111111111</v>
      </c>
      <c r="L260" s="39" t="str">
        <f>INDEX(powers!$H$2:$H$75,33+J260)</f>
        <v>gross</v>
      </c>
      <c r="M260" s="40" t="str">
        <f t="shared" si="249"/>
        <v>0</v>
      </c>
      <c r="N260" s="24">
        <f t="shared" si="250"/>
        <v>5.833333333333333</v>
      </c>
      <c r="O260" s="41" t="str">
        <f t="shared" si="251"/>
        <v>5</v>
      </c>
      <c r="P260" s="24">
        <f t="shared" si="252"/>
        <v>9.9999999999999964</v>
      </c>
      <c r="Q260" s="41" t="str">
        <f t="shared" si="253"/>
        <v>X</v>
      </c>
      <c r="R260" s="24">
        <f t="shared" si="254"/>
        <v>-4.2632564145606011E-14</v>
      </c>
      <c r="S260" s="41" t="str">
        <f t="shared" si="255"/>
        <v/>
      </c>
      <c r="T260" s="24">
        <f t="shared" si="256"/>
        <v>11.999999999999488</v>
      </c>
      <c r="U260" s="41" t="str">
        <f t="shared" si="257"/>
        <v/>
      </c>
      <c r="V260" s="24">
        <f t="shared" si="258"/>
        <v>11.999999999993861</v>
      </c>
      <c r="W260" s="41" t="str">
        <f t="shared" si="259"/>
        <v/>
      </c>
      <c r="X260" s="24">
        <f t="shared" si="260"/>
        <v>11.999999999926331</v>
      </c>
      <c r="Y260" s="41" t="str">
        <f t="shared" si="261"/>
        <v/>
      </c>
      <c r="Z260" s="24">
        <f t="shared" si="262"/>
        <v>11.999999999115971</v>
      </c>
      <c r="AA260" s="41" t="str">
        <f t="shared" si="263"/>
        <v/>
      </c>
      <c r="AB260" s="24">
        <f t="shared" si="264"/>
        <v>11.999999989391654</v>
      </c>
      <c r="AC260" s="41" t="str">
        <f t="shared" si="265"/>
        <v/>
      </c>
      <c r="AD260" s="24">
        <f t="shared" si="266"/>
        <v>11.999999872699846</v>
      </c>
      <c r="AE260" s="41" t="str">
        <f t="shared" si="267"/>
        <v/>
      </c>
      <c r="AF260" s="24">
        <f t="shared" si="268"/>
        <v>11.999998472398147</v>
      </c>
      <c r="AG260" s="41" t="str">
        <f t="shared" si="269"/>
        <v/>
      </c>
      <c r="AH260" s="24">
        <f t="shared" si="270"/>
        <v>11.999981668777764</v>
      </c>
      <c r="AI260" s="41" t="str">
        <f t="shared" si="271"/>
        <v/>
      </c>
      <c r="AJ260" s="24">
        <f t="shared" si="272"/>
        <v>11.999780025333166</v>
      </c>
      <c r="AK260" s="41" t="str">
        <f t="shared" si="273"/>
        <v/>
      </c>
    </row>
    <row r="261" spans="6:37" x14ac:dyDescent="0.2">
      <c r="F261" s="527">
        <f t="shared" si="246"/>
        <v>0.5546875</v>
      </c>
      <c r="G261" s="8">
        <v>2</v>
      </c>
      <c r="H261" s="305">
        <f t="shared" si="247"/>
        <v>71</v>
      </c>
      <c r="I261" s="37" t="str">
        <f t="shared" si="245"/>
        <v>5E;</v>
      </c>
      <c r="J261" s="38">
        <v>2</v>
      </c>
      <c r="K261" s="128">
        <f t="shared" si="248"/>
        <v>0.49305555555555558</v>
      </c>
      <c r="L261" s="39" t="str">
        <f>INDEX(powers!$H$2:$H$75,33+J261)</f>
        <v>gross</v>
      </c>
      <c r="M261" s="40" t="str">
        <f t="shared" si="249"/>
        <v>0</v>
      </c>
      <c r="N261" s="24">
        <f t="shared" si="250"/>
        <v>5.916666666666667</v>
      </c>
      <c r="O261" s="41" t="str">
        <f t="shared" si="251"/>
        <v>5</v>
      </c>
      <c r="P261" s="24">
        <f t="shared" si="252"/>
        <v>11.000000000000004</v>
      </c>
      <c r="Q261" s="41" t="str">
        <f t="shared" si="253"/>
        <v>E</v>
      </c>
      <c r="R261" s="24">
        <f t="shared" si="254"/>
        <v>4.2632564145606011E-14</v>
      </c>
      <c r="S261" s="41" t="str">
        <f t="shared" si="255"/>
        <v/>
      </c>
      <c r="T261" s="24">
        <f t="shared" si="256"/>
        <v>5.1159076974727213E-13</v>
      </c>
      <c r="U261" s="41" t="str">
        <f t="shared" si="257"/>
        <v/>
      </c>
      <c r="V261" s="24">
        <f t="shared" si="258"/>
        <v>6.1390892369672656E-12</v>
      </c>
      <c r="W261" s="41" t="str">
        <f t="shared" si="259"/>
        <v/>
      </c>
      <c r="X261" s="24">
        <f t="shared" si="260"/>
        <v>7.3669070843607187E-11</v>
      </c>
      <c r="Y261" s="41" t="str">
        <f t="shared" si="261"/>
        <v/>
      </c>
      <c r="Z261" s="24">
        <f t="shared" si="262"/>
        <v>8.8402885012328625E-10</v>
      </c>
      <c r="AA261" s="41" t="str">
        <f t="shared" si="263"/>
        <v/>
      </c>
      <c r="AB261" s="24">
        <f t="shared" si="264"/>
        <v>1.0608346201479435E-8</v>
      </c>
      <c r="AC261" s="41" t="str">
        <f t="shared" si="265"/>
        <v/>
      </c>
      <c r="AD261" s="24">
        <f t="shared" si="266"/>
        <v>1.2730015441775322E-7</v>
      </c>
      <c r="AE261" s="41" t="str">
        <f t="shared" si="267"/>
        <v/>
      </c>
      <c r="AF261" s="24">
        <f t="shared" si="268"/>
        <v>1.5276018530130386E-6</v>
      </c>
      <c r="AG261" s="41" t="str">
        <f t="shared" si="269"/>
        <v/>
      </c>
      <c r="AH261" s="24">
        <f t="shared" si="270"/>
        <v>1.8331222236156464E-5</v>
      </c>
      <c r="AI261" s="41" t="str">
        <f t="shared" si="271"/>
        <v/>
      </c>
      <c r="AJ261" s="24">
        <f t="shared" si="272"/>
        <v>2.1997466683387756E-4</v>
      </c>
      <c r="AK261" s="41" t="str">
        <f t="shared" si="273"/>
        <v/>
      </c>
    </row>
    <row r="262" spans="6:37" x14ac:dyDescent="0.2">
      <c r="F262" s="527">
        <f t="shared" si="246"/>
        <v>0.5625</v>
      </c>
      <c r="G262" s="8">
        <v>2</v>
      </c>
      <c r="H262" s="305">
        <f t="shared" si="247"/>
        <v>72</v>
      </c>
      <c r="I262" s="37" t="str">
        <f t="shared" si="245"/>
        <v>60;</v>
      </c>
      <c r="J262" s="38">
        <v>2</v>
      </c>
      <c r="K262" s="128">
        <f t="shared" si="248"/>
        <v>0.5</v>
      </c>
      <c r="L262" s="39" t="str">
        <f>INDEX(powers!$H$2:$H$75,33+J262)</f>
        <v>gross</v>
      </c>
      <c r="M262" s="40" t="str">
        <f t="shared" si="249"/>
        <v>0</v>
      </c>
      <c r="N262" s="24">
        <f t="shared" si="250"/>
        <v>6</v>
      </c>
      <c r="O262" s="41" t="str">
        <f t="shared" si="251"/>
        <v>6</v>
      </c>
      <c r="P262" s="24">
        <f t="shared" si="252"/>
        <v>0</v>
      </c>
      <c r="Q262" s="41" t="str">
        <f t="shared" si="253"/>
        <v>0</v>
      </c>
      <c r="R262" s="24">
        <f t="shared" si="254"/>
        <v>0</v>
      </c>
      <c r="S262" s="41" t="str">
        <f t="shared" si="255"/>
        <v/>
      </c>
      <c r="T262" s="24">
        <f t="shared" si="256"/>
        <v>0</v>
      </c>
      <c r="U262" s="41" t="str">
        <f t="shared" si="257"/>
        <v/>
      </c>
      <c r="V262" s="24">
        <f t="shared" si="258"/>
        <v>0</v>
      </c>
      <c r="W262" s="41" t="str">
        <f t="shared" si="259"/>
        <v/>
      </c>
      <c r="X262" s="24">
        <f t="shared" si="260"/>
        <v>0</v>
      </c>
      <c r="Y262" s="41" t="str">
        <f t="shared" si="261"/>
        <v/>
      </c>
      <c r="Z262" s="24">
        <f t="shared" si="262"/>
        <v>0</v>
      </c>
      <c r="AA262" s="41" t="str">
        <f t="shared" si="263"/>
        <v/>
      </c>
      <c r="AB262" s="24">
        <f t="shared" si="264"/>
        <v>0</v>
      </c>
      <c r="AC262" s="41" t="str">
        <f t="shared" si="265"/>
        <v/>
      </c>
      <c r="AD262" s="24">
        <f t="shared" si="266"/>
        <v>0</v>
      </c>
      <c r="AE262" s="41" t="str">
        <f t="shared" si="267"/>
        <v/>
      </c>
      <c r="AF262" s="24">
        <f t="shared" si="268"/>
        <v>0</v>
      </c>
      <c r="AG262" s="41" t="str">
        <f t="shared" si="269"/>
        <v/>
      </c>
      <c r="AH262" s="24">
        <f t="shared" si="270"/>
        <v>0</v>
      </c>
      <c r="AI262" s="41" t="str">
        <f t="shared" si="271"/>
        <v/>
      </c>
      <c r="AJ262" s="24">
        <f t="shared" si="272"/>
        <v>0</v>
      </c>
      <c r="AK262" s="41" t="str">
        <f t="shared" si="273"/>
        <v/>
      </c>
    </row>
    <row r="263" spans="6:37" x14ac:dyDescent="0.2">
      <c r="F263" s="527">
        <f t="shared" si="246"/>
        <v>0.5703125</v>
      </c>
      <c r="G263" s="8">
        <v>2</v>
      </c>
      <c r="H263" s="305">
        <f t="shared" si="247"/>
        <v>73</v>
      </c>
      <c r="I263" s="37" t="str">
        <f t="shared" si="245"/>
        <v>61;</v>
      </c>
      <c r="J263" s="38">
        <v>2</v>
      </c>
      <c r="K263" s="128">
        <f t="shared" si="248"/>
        <v>0.50694444444444442</v>
      </c>
      <c r="L263" s="39" t="str">
        <f>INDEX(powers!$H$2:$H$75,33+J263)</f>
        <v>gross</v>
      </c>
      <c r="M263" s="40" t="str">
        <f t="shared" si="249"/>
        <v>0</v>
      </c>
      <c r="N263" s="24">
        <f t="shared" si="250"/>
        <v>6.083333333333333</v>
      </c>
      <c r="O263" s="41" t="str">
        <f t="shared" si="251"/>
        <v>6</v>
      </c>
      <c r="P263" s="24">
        <f t="shared" si="252"/>
        <v>0.99999999999999645</v>
      </c>
      <c r="Q263" s="41" t="str">
        <f t="shared" si="253"/>
        <v>1</v>
      </c>
      <c r="R263" s="24">
        <f t="shared" si="254"/>
        <v>11.999999999999957</v>
      </c>
      <c r="S263" s="41" t="str">
        <f t="shared" si="255"/>
        <v/>
      </c>
      <c r="T263" s="24">
        <f t="shared" si="256"/>
        <v>-5.1159076974727213E-13</v>
      </c>
      <c r="U263" s="41" t="str">
        <f t="shared" si="257"/>
        <v/>
      </c>
      <c r="V263" s="24">
        <f t="shared" si="258"/>
        <v>11.999999999993861</v>
      </c>
      <c r="W263" s="41" t="str">
        <f t="shared" si="259"/>
        <v/>
      </c>
      <c r="X263" s="24">
        <f t="shared" si="260"/>
        <v>11.999999999926331</v>
      </c>
      <c r="Y263" s="41" t="str">
        <f t="shared" si="261"/>
        <v/>
      </c>
      <c r="Z263" s="24">
        <f t="shared" si="262"/>
        <v>11.999999999115971</v>
      </c>
      <c r="AA263" s="41" t="str">
        <f t="shared" si="263"/>
        <v/>
      </c>
      <c r="AB263" s="24">
        <f t="shared" si="264"/>
        <v>11.999999989391654</v>
      </c>
      <c r="AC263" s="41" t="str">
        <f t="shared" si="265"/>
        <v/>
      </c>
      <c r="AD263" s="24">
        <f t="shared" si="266"/>
        <v>11.999999872699846</v>
      </c>
      <c r="AE263" s="41" t="str">
        <f t="shared" si="267"/>
        <v/>
      </c>
      <c r="AF263" s="24">
        <f t="shared" si="268"/>
        <v>11.999998472398147</v>
      </c>
      <c r="AG263" s="41" t="str">
        <f t="shared" si="269"/>
        <v/>
      </c>
      <c r="AH263" s="24">
        <f t="shared" si="270"/>
        <v>11.999981668777764</v>
      </c>
      <c r="AI263" s="41" t="str">
        <f t="shared" si="271"/>
        <v/>
      </c>
      <c r="AJ263" s="24">
        <f t="shared" si="272"/>
        <v>11.999780025333166</v>
      </c>
      <c r="AK263" s="41" t="str">
        <f t="shared" si="273"/>
        <v/>
      </c>
    </row>
    <row r="264" spans="6:37" x14ac:dyDescent="0.2">
      <c r="F264" s="527">
        <f t="shared" si="246"/>
        <v>0.578125</v>
      </c>
      <c r="G264" s="8">
        <v>2</v>
      </c>
      <c r="H264" s="305">
        <f t="shared" si="247"/>
        <v>74</v>
      </c>
      <c r="I264" s="37" t="str">
        <f t="shared" si="245"/>
        <v>62;</v>
      </c>
      <c r="J264" s="38">
        <v>2</v>
      </c>
      <c r="K264" s="128">
        <f t="shared" si="248"/>
        <v>0.51388888888888884</v>
      </c>
      <c r="L264" s="39" t="str">
        <f>INDEX(powers!$H$2:$H$75,33+J264)</f>
        <v>gross</v>
      </c>
      <c r="M264" s="40" t="str">
        <f t="shared" si="249"/>
        <v>0</v>
      </c>
      <c r="N264" s="24">
        <f t="shared" si="250"/>
        <v>6.1666666666666661</v>
      </c>
      <c r="O264" s="41" t="str">
        <f t="shared" si="251"/>
        <v>6</v>
      </c>
      <c r="P264" s="24">
        <f t="shared" si="252"/>
        <v>1.9999999999999929</v>
      </c>
      <c r="Q264" s="41" t="str">
        <f t="shared" si="253"/>
        <v>2</v>
      </c>
      <c r="R264" s="24">
        <f t="shared" si="254"/>
        <v>11.999999999999915</v>
      </c>
      <c r="S264" s="41" t="str">
        <f t="shared" si="255"/>
        <v/>
      </c>
      <c r="T264" s="24">
        <f t="shared" si="256"/>
        <v>11.999999999998977</v>
      </c>
      <c r="U264" s="41" t="str">
        <f t="shared" si="257"/>
        <v/>
      </c>
      <c r="V264" s="24">
        <f t="shared" si="258"/>
        <v>11.999999999987722</v>
      </c>
      <c r="W264" s="41" t="str">
        <f t="shared" si="259"/>
        <v/>
      </c>
      <c r="X264" s="24">
        <f t="shared" si="260"/>
        <v>11.999999999852662</v>
      </c>
      <c r="Y264" s="41" t="str">
        <f t="shared" si="261"/>
        <v/>
      </c>
      <c r="Z264" s="24">
        <f t="shared" si="262"/>
        <v>11.999999998231942</v>
      </c>
      <c r="AA264" s="41" t="str">
        <f t="shared" si="263"/>
        <v/>
      </c>
      <c r="AB264" s="24">
        <f t="shared" si="264"/>
        <v>11.999999978783308</v>
      </c>
      <c r="AC264" s="41" t="str">
        <f t="shared" si="265"/>
        <v/>
      </c>
      <c r="AD264" s="24">
        <f t="shared" si="266"/>
        <v>11.999999745399691</v>
      </c>
      <c r="AE264" s="41" t="str">
        <f t="shared" si="267"/>
        <v/>
      </c>
      <c r="AF264" s="24">
        <f t="shared" si="268"/>
        <v>11.999996944796294</v>
      </c>
      <c r="AG264" s="41" t="str">
        <f t="shared" si="269"/>
        <v/>
      </c>
      <c r="AH264" s="24">
        <f t="shared" si="270"/>
        <v>11.999963337555528</v>
      </c>
      <c r="AI264" s="41" t="str">
        <f t="shared" si="271"/>
        <v/>
      </c>
      <c r="AJ264" s="24">
        <f t="shared" si="272"/>
        <v>11.999560050666332</v>
      </c>
      <c r="AK264" s="41" t="str">
        <f t="shared" si="273"/>
        <v/>
      </c>
    </row>
    <row r="265" spans="6:37" x14ac:dyDescent="0.2">
      <c r="F265" s="527">
        <f t="shared" si="246"/>
        <v>0.5859375</v>
      </c>
      <c r="G265" s="8">
        <v>2</v>
      </c>
      <c r="H265" s="305">
        <f t="shared" si="247"/>
        <v>75</v>
      </c>
      <c r="I265" s="37" t="str">
        <f t="shared" si="245"/>
        <v>63;</v>
      </c>
      <c r="J265" s="38">
        <v>2</v>
      </c>
      <c r="K265" s="128">
        <f t="shared" si="248"/>
        <v>0.52083333333333337</v>
      </c>
      <c r="L265" s="39" t="str">
        <f>INDEX(powers!$H$2:$H$75,33+J265)</f>
        <v>gross</v>
      </c>
      <c r="M265" s="40" t="str">
        <f t="shared" si="249"/>
        <v>0</v>
      </c>
      <c r="N265" s="24">
        <f t="shared" si="250"/>
        <v>6.25</v>
      </c>
      <c r="O265" s="41" t="str">
        <f t="shared" si="251"/>
        <v>6</v>
      </c>
      <c r="P265" s="24">
        <f t="shared" si="252"/>
        <v>3</v>
      </c>
      <c r="Q265" s="41" t="str">
        <f t="shared" si="253"/>
        <v>3</v>
      </c>
      <c r="R265" s="24">
        <f t="shared" si="254"/>
        <v>0</v>
      </c>
      <c r="S265" s="41" t="str">
        <f t="shared" si="255"/>
        <v/>
      </c>
      <c r="T265" s="24">
        <f t="shared" si="256"/>
        <v>0</v>
      </c>
      <c r="U265" s="41" t="str">
        <f t="shared" si="257"/>
        <v/>
      </c>
      <c r="V265" s="24">
        <f t="shared" si="258"/>
        <v>0</v>
      </c>
      <c r="W265" s="41" t="str">
        <f t="shared" si="259"/>
        <v/>
      </c>
      <c r="X265" s="24">
        <f t="shared" si="260"/>
        <v>0</v>
      </c>
      <c r="Y265" s="41" t="str">
        <f t="shared" si="261"/>
        <v/>
      </c>
      <c r="Z265" s="24">
        <f t="shared" si="262"/>
        <v>0</v>
      </c>
      <c r="AA265" s="41" t="str">
        <f t="shared" si="263"/>
        <v/>
      </c>
      <c r="AB265" s="24">
        <f t="shared" si="264"/>
        <v>0</v>
      </c>
      <c r="AC265" s="41" t="str">
        <f t="shared" si="265"/>
        <v/>
      </c>
      <c r="AD265" s="24">
        <f t="shared" si="266"/>
        <v>0</v>
      </c>
      <c r="AE265" s="41" t="str">
        <f t="shared" si="267"/>
        <v/>
      </c>
      <c r="AF265" s="24">
        <f t="shared" si="268"/>
        <v>0</v>
      </c>
      <c r="AG265" s="41" t="str">
        <f t="shared" si="269"/>
        <v/>
      </c>
      <c r="AH265" s="24">
        <f t="shared" si="270"/>
        <v>0</v>
      </c>
      <c r="AI265" s="41" t="str">
        <f t="shared" si="271"/>
        <v/>
      </c>
      <c r="AJ265" s="24">
        <f t="shared" si="272"/>
        <v>0</v>
      </c>
      <c r="AK265" s="41" t="str">
        <f t="shared" si="273"/>
        <v/>
      </c>
    </row>
    <row r="266" spans="6:37" x14ac:dyDescent="0.2">
      <c r="F266" s="527">
        <f t="shared" si="246"/>
        <v>0.59375</v>
      </c>
      <c r="G266" s="8">
        <v>2</v>
      </c>
      <c r="H266" s="305">
        <f t="shared" si="247"/>
        <v>76</v>
      </c>
      <c r="I266" s="37" t="str">
        <f t="shared" si="245"/>
        <v>64;</v>
      </c>
      <c r="J266" s="38">
        <v>2</v>
      </c>
      <c r="K266" s="128">
        <f t="shared" si="248"/>
        <v>0.52777777777777779</v>
      </c>
      <c r="L266" s="39" t="str">
        <f>INDEX(powers!$H$2:$H$75,33+J266)</f>
        <v>gross</v>
      </c>
      <c r="M266" s="40" t="str">
        <f t="shared" si="249"/>
        <v>0</v>
      </c>
      <c r="N266" s="24">
        <f t="shared" si="250"/>
        <v>6.3333333333333339</v>
      </c>
      <c r="O266" s="41" t="str">
        <f t="shared" si="251"/>
        <v>6</v>
      </c>
      <c r="P266" s="24">
        <f t="shared" si="252"/>
        <v>4.0000000000000071</v>
      </c>
      <c r="Q266" s="41" t="str">
        <f t="shared" si="253"/>
        <v>4</v>
      </c>
      <c r="R266" s="24">
        <f t="shared" si="254"/>
        <v>8.5265128291212022E-14</v>
      </c>
      <c r="S266" s="41" t="str">
        <f t="shared" si="255"/>
        <v/>
      </c>
      <c r="T266" s="24">
        <f t="shared" si="256"/>
        <v>1.0231815394945443E-12</v>
      </c>
      <c r="U266" s="41" t="str">
        <f t="shared" si="257"/>
        <v/>
      </c>
      <c r="V266" s="24">
        <f t="shared" si="258"/>
        <v>1.2278178473934531E-11</v>
      </c>
      <c r="W266" s="41" t="str">
        <f t="shared" si="259"/>
        <v/>
      </c>
      <c r="X266" s="24">
        <f t="shared" si="260"/>
        <v>1.4733814168721437E-10</v>
      </c>
      <c r="Y266" s="41" t="str">
        <f t="shared" si="261"/>
        <v/>
      </c>
      <c r="Z266" s="24">
        <f t="shared" si="262"/>
        <v>1.7680577002465725E-9</v>
      </c>
      <c r="AA266" s="41" t="str">
        <f t="shared" si="263"/>
        <v/>
      </c>
      <c r="AB266" s="24">
        <f t="shared" si="264"/>
        <v>2.121669240295887E-8</v>
      </c>
      <c r="AC266" s="41" t="str">
        <f t="shared" si="265"/>
        <v/>
      </c>
      <c r="AD266" s="24">
        <f t="shared" si="266"/>
        <v>2.5460030883550644E-7</v>
      </c>
      <c r="AE266" s="41" t="str">
        <f t="shared" si="267"/>
        <v/>
      </c>
      <c r="AF266" s="24">
        <f t="shared" si="268"/>
        <v>3.0552037060260773E-6</v>
      </c>
      <c r="AG266" s="41" t="str">
        <f t="shared" si="269"/>
        <v/>
      </c>
      <c r="AH266" s="24">
        <f t="shared" si="270"/>
        <v>3.6662444472312927E-5</v>
      </c>
      <c r="AI266" s="41" t="str">
        <f t="shared" si="271"/>
        <v/>
      </c>
      <c r="AJ266" s="24">
        <f t="shared" si="272"/>
        <v>4.3994933366775513E-4</v>
      </c>
      <c r="AK266" s="41" t="str">
        <f t="shared" si="273"/>
        <v/>
      </c>
    </row>
    <row r="267" spans="6:37" x14ac:dyDescent="0.2">
      <c r="F267" s="527">
        <f t="shared" si="246"/>
        <v>0.6015625</v>
      </c>
      <c r="G267" s="8">
        <v>2</v>
      </c>
      <c r="H267" s="305">
        <f t="shared" si="247"/>
        <v>77</v>
      </c>
      <c r="I267" s="37" t="str">
        <f t="shared" si="245"/>
        <v>65;</v>
      </c>
      <c r="J267" s="38">
        <v>2</v>
      </c>
      <c r="K267" s="128">
        <f t="shared" si="248"/>
        <v>0.53472222222222221</v>
      </c>
      <c r="L267" s="39" t="str">
        <f>INDEX(powers!$H$2:$H$75,33+J267)</f>
        <v>gross</v>
      </c>
      <c r="M267" s="40" t="str">
        <f t="shared" si="249"/>
        <v>0</v>
      </c>
      <c r="N267" s="24">
        <f t="shared" si="250"/>
        <v>6.4166666666666661</v>
      </c>
      <c r="O267" s="41" t="str">
        <f t="shared" si="251"/>
        <v>6</v>
      </c>
      <c r="P267" s="24">
        <f t="shared" si="252"/>
        <v>4.9999999999999929</v>
      </c>
      <c r="Q267" s="41" t="str">
        <f t="shared" si="253"/>
        <v>5</v>
      </c>
      <c r="R267" s="24">
        <f t="shared" si="254"/>
        <v>11.999999999999915</v>
      </c>
      <c r="S267" s="41" t="str">
        <f t="shared" si="255"/>
        <v/>
      </c>
      <c r="T267" s="24">
        <f t="shared" si="256"/>
        <v>11.999999999998977</v>
      </c>
      <c r="U267" s="41" t="str">
        <f t="shared" si="257"/>
        <v/>
      </c>
      <c r="V267" s="24">
        <f t="shared" si="258"/>
        <v>11.999999999987722</v>
      </c>
      <c r="W267" s="41" t="str">
        <f t="shared" si="259"/>
        <v/>
      </c>
      <c r="X267" s="24">
        <f t="shared" si="260"/>
        <v>11.999999999852662</v>
      </c>
      <c r="Y267" s="41" t="str">
        <f t="shared" si="261"/>
        <v/>
      </c>
      <c r="Z267" s="24">
        <f t="shared" si="262"/>
        <v>11.999999998231942</v>
      </c>
      <c r="AA267" s="41" t="str">
        <f t="shared" si="263"/>
        <v/>
      </c>
      <c r="AB267" s="24">
        <f t="shared" si="264"/>
        <v>11.999999978783308</v>
      </c>
      <c r="AC267" s="41" t="str">
        <f t="shared" si="265"/>
        <v/>
      </c>
      <c r="AD267" s="24">
        <f t="shared" si="266"/>
        <v>11.999999745399691</v>
      </c>
      <c r="AE267" s="41" t="str">
        <f t="shared" si="267"/>
        <v/>
      </c>
      <c r="AF267" s="24">
        <f t="shared" si="268"/>
        <v>11.999996944796294</v>
      </c>
      <c r="AG267" s="41" t="str">
        <f t="shared" si="269"/>
        <v/>
      </c>
      <c r="AH267" s="24">
        <f t="shared" si="270"/>
        <v>11.999963337555528</v>
      </c>
      <c r="AI267" s="41" t="str">
        <f t="shared" si="271"/>
        <v/>
      </c>
      <c r="AJ267" s="24">
        <f t="shared" si="272"/>
        <v>11.999560050666332</v>
      </c>
      <c r="AK267" s="41" t="str">
        <f t="shared" si="273"/>
        <v/>
      </c>
    </row>
    <row r="268" spans="6:37" x14ac:dyDescent="0.2">
      <c r="F268" s="527">
        <f t="shared" si="246"/>
        <v>0.609375</v>
      </c>
      <c r="G268" s="8">
        <v>2</v>
      </c>
      <c r="H268" s="305">
        <f t="shared" si="247"/>
        <v>78</v>
      </c>
      <c r="I268" s="37" t="str">
        <f t="shared" si="245"/>
        <v>66;</v>
      </c>
      <c r="J268" s="38">
        <v>2</v>
      </c>
      <c r="K268" s="128">
        <f t="shared" si="248"/>
        <v>0.54166666666666663</v>
      </c>
      <c r="L268" s="39" t="str">
        <f>INDEX(powers!$H$2:$H$75,33+J268)</f>
        <v>gross</v>
      </c>
      <c r="M268" s="40" t="str">
        <f t="shared" si="249"/>
        <v>0</v>
      </c>
      <c r="N268" s="24">
        <f t="shared" si="250"/>
        <v>6.5</v>
      </c>
      <c r="O268" s="41" t="str">
        <f t="shared" si="251"/>
        <v>6</v>
      </c>
      <c r="P268" s="24">
        <f t="shared" si="252"/>
        <v>6</v>
      </c>
      <c r="Q268" s="41" t="str">
        <f t="shared" si="253"/>
        <v>6</v>
      </c>
      <c r="R268" s="24">
        <f t="shared" si="254"/>
        <v>0</v>
      </c>
      <c r="S268" s="41" t="str">
        <f t="shared" si="255"/>
        <v/>
      </c>
      <c r="T268" s="24">
        <f t="shared" si="256"/>
        <v>0</v>
      </c>
      <c r="U268" s="41" t="str">
        <f t="shared" si="257"/>
        <v/>
      </c>
      <c r="V268" s="24">
        <f t="shared" si="258"/>
        <v>0</v>
      </c>
      <c r="W268" s="41" t="str">
        <f t="shared" si="259"/>
        <v/>
      </c>
      <c r="X268" s="24">
        <f t="shared" si="260"/>
        <v>0</v>
      </c>
      <c r="Y268" s="41" t="str">
        <f t="shared" si="261"/>
        <v/>
      </c>
      <c r="Z268" s="24">
        <f t="shared" si="262"/>
        <v>0</v>
      </c>
      <c r="AA268" s="41" t="str">
        <f t="shared" si="263"/>
        <v/>
      </c>
      <c r="AB268" s="24">
        <f t="shared" si="264"/>
        <v>0</v>
      </c>
      <c r="AC268" s="41" t="str">
        <f t="shared" si="265"/>
        <v/>
      </c>
      <c r="AD268" s="24">
        <f t="shared" si="266"/>
        <v>0</v>
      </c>
      <c r="AE268" s="41" t="str">
        <f t="shared" si="267"/>
        <v/>
      </c>
      <c r="AF268" s="24">
        <f t="shared" si="268"/>
        <v>0</v>
      </c>
      <c r="AG268" s="41" t="str">
        <f t="shared" si="269"/>
        <v/>
      </c>
      <c r="AH268" s="24">
        <f t="shared" si="270"/>
        <v>0</v>
      </c>
      <c r="AI268" s="41" t="str">
        <f t="shared" si="271"/>
        <v/>
      </c>
      <c r="AJ268" s="24">
        <f t="shared" si="272"/>
        <v>0</v>
      </c>
      <c r="AK268" s="41" t="str">
        <f t="shared" si="273"/>
        <v/>
      </c>
    </row>
    <row r="269" spans="6:37" x14ac:dyDescent="0.2">
      <c r="F269" s="527">
        <f t="shared" si="246"/>
        <v>0.6171875</v>
      </c>
      <c r="G269" s="8">
        <v>2</v>
      </c>
      <c r="H269" s="305">
        <f t="shared" si="247"/>
        <v>79</v>
      </c>
      <c r="I269" s="37" t="str">
        <f t="shared" si="245"/>
        <v>67;</v>
      </c>
      <c r="J269" s="38">
        <v>2</v>
      </c>
      <c r="K269" s="128">
        <f t="shared" si="248"/>
        <v>0.54861111111111116</v>
      </c>
      <c r="L269" s="39" t="str">
        <f>INDEX(powers!$H$2:$H$75,33+J269)</f>
        <v>gross</v>
      </c>
      <c r="M269" s="40" t="str">
        <f t="shared" si="249"/>
        <v>0</v>
      </c>
      <c r="N269" s="24">
        <f t="shared" si="250"/>
        <v>6.5833333333333339</v>
      </c>
      <c r="O269" s="41" t="str">
        <f t="shared" si="251"/>
        <v>6</v>
      </c>
      <c r="P269" s="24">
        <f t="shared" si="252"/>
        <v>7.0000000000000071</v>
      </c>
      <c r="Q269" s="41" t="str">
        <f t="shared" si="253"/>
        <v>7</v>
      </c>
      <c r="R269" s="24">
        <f t="shared" si="254"/>
        <v>8.5265128291212022E-14</v>
      </c>
      <c r="S269" s="41" t="str">
        <f t="shared" si="255"/>
        <v/>
      </c>
      <c r="T269" s="24">
        <f t="shared" si="256"/>
        <v>1.0231815394945443E-12</v>
      </c>
      <c r="U269" s="41" t="str">
        <f t="shared" si="257"/>
        <v/>
      </c>
      <c r="V269" s="24">
        <f t="shared" si="258"/>
        <v>1.2278178473934531E-11</v>
      </c>
      <c r="W269" s="41" t="str">
        <f t="shared" si="259"/>
        <v/>
      </c>
      <c r="X269" s="24">
        <f t="shared" si="260"/>
        <v>1.4733814168721437E-10</v>
      </c>
      <c r="Y269" s="41" t="str">
        <f t="shared" si="261"/>
        <v/>
      </c>
      <c r="Z269" s="24">
        <f t="shared" si="262"/>
        <v>1.7680577002465725E-9</v>
      </c>
      <c r="AA269" s="41" t="str">
        <f t="shared" si="263"/>
        <v/>
      </c>
      <c r="AB269" s="24">
        <f t="shared" si="264"/>
        <v>2.121669240295887E-8</v>
      </c>
      <c r="AC269" s="41" t="str">
        <f t="shared" si="265"/>
        <v/>
      </c>
      <c r="AD269" s="24">
        <f t="shared" si="266"/>
        <v>2.5460030883550644E-7</v>
      </c>
      <c r="AE269" s="41" t="str">
        <f t="shared" si="267"/>
        <v/>
      </c>
      <c r="AF269" s="24">
        <f t="shared" si="268"/>
        <v>3.0552037060260773E-6</v>
      </c>
      <c r="AG269" s="41" t="str">
        <f t="shared" si="269"/>
        <v/>
      </c>
      <c r="AH269" s="24">
        <f t="shared" si="270"/>
        <v>3.6662444472312927E-5</v>
      </c>
      <c r="AI269" s="41" t="str">
        <f t="shared" si="271"/>
        <v/>
      </c>
      <c r="AJ269" s="24">
        <f t="shared" si="272"/>
        <v>4.3994933366775513E-4</v>
      </c>
      <c r="AK269" s="41" t="str">
        <f t="shared" si="273"/>
        <v/>
      </c>
    </row>
    <row r="270" spans="6:37" x14ac:dyDescent="0.2">
      <c r="F270" s="527">
        <f t="shared" si="246"/>
        <v>0.625</v>
      </c>
      <c r="G270" s="8">
        <v>2</v>
      </c>
      <c r="H270" s="305">
        <f t="shared" si="247"/>
        <v>80</v>
      </c>
      <c r="I270" s="37" t="str">
        <f t="shared" si="245"/>
        <v>68;</v>
      </c>
      <c r="J270" s="38">
        <v>2</v>
      </c>
      <c r="K270" s="128">
        <f t="shared" si="248"/>
        <v>0.55555555555555558</v>
      </c>
      <c r="L270" s="39" t="str">
        <f>INDEX(powers!$H$2:$H$75,33+J270)</f>
        <v>gross</v>
      </c>
      <c r="M270" s="40" t="str">
        <f t="shared" si="249"/>
        <v>0</v>
      </c>
      <c r="N270" s="24">
        <f t="shared" si="250"/>
        <v>6.666666666666667</v>
      </c>
      <c r="O270" s="41" t="str">
        <f t="shared" si="251"/>
        <v>6</v>
      </c>
      <c r="P270" s="24">
        <f t="shared" si="252"/>
        <v>8.0000000000000036</v>
      </c>
      <c r="Q270" s="41" t="str">
        <f t="shared" si="253"/>
        <v>8</v>
      </c>
      <c r="R270" s="24">
        <f t="shared" si="254"/>
        <v>4.2632564145606011E-14</v>
      </c>
      <c r="S270" s="41" t="str">
        <f t="shared" si="255"/>
        <v/>
      </c>
      <c r="T270" s="24">
        <f t="shared" si="256"/>
        <v>5.1159076974727213E-13</v>
      </c>
      <c r="U270" s="41" t="str">
        <f t="shared" si="257"/>
        <v/>
      </c>
      <c r="V270" s="24">
        <f t="shared" si="258"/>
        <v>6.1390892369672656E-12</v>
      </c>
      <c r="W270" s="41" t="str">
        <f t="shared" si="259"/>
        <v/>
      </c>
      <c r="X270" s="24">
        <f t="shared" si="260"/>
        <v>7.3669070843607187E-11</v>
      </c>
      <c r="Y270" s="41" t="str">
        <f t="shared" si="261"/>
        <v/>
      </c>
      <c r="Z270" s="24">
        <f t="shared" si="262"/>
        <v>8.8402885012328625E-10</v>
      </c>
      <c r="AA270" s="41" t="str">
        <f t="shared" si="263"/>
        <v/>
      </c>
      <c r="AB270" s="24">
        <f t="shared" si="264"/>
        <v>1.0608346201479435E-8</v>
      </c>
      <c r="AC270" s="41" t="str">
        <f t="shared" si="265"/>
        <v/>
      </c>
      <c r="AD270" s="24">
        <f t="shared" si="266"/>
        <v>1.2730015441775322E-7</v>
      </c>
      <c r="AE270" s="41" t="str">
        <f t="shared" si="267"/>
        <v/>
      </c>
      <c r="AF270" s="24">
        <f t="shared" si="268"/>
        <v>1.5276018530130386E-6</v>
      </c>
      <c r="AG270" s="41" t="str">
        <f t="shared" si="269"/>
        <v/>
      </c>
      <c r="AH270" s="24">
        <f t="shared" si="270"/>
        <v>1.8331222236156464E-5</v>
      </c>
      <c r="AI270" s="41" t="str">
        <f t="shared" si="271"/>
        <v/>
      </c>
      <c r="AJ270" s="24">
        <f t="shared" si="272"/>
        <v>2.1997466683387756E-4</v>
      </c>
      <c r="AK270" s="41" t="str">
        <f t="shared" si="273"/>
        <v/>
      </c>
    </row>
    <row r="271" spans="6:37" x14ac:dyDescent="0.2">
      <c r="F271" s="527">
        <f t="shared" si="246"/>
        <v>0.6328125</v>
      </c>
      <c r="G271" s="8">
        <v>2</v>
      </c>
      <c r="H271" s="305">
        <f t="shared" si="247"/>
        <v>81</v>
      </c>
      <c r="I271" s="37" t="str">
        <f t="shared" si="245"/>
        <v>69;</v>
      </c>
      <c r="J271" s="38">
        <v>2</v>
      </c>
      <c r="K271" s="128">
        <f t="shared" si="248"/>
        <v>0.5625</v>
      </c>
      <c r="L271" s="39" t="str">
        <f>INDEX(powers!$H$2:$H$75,33+J271)</f>
        <v>gross</v>
      </c>
      <c r="M271" s="40" t="str">
        <f t="shared" si="249"/>
        <v>0</v>
      </c>
      <c r="N271" s="24">
        <f t="shared" si="250"/>
        <v>6.75</v>
      </c>
      <c r="O271" s="41" t="str">
        <f t="shared" si="251"/>
        <v>6</v>
      </c>
      <c r="P271" s="24">
        <f t="shared" si="252"/>
        <v>9</v>
      </c>
      <c r="Q271" s="41" t="str">
        <f t="shared" si="253"/>
        <v>9</v>
      </c>
      <c r="R271" s="24">
        <f t="shared" si="254"/>
        <v>0</v>
      </c>
      <c r="S271" s="41" t="str">
        <f t="shared" si="255"/>
        <v/>
      </c>
      <c r="T271" s="24">
        <f t="shared" si="256"/>
        <v>0</v>
      </c>
      <c r="U271" s="41" t="str">
        <f t="shared" si="257"/>
        <v/>
      </c>
      <c r="V271" s="24">
        <f t="shared" si="258"/>
        <v>0</v>
      </c>
      <c r="W271" s="41" t="str">
        <f t="shared" si="259"/>
        <v/>
      </c>
      <c r="X271" s="24">
        <f t="shared" si="260"/>
        <v>0</v>
      </c>
      <c r="Y271" s="41" t="str">
        <f t="shared" si="261"/>
        <v/>
      </c>
      <c r="Z271" s="24">
        <f t="shared" si="262"/>
        <v>0</v>
      </c>
      <c r="AA271" s="41" t="str">
        <f t="shared" si="263"/>
        <v/>
      </c>
      <c r="AB271" s="24">
        <f t="shared" si="264"/>
        <v>0</v>
      </c>
      <c r="AC271" s="41" t="str">
        <f t="shared" si="265"/>
        <v/>
      </c>
      <c r="AD271" s="24">
        <f t="shared" si="266"/>
        <v>0</v>
      </c>
      <c r="AE271" s="41" t="str">
        <f t="shared" si="267"/>
        <v/>
      </c>
      <c r="AF271" s="24">
        <f t="shared" si="268"/>
        <v>0</v>
      </c>
      <c r="AG271" s="41" t="str">
        <f t="shared" si="269"/>
        <v/>
      </c>
      <c r="AH271" s="24">
        <f t="shared" si="270"/>
        <v>0</v>
      </c>
      <c r="AI271" s="41" t="str">
        <f t="shared" si="271"/>
        <v/>
      </c>
      <c r="AJ271" s="24">
        <f t="shared" si="272"/>
        <v>0</v>
      </c>
      <c r="AK271" s="41" t="str">
        <f t="shared" si="273"/>
        <v/>
      </c>
    </row>
    <row r="272" spans="6:37" x14ac:dyDescent="0.2">
      <c r="F272" s="527">
        <f t="shared" si="246"/>
        <v>0.640625</v>
      </c>
      <c r="G272" s="8">
        <v>2</v>
      </c>
      <c r="H272" s="305">
        <f t="shared" si="247"/>
        <v>82</v>
      </c>
      <c r="I272" s="37" t="str">
        <f t="shared" si="245"/>
        <v>6X;</v>
      </c>
      <c r="J272" s="38">
        <v>2</v>
      </c>
      <c r="K272" s="128">
        <f t="shared" si="248"/>
        <v>0.56944444444444442</v>
      </c>
      <c r="L272" s="39" t="str">
        <f>INDEX(powers!$H$2:$H$75,33+J272)</f>
        <v>gross</v>
      </c>
      <c r="M272" s="40" t="str">
        <f t="shared" si="249"/>
        <v>0</v>
      </c>
      <c r="N272" s="24">
        <f t="shared" si="250"/>
        <v>6.833333333333333</v>
      </c>
      <c r="O272" s="41" t="str">
        <f t="shared" si="251"/>
        <v>6</v>
      </c>
      <c r="P272" s="24">
        <f t="shared" si="252"/>
        <v>9.9999999999999964</v>
      </c>
      <c r="Q272" s="41" t="str">
        <f t="shared" si="253"/>
        <v>X</v>
      </c>
      <c r="R272" s="24">
        <f t="shared" si="254"/>
        <v>-4.2632564145606011E-14</v>
      </c>
      <c r="S272" s="41" t="str">
        <f t="shared" si="255"/>
        <v/>
      </c>
      <c r="T272" s="24">
        <f t="shared" si="256"/>
        <v>11.999999999999488</v>
      </c>
      <c r="U272" s="41" t="str">
        <f t="shared" si="257"/>
        <v/>
      </c>
      <c r="V272" s="24">
        <f t="shared" si="258"/>
        <v>11.999999999993861</v>
      </c>
      <c r="W272" s="41" t="str">
        <f t="shared" si="259"/>
        <v/>
      </c>
      <c r="X272" s="24">
        <f t="shared" si="260"/>
        <v>11.999999999926331</v>
      </c>
      <c r="Y272" s="41" t="str">
        <f t="shared" si="261"/>
        <v/>
      </c>
      <c r="Z272" s="24">
        <f t="shared" si="262"/>
        <v>11.999999999115971</v>
      </c>
      <c r="AA272" s="41" t="str">
        <f t="shared" si="263"/>
        <v/>
      </c>
      <c r="AB272" s="24">
        <f t="shared" si="264"/>
        <v>11.999999989391654</v>
      </c>
      <c r="AC272" s="41" t="str">
        <f t="shared" si="265"/>
        <v/>
      </c>
      <c r="AD272" s="24">
        <f t="shared" si="266"/>
        <v>11.999999872699846</v>
      </c>
      <c r="AE272" s="41" t="str">
        <f t="shared" si="267"/>
        <v/>
      </c>
      <c r="AF272" s="24">
        <f t="shared" si="268"/>
        <v>11.999998472398147</v>
      </c>
      <c r="AG272" s="41" t="str">
        <f t="shared" si="269"/>
        <v/>
      </c>
      <c r="AH272" s="24">
        <f t="shared" si="270"/>
        <v>11.999981668777764</v>
      </c>
      <c r="AI272" s="41" t="str">
        <f t="shared" si="271"/>
        <v/>
      </c>
      <c r="AJ272" s="24">
        <f t="shared" si="272"/>
        <v>11.999780025333166</v>
      </c>
      <c r="AK272" s="41" t="str">
        <f t="shared" si="273"/>
        <v/>
      </c>
    </row>
    <row r="273" spans="6:37" x14ac:dyDescent="0.2">
      <c r="F273" s="527">
        <f t="shared" si="246"/>
        <v>0.6484375</v>
      </c>
      <c r="G273" s="8">
        <v>2</v>
      </c>
      <c r="H273" s="305">
        <f t="shared" si="247"/>
        <v>83</v>
      </c>
      <c r="I273" s="37" t="str">
        <f t="shared" si="245"/>
        <v>6E;</v>
      </c>
      <c r="J273" s="38">
        <v>2</v>
      </c>
      <c r="K273" s="128">
        <f t="shared" si="248"/>
        <v>0.57638888888888884</v>
      </c>
      <c r="L273" s="39" t="str">
        <f>INDEX(powers!$H$2:$H$75,33+J273)</f>
        <v>gross</v>
      </c>
      <c r="M273" s="40" t="str">
        <f t="shared" si="249"/>
        <v>0</v>
      </c>
      <c r="N273" s="24">
        <f t="shared" si="250"/>
        <v>6.9166666666666661</v>
      </c>
      <c r="O273" s="41" t="str">
        <f t="shared" si="251"/>
        <v>6</v>
      </c>
      <c r="P273" s="24">
        <f t="shared" si="252"/>
        <v>10.999999999999993</v>
      </c>
      <c r="Q273" s="41" t="str">
        <f t="shared" si="253"/>
        <v>E</v>
      </c>
      <c r="R273" s="24">
        <f t="shared" si="254"/>
        <v>-8.5265128291212022E-14</v>
      </c>
      <c r="S273" s="41" t="str">
        <f t="shared" si="255"/>
        <v/>
      </c>
      <c r="T273" s="24">
        <f t="shared" si="256"/>
        <v>11.999999999998977</v>
      </c>
      <c r="U273" s="41" t="str">
        <f t="shared" si="257"/>
        <v/>
      </c>
      <c r="V273" s="24">
        <f t="shared" si="258"/>
        <v>11.999999999987722</v>
      </c>
      <c r="W273" s="41" t="str">
        <f t="shared" si="259"/>
        <v/>
      </c>
      <c r="X273" s="24">
        <f t="shared" si="260"/>
        <v>11.999999999852662</v>
      </c>
      <c r="Y273" s="41" t="str">
        <f t="shared" si="261"/>
        <v/>
      </c>
      <c r="Z273" s="24">
        <f t="shared" si="262"/>
        <v>11.999999998231942</v>
      </c>
      <c r="AA273" s="41" t="str">
        <f t="shared" si="263"/>
        <v/>
      </c>
      <c r="AB273" s="24">
        <f t="shared" si="264"/>
        <v>11.999999978783308</v>
      </c>
      <c r="AC273" s="41" t="str">
        <f t="shared" si="265"/>
        <v/>
      </c>
      <c r="AD273" s="24">
        <f t="shared" si="266"/>
        <v>11.999999745399691</v>
      </c>
      <c r="AE273" s="41" t="str">
        <f t="shared" si="267"/>
        <v/>
      </c>
      <c r="AF273" s="24">
        <f t="shared" si="268"/>
        <v>11.999996944796294</v>
      </c>
      <c r="AG273" s="41" t="str">
        <f t="shared" si="269"/>
        <v/>
      </c>
      <c r="AH273" s="24">
        <f t="shared" si="270"/>
        <v>11.999963337555528</v>
      </c>
      <c r="AI273" s="41" t="str">
        <f t="shared" si="271"/>
        <v/>
      </c>
      <c r="AJ273" s="24">
        <f t="shared" si="272"/>
        <v>11.999560050666332</v>
      </c>
      <c r="AK273" s="41" t="str">
        <f t="shared" si="273"/>
        <v/>
      </c>
    </row>
    <row r="274" spans="6:37" x14ac:dyDescent="0.2">
      <c r="F274" s="527">
        <f t="shared" si="246"/>
        <v>0.65625</v>
      </c>
      <c r="G274" s="8">
        <v>2</v>
      </c>
      <c r="H274" s="305">
        <f t="shared" si="247"/>
        <v>84</v>
      </c>
      <c r="I274" s="37" t="str">
        <f t="shared" si="245"/>
        <v>70;</v>
      </c>
      <c r="J274" s="38">
        <v>2</v>
      </c>
      <c r="K274" s="128">
        <f t="shared" si="248"/>
        <v>0.58333333333333337</v>
      </c>
      <c r="L274" s="39" t="str">
        <f>INDEX(powers!$H$2:$H$75,33+J274)</f>
        <v>gross</v>
      </c>
      <c r="M274" s="40" t="str">
        <f t="shared" si="249"/>
        <v>0</v>
      </c>
      <c r="N274" s="24">
        <f t="shared" si="250"/>
        <v>7</v>
      </c>
      <c r="O274" s="41" t="str">
        <f t="shared" si="251"/>
        <v>7</v>
      </c>
      <c r="P274" s="24">
        <f t="shared" si="252"/>
        <v>0</v>
      </c>
      <c r="Q274" s="41" t="str">
        <f t="shared" si="253"/>
        <v>0</v>
      </c>
      <c r="R274" s="24">
        <f t="shared" si="254"/>
        <v>0</v>
      </c>
      <c r="S274" s="41" t="str">
        <f t="shared" si="255"/>
        <v/>
      </c>
      <c r="T274" s="24">
        <f t="shared" si="256"/>
        <v>0</v>
      </c>
      <c r="U274" s="41" t="str">
        <f t="shared" si="257"/>
        <v/>
      </c>
      <c r="V274" s="24">
        <f t="shared" si="258"/>
        <v>0</v>
      </c>
      <c r="W274" s="41" t="str">
        <f t="shared" si="259"/>
        <v/>
      </c>
      <c r="X274" s="24">
        <f t="shared" si="260"/>
        <v>0</v>
      </c>
      <c r="Y274" s="41" t="str">
        <f t="shared" si="261"/>
        <v/>
      </c>
      <c r="Z274" s="24">
        <f t="shared" si="262"/>
        <v>0</v>
      </c>
      <c r="AA274" s="41" t="str">
        <f t="shared" si="263"/>
        <v/>
      </c>
      <c r="AB274" s="24">
        <f t="shared" si="264"/>
        <v>0</v>
      </c>
      <c r="AC274" s="41" t="str">
        <f t="shared" si="265"/>
        <v/>
      </c>
      <c r="AD274" s="24">
        <f t="shared" si="266"/>
        <v>0</v>
      </c>
      <c r="AE274" s="41" t="str">
        <f t="shared" si="267"/>
        <v/>
      </c>
      <c r="AF274" s="24">
        <f t="shared" si="268"/>
        <v>0</v>
      </c>
      <c r="AG274" s="41" t="str">
        <f t="shared" si="269"/>
        <v/>
      </c>
      <c r="AH274" s="24">
        <f t="shared" si="270"/>
        <v>0</v>
      </c>
      <c r="AI274" s="41" t="str">
        <f t="shared" si="271"/>
        <v/>
      </c>
      <c r="AJ274" s="24">
        <f t="shared" si="272"/>
        <v>0</v>
      </c>
      <c r="AK274" s="41" t="str">
        <f t="shared" si="273"/>
        <v/>
      </c>
    </row>
    <row r="275" spans="6:37" x14ac:dyDescent="0.2">
      <c r="F275" s="527">
        <f t="shared" si="246"/>
        <v>0.6640625</v>
      </c>
      <c r="G275" s="8">
        <v>2</v>
      </c>
      <c r="H275" s="305">
        <f t="shared" si="247"/>
        <v>85</v>
      </c>
      <c r="I275" s="37" t="str">
        <f t="shared" si="245"/>
        <v>71;</v>
      </c>
      <c r="J275" s="38">
        <v>2</v>
      </c>
      <c r="K275" s="128">
        <f t="shared" si="248"/>
        <v>0.59027777777777779</v>
      </c>
      <c r="L275" s="39" t="str">
        <f>INDEX(powers!$H$2:$H$75,33+J275)</f>
        <v>gross</v>
      </c>
      <c r="M275" s="40" t="str">
        <f t="shared" si="249"/>
        <v>0</v>
      </c>
      <c r="N275" s="24">
        <f t="shared" si="250"/>
        <v>7.0833333333333339</v>
      </c>
      <c r="O275" s="41" t="str">
        <f t="shared" si="251"/>
        <v>7</v>
      </c>
      <c r="P275" s="24">
        <f t="shared" si="252"/>
        <v>1.0000000000000071</v>
      </c>
      <c r="Q275" s="41" t="str">
        <f t="shared" si="253"/>
        <v>1</v>
      </c>
      <c r="R275" s="24">
        <f t="shared" si="254"/>
        <v>8.5265128291212022E-14</v>
      </c>
      <c r="S275" s="41" t="str">
        <f t="shared" si="255"/>
        <v/>
      </c>
      <c r="T275" s="24">
        <f t="shared" si="256"/>
        <v>1.0231815394945443E-12</v>
      </c>
      <c r="U275" s="41" t="str">
        <f t="shared" si="257"/>
        <v/>
      </c>
      <c r="V275" s="24">
        <f t="shared" si="258"/>
        <v>1.2278178473934531E-11</v>
      </c>
      <c r="W275" s="41" t="str">
        <f t="shared" si="259"/>
        <v/>
      </c>
      <c r="X275" s="24">
        <f t="shared" si="260"/>
        <v>1.4733814168721437E-10</v>
      </c>
      <c r="Y275" s="41" t="str">
        <f t="shared" si="261"/>
        <v/>
      </c>
      <c r="Z275" s="24">
        <f t="shared" si="262"/>
        <v>1.7680577002465725E-9</v>
      </c>
      <c r="AA275" s="41" t="str">
        <f t="shared" si="263"/>
        <v/>
      </c>
      <c r="AB275" s="24">
        <f t="shared" si="264"/>
        <v>2.121669240295887E-8</v>
      </c>
      <c r="AC275" s="41" t="str">
        <f t="shared" si="265"/>
        <v/>
      </c>
      <c r="AD275" s="24">
        <f t="shared" si="266"/>
        <v>2.5460030883550644E-7</v>
      </c>
      <c r="AE275" s="41" t="str">
        <f t="shared" si="267"/>
        <v/>
      </c>
      <c r="AF275" s="24">
        <f t="shared" si="268"/>
        <v>3.0552037060260773E-6</v>
      </c>
      <c r="AG275" s="41" t="str">
        <f t="shared" si="269"/>
        <v/>
      </c>
      <c r="AH275" s="24">
        <f t="shared" si="270"/>
        <v>3.6662444472312927E-5</v>
      </c>
      <c r="AI275" s="41" t="str">
        <f t="shared" si="271"/>
        <v/>
      </c>
      <c r="AJ275" s="24">
        <f t="shared" si="272"/>
        <v>4.3994933366775513E-4</v>
      </c>
      <c r="AK275" s="41" t="str">
        <f t="shared" si="273"/>
        <v/>
      </c>
    </row>
    <row r="276" spans="6:37" x14ac:dyDescent="0.2">
      <c r="F276" s="527">
        <f t="shared" si="246"/>
        <v>0.671875</v>
      </c>
      <c r="G276" s="8">
        <v>2</v>
      </c>
      <c r="H276" s="305">
        <f t="shared" si="247"/>
        <v>86</v>
      </c>
      <c r="I276" s="37" t="str">
        <f t="shared" si="245"/>
        <v>72;</v>
      </c>
      <c r="J276" s="38">
        <v>2</v>
      </c>
      <c r="K276" s="128">
        <f t="shared" si="248"/>
        <v>0.59722222222222221</v>
      </c>
      <c r="L276" s="39" t="str">
        <f>INDEX(powers!$H$2:$H$75,33+J276)</f>
        <v>gross</v>
      </c>
      <c r="M276" s="40" t="str">
        <f t="shared" si="249"/>
        <v>0</v>
      </c>
      <c r="N276" s="24">
        <f t="shared" si="250"/>
        <v>7.1666666666666661</v>
      </c>
      <c r="O276" s="41" t="str">
        <f t="shared" si="251"/>
        <v>7</v>
      </c>
      <c r="P276" s="24">
        <f t="shared" si="252"/>
        <v>1.9999999999999929</v>
      </c>
      <c r="Q276" s="41" t="str">
        <f t="shared" si="253"/>
        <v>2</v>
      </c>
      <c r="R276" s="24">
        <f t="shared" si="254"/>
        <v>11.999999999999915</v>
      </c>
      <c r="S276" s="41" t="str">
        <f t="shared" si="255"/>
        <v/>
      </c>
      <c r="T276" s="24">
        <f t="shared" si="256"/>
        <v>11.999999999998977</v>
      </c>
      <c r="U276" s="41" t="str">
        <f t="shared" si="257"/>
        <v/>
      </c>
      <c r="V276" s="24">
        <f t="shared" si="258"/>
        <v>11.999999999987722</v>
      </c>
      <c r="W276" s="41" t="str">
        <f t="shared" si="259"/>
        <v/>
      </c>
      <c r="X276" s="24">
        <f t="shared" si="260"/>
        <v>11.999999999852662</v>
      </c>
      <c r="Y276" s="41" t="str">
        <f t="shared" si="261"/>
        <v/>
      </c>
      <c r="Z276" s="24">
        <f t="shared" si="262"/>
        <v>11.999999998231942</v>
      </c>
      <c r="AA276" s="41" t="str">
        <f t="shared" si="263"/>
        <v/>
      </c>
      <c r="AB276" s="24">
        <f t="shared" si="264"/>
        <v>11.999999978783308</v>
      </c>
      <c r="AC276" s="41" t="str">
        <f t="shared" si="265"/>
        <v/>
      </c>
      <c r="AD276" s="24">
        <f t="shared" si="266"/>
        <v>11.999999745399691</v>
      </c>
      <c r="AE276" s="41" t="str">
        <f t="shared" si="267"/>
        <v/>
      </c>
      <c r="AF276" s="24">
        <f t="shared" si="268"/>
        <v>11.999996944796294</v>
      </c>
      <c r="AG276" s="41" t="str">
        <f t="shared" si="269"/>
        <v/>
      </c>
      <c r="AH276" s="24">
        <f t="shared" si="270"/>
        <v>11.999963337555528</v>
      </c>
      <c r="AI276" s="41" t="str">
        <f t="shared" si="271"/>
        <v/>
      </c>
      <c r="AJ276" s="24">
        <f t="shared" si="272"/>
        <v>11.999560050666332</v>
      </c>
      <c r="AK276" s="41" t="str">
        <f t="shared" si="273"/>
        <v/>
      </c>
    </row>
    <row r="277" spans="6:37" x14ac:dyDescent="0.2">
      <c r="F277" s="527">
        <f t="shared" si="246"/>
        <v>0.6796875</v>
      </c>
      <c r="G277" s="8">
        <v>2</v>
      </c>
      <c r="H277" s="305">
        <f t="shared" si="247"/>
        <v>87</v>
      </c>
      <c r="I277" s="37" t="str">
        <f t="shared" si="245"/>
        <v>73;</v>
      </c>
      <c r="J277" s="38">
        <v>2</v>
      </c>
      <c r="K277" s="128">
        <f t="shared" si="248"/>
        <v>0.60416666666666663</v>
      </c>
      <c r="L277" s="39" t="str">
        <f>INDEX(powers!$H$2:$H$75,33+J277)</f>
        <v>gross</v>
      </c>
      <c r="M277" s="40" t="str">
        <f t="shared" si="249"/>
        <v>0</v>
      </c>
      <c r="N277" s="24">
        <f t="shared" si="250"/>
        <v>7.25</v>
      </c>
      <c r="O277" s="41" t="str">
        <f t="shared" si="251"/>
        <v>7</v>
      </c>
      <c r="P277" s="24">
        <f t="shared" si="252"/>
        <v>3</v>
      </c>
      <c r="Q277" s="41" t="str">
        <f t="shared" si="253"/>
        <v>3</v>
      </c>
      <c r="R277" s="24">
        <f t="shared" si="254"/>
        <v>0</v>
      </c>
      <c r="S277" s="41" t="str">
        <f t="shared" si="255"/>
        <v/>
      </c>
      <c r="T277" s="24">
        <f t="shared" si="256"/>
        <v>0</v>
      </c>
      <c r="U277" s="41" t="str">
        <f t="shared" si="257"/>
        <v/>
      </c>
      <c r="V277" s="24">
        <f t="shared" si="258"/>
        <v>0</v>
      </c>
      <c r="W277" s="41" t="str">
        <f t="shared" si="259"/>
        <v/>
      </c>
      <c r="X277" s="24">
        <f t="shared" si="260"/>
        <v>0</v>
      </c>
      <c r="Y277" s="41" t="str">
        <f t="shared" si="261"/>
        <v/>
      </c>
      <c r="Z277" s="24">
        <f t="shared" si="262"/>
        <v>0</v>
      </c>
      <c r="AA277" s="41" t="str">
        <f t="shared" si="263"/>
        <v/>
      </c>
      <c r="AB277" s="24">
        <f t="shared" si="264"/>
        <v>0</v>
      </c>
      <c r="AC277" s="41" t="str">
        <f t="shared" si="265"/>
        <v/>
      </c>
      <c r="AD277" s="24">
        <f t="shared" si="266"/>
        <v>0</v>
      </c>
      <c r="AE277" s="41" t="str">
        <f t="shared" si="267"/>
        <v/>
      </c>
      <c r="AF277" s="24">
        <f t="shared" si="268"/>
        <v>0</v>
      </c>
      <c r="AG277" s="41" t="str">
        <f t="shared" si="269"/>
        <v/>
      </c>
      <c r="AH277" s="24">
        <f t="shared" si="270"/>
        <v>0</v>
      </c>
      <c r="AI277" s="41" t="str">
        <f t="shared" si="271"/>
        <v/>
      </c>
      <c r="AJ277" s="24">
        <f t="shared" si="272"/>
        <v>0</v>
      </c>
      <c r="AK277" s="41" t="str">
        <f t="shared" si="273"/>
        <v/>
      </c>
    </row>
    <row r="278" spans="6:37" x14ac:dyDescent="0.2">
      <c r="F278" s="527">
        <f t="shared" si="246"/>
        <v>0.6875</v>
      </c>
      <c r="G278" s="8">
        <v>2</v>
      </c>
      <c r="H278" s="305">
        <f t="shared" si="247"/>
        <v>88</v>
      </c>
      <c r="I278" s="37" t="str">
        <f t="shared" si="245"/>
        <v>74;</v>
      </c>
      <c r="J278" s="38">
        <v>2</v>
      </c>
      <c r="K278" s="128">
        <f t="shared" si="248"/>
        <v>0.61111111111111116</v>
      </c>
      <c r="L278" s="39" t="str">
        <f>INDEX(powers!$H$2:$H$75,33+J278)</f>
        <v>gross</v>
      </c>
      <c r="M278" s="40" t="str">
        <f t="shared" si="249"/>
        <v>0</v>
      </c>
      <c r="N278" s="24">
        <f t="shared" si="250"/>
        <v>7.3333333333333339</v>
      </c>
      <c r="O278" s="41" t="str">
        <f t="shared" si="251"/>
        <v>7</v>
      </c>
      <c r="P278" s="24">
        <f t="shared" si="252"/>
        <v>4.0000000000000071</v>
      </c>
      <c r="Q278" s="41" t="str">
        <f t="shared" si="253"/>
        <v>4</v>
      </c>
      <c r="R278" s="24">
        <f t="shared" si="254"/>
        <v>8.5265128291212022E-14</v>
      </c>
      <c r="S278" s="41" t="str">
        <f t="shared" si="255"/>
        <v/>
      </c>
      <c r="T278" s="24">
        <f t="shared" si="256"/>
        <v>1.0231815394945443E-12</v>
      </c>
      <c r="U278" s="41" t="str">
        <f t="shared" si="257"/>
        <v/>
      </c>
      <c r="V278" s="24">
        <f t="shared" si="258"/>
        <v>1.2278178473934531E-11</v>
      </c>
      <c r="W278" s="41" t="str">
        <f t="shared" si="259"/>
        <v/>
      </c>
      <c r="X278" s="24">
        <f t="shared" si="260"/>
        <v>1.4733814168721437E-10</v>
      </c>
      <c r="Y278" s="41" t="str">
        <f t="shared" si="261"/>
        <v/>
      </c>
      <c r="Z278" s="24">
        <f t="shared" si="262"/>
        <v>1.7680577002465725E-9</v>
      </c>
      <c r="AA278" s="41" t="str">
        <f t="shared" si="263"/>
        <v/>
      </c>
      <c r="AB278" s="24">
        <f t="shared" si="264"/>
        <v>2.121669240295887E-8</v>
      </c>
      <c r="AC278" s="41" t="str">
        <f t="shared" si="265"/>
        <v/>
      </c>
      <c r="AD278" s="24">
        <f t="shared" si="266"/>
        <v>2.5460030883550644E-7</v>
      </c>
      <c r="AE278" s="41" t="str">
        <f t="shared" si="267"/>
        <v/>
      </c>
      <c r="AF278" s="24">
        <f t="shared" si="268"/>
        <v>3.0552037060260773E-6</v>
      </c>
      <c r="AG278" s="41" t="str">
        <f t="shared" si="269"/>
        <v/>
      </c>
      <c r="AH278" s="24">
        <f t="shared" si="270"/>
        <v>3.6662444472312927E-5</v>
      </c>
      <c r="AI278" s="41" t="str">
        <f t="shared" si="271"/>
        <v/>
      </c>
      <c r="AJ278" s="24">
        <f t="shared" si="272"/>
        <v>4.3994933366775513E-4</v>
      </c>
      <c r="AK278" s="41" t="str">
        <f t="shared" si="273"/>
        <v/>
      </c>
    </row>
    <row r="279" spans="6:37" x14ac:dyDescent="0.2">
      <c r="F279" s="527">
        <f t="shared" si="246"/>
        <v>0.6953125</v>
      </c>
      <c r="G279" s="8">
        <v>2</v>
      </c>
      <c r="H279" s="305">
        <f t="shared" si="247"/>
        <v>89</v>
      </c>
      <c r="I279" s="37" t="str">
        <f t="shared" si="245"/>
        <v>75;</v>
      </c>
      <c r="J279" s="38">
        <v>2</v>
      </c>
      <c r="K279" s="128">
        <f t="shared" si="248"/>
        <v>0.61805555555555558</v>
      </c>
      <c r="L279" s="39" t="str">
        <f>INDEX(powers!$H$2:$H$75,33+J279)</f>
        <v>gross</v>
      </c>
      <c r="M279" s="40" t="str">
        <f t="shared" si="249"/>
        <v>0</v>
      </c>
      <c r="N279" s="24">
        <f t="shared" si="250"/>
        <v>7.416666666666667</v>
      </c>
      <c r="O279" s="41" t="str">
        <f t="shared" si="251"/>
        <v>7</v>
      </c>
      <c r="P279" s="24">
        <f t="shared" si="252"/>
        <v>5.0000000000000036</v>
      </c>
      <c r="Q279" s="41" t="str">
        <f t="shared" si="253"/>
        <v>5</v>
      </c>
      <c r="R279" s="24">
        <f t="shared" si="254"/>
        <v>4.2632564145606011E-14</v>
      </c>
      <c r="S279" s="41" t="str">
        <f t="shared" si="255"/>
        <v/>
      </c>
      <c r="T279" s="24">
        <f t="shared" si="256"/>
        <v>5.1159076974727213E-13</v>
      </c>
      <c r="U279" s="41" t="str">
        <f t="shared" si="257"/>
        <v/>
      </c>
      <c r="V279" s="24">
        <f t="shared" si="258"/>
        <v>6.1390892369672656E-12</v>
      </c>
      <c r="W279" s="41" t="str">
        <f t="shared" si="259"/>
        <v/>
      </c>
      <c r="X279" s="24">
        <f t="shared" si="260"/>
        <v>7.3669070843607187E-11</v>
      </c>
      <c r="Y279" s="41" t="str">
        <f t="shared" si="261"/>
        <v/>
      </c>
      <c r="Z279" s="24">
        <f t="shared" si="262"/>
        <v>8.8402885012328625E-10</v>
      </c>
      <c r="AA279" s="41" t="str">
        <f t="shared" si="263"/>
        <v/>
      </c>
      <c r="AB279" s="24">
        <f t="shared" si="264"/>
        <v>1.0608346201479435E-8</v>
      </c>
      <c r="AC279" s="41" t="str">
        <f t="shared" si="265"/>
        <v/>
      </c>
      <c r="AD279" s="24">
        <f t="shared" si="266"/>
        <v>1.2730015441775322E-7</v>
      </c>
      <c r="AE279" s="41" t="str">
        <f t="shared" si="267"/>
        <v/>
      </c>
      <c r="AF279" s="24">
        <f t="shared" si="268"/>
        <v>1.5276018530130386E-6</v>
      </c>
      <c r="AG279" s="41" t="str">
        <f t="shared" si="269"/>
        <v/>
      </c>
      <c r="AH279" s="24">
        <f t="shared" si="270"/>
        <v>1.8331222236156464E-5</v>
      </c>
      <c r="AI279" s="41" t="str">
        <f t="shared" si="271"/>
        <v/>
      </c>
      <c r="AJ279" s="24">
        <f t="shared" si="272"/>
        <v>2.1997466683387756E-4</v>
      </c>
      <c r="AK279" s="41" t="str">
        <f t="shared" si="273"/>
        <v/>
      </c>
    </row>
    <row r="280" spans="6:37" x14ac:dyDescent="0.2">
      <c r="F280" s="527">
        <f t="shared" si="246"/>
        <v>0.703125</v>
      </c>
      <c r="G280" s="8">
        <v>2</v>
      </c>
      <c r="H280" s="305">
        <f t="shared" si="247"/>
        <v>90</v>
      </c>
      <c r="I280" s="37" t="str">
        <f t="shared" si="245"/>
        <v>76;</v>
      </c>
      <c r="J280" s="38">
        <v>2</v>
      </c>
      <c r="K280" s="128">
        <f t="shared" si="248"/>
        <v>0.625</v>
      </c>
      <c r="L280" s="39" t="str">
        <f>INDEX(powers!$H$2:$H$75,33+J280)</f>
        <v>gross</v>
      </c>
      <c r="M280" s="40" t="str">
        <f t="shared" si="249"/>
        <v>0</v>
      </c>
      <c r="N280" s="24">
        <f t="shared" si="250"/>
        <v>7.5</v>
      </c>
      <c r="O280" s="41" t="str">
        <f t="shared" si="251"/>
        <v>7</v>
      </c>
      <c r="P280" s="24">
        <f t="shared" si="252"/>
        <v>6</v>
      </c>
      <c r="Q280" s="41" t="str">
        <f t="shared" si="253"/>
        <v>6</v>
      </c>
      <c r="R280" s="24">
        <f t="shared" si="254"/>
        <v>0</v>
      </c>
      <c r="S280" s="41" t="str">
        <f t="shared" si="255"/>
        <v/>
      </c>
      <c r="T280" s="24">
        <f t="shared" si="256"/>
        <v>0</v>
      </c>
      <c r="U280" s="41" t="str">
        <f t="shared" si="257"/>
        <v/>
      </c>
      <c r="V280" s="24">
        <f t="shared" si="258"/>
        <v>0</v>
      </c>
      <c r="W280" s="41" t="str">
        <f t="shared" si="259"/>
        <v/>
      </c>
      <c r="X280" s="24">
        <f t="shared" si="260"/>
        <v>0</v>
      </c>
      <c r="Y280" s="41" t="str">
        <f t="shared" si="261"/>
        <v/>
      </c>
      <c r="Z280" s="24">
        <f t="shared" si="262"/>
        <v>0</v>
      </c>
      <c r="AA280" s="41" t="str">
        <f t="shared" si="263"/>
        <v/>
      </c>
      <c r="AB280" s="24">
        <f t="shared" si="264"/>
        <v>0</v>
      </c>
      <c r="AC280" s="41" t="str">
        <f t="shared" si="265"/>
        <v/>
      </c>
      <c r="AD280" s="24">
        <f t="shared" si="266"/>
        <v>0</v>
      </c>
      <c r="AE280" s="41" t="str">
        <f t="shared" si="267"/>
        <v/>
      </c>
      <c r="AF280" s="24">
        <f t="shared" si="268"/>
        <v>0</v>
      </c>
      <c r="AG280" s="41" t="str">
        <f t="shared" si="269"/>
        <v/>
      </c>
      <c r="AH280" s="24">
        <f t="shared" si="270"/>
        <v>0</v>
      </c>
      <c r="AI280" s="41" t="str">
        <f t="shared" si="271"/>
        <v/>
      </c>
      <c r="AJ280" s="24">
        <f t="shared" si="272"/>
        <v>0</v>
      </c>
      <c r="AK280" s="41" t="str">
        <f t="shared" si="273"/>
        <v/>
      </c>
    </row>
    <row r="281" spans="6:37" x14ac:dyDescent="0.2">
      <c r="F281" s="527">
        <f t="shared" si="246"/>
        <v>0.7109375</v>
      </c>
      <c r="G281" s="8">
        <v>2</v>
      </c>
      <c r="H281" s="305">
        <f t="shared" si="247"/>
        <v>91</v>
      </c>
      <c r="I281" s="37" t="str">
        <f t="shared" si="245"/>
        <v>77;</v>
      </c>
      <c r="J281" s="38">
        <v>2</v>
      </c>
      <c r="K281" s="128">
        <f t="shared" si="248"/>
        <v>0.63194444444444442</v>
      </c>
      <c r="L281" s="39" t="str">
        <f>INDEX(powers!$H$2:$H$75,33+J281)</f>
        <v>gross</v>
      </c>
      <c r="M281" s="40" t="str">
        <f t="shared" si="249"/>
        <v>0</v>
      </c>
      <c r="N281" s="24">
        <f t="shared" si="250"/>
        <v>7.583333333333333</v>
      </c>
      <c r="O281" s="41" t="str">
        <f t="shared" si="251"/>
        <v>7</v>
      </c>
      <c r="P281" s="24">
        <f t="shared" si="252"/>
        <v>6.9999999999999964</v>
      </c>
      <c r="Q281" s="41" t="str">
        <f t="shared" si="253"/>
        <v>7</v>
      </c>
      <c r="R281" s="24">
        <f t="shared" si="254"/>
        <v>-4.2632564145606011E-14</v>
      </c>
      <c r="S281" s="41" t="str">
        <f t="shared" si="255"/>
        <v/>
      </c>
      <c r="T281" s="24">
        <f t="shared" si="256"/>
        <v>11.999999999999488</v>
      </c>
      <c r="U281" s="41" t="str">
        <f t="shared" si="257"/>
        <v/>
      </c>
      <c r="V281" s="24">
        <f t="shared" si="258"/>
        <v>11.999999999993861</v>
      </c>
      <c r="W281" s="41" t="str">
        <f t="shared" si="259"/>
        <v/>
      </c>
      <c r="X281" s="24">
        <f t="shared" si="260"/>
        <v>11.999999999926331</v>
      </c>
      <c r="Y281" s="41" t="str">
        <f t="shared" si="261"/>
        <v/>
      </c>
      <c r="Z281" s="24">
        <f t="shared" si="262"/>
        <v>11.999999999115971</v>
      </c>
      <c r="AA281" s="41" t="str">
        <f t="shared" si="263"/>
        <v/>
      </c>
      <c r="AB281" s="24">
        <f t="shared" si="264"/>
        <v>11.999999989391654</v>
      </c>
      <c r="AC281" s="41" t="str">
        <f t="shared" si="265"/>
        <v/>
      </c>
      <c r="AD281" s="24">
        <f t="shared" si="266"/>
        <v>11.999999872699846</v>
      </c>
      <c r="AE281" s="41" t="str">
        <f t="shared" si="267"/>
        <v/>
      </c>
      <c r="AF281" s="24">
        <f t="shared" si="268"/>
        <v>11.999998472398147</v>
      </c>
      <c r="AG281" s="41" t="str">
        <f t="shared" si="269"/>
        <v/>
      </c>
      <c r="AH281" s="24">
        <f t="shared" si="270"/>
        <v>11.999981668777764</v>
      </c>
      <c r="AI281" s="41" t="str">
        <f t="shared" si="271"/>
        <v/>
      </c>
      <c r="AJ281" s="24">
        <f t="shared" si="272"/>
        <v>11.999780025333166</v>
      </c>
      <c r="AK281" s="41" t="str">
        <f t="shared" si="273"/>
        <v/>
      </c>
    </row>
    <row r="282" spans="6:37" x14ac:dyDescent="0.2">
      <c r="F282" s="527">
        <f t="shared" si="246"/>
        <v>0.71875</v>
      </c>
      <c r="G282" s="8">
        <v>2</v>
      </c>
      <c r="H282" s="305">
        <f t="shared" si="247"/>
        <v>92</v>
      </c>
      <c r="I282" s="37" t="str">
        <f t="shared" si="245"/>
        <v>78;</v>
      </c>
      <c r="J282" s="38">
        <v>2</v>
      </c>
      <c r="K282" s="128">
        <f t="shared" si="248"/>
        <v>0.63888888888888884</v>
      </c>
      <c r="L282" s="39" t="str">
        <f>INDEX(powers!$H$2:$H$75,33+J282)</f>
        <v>gross</v>
      </c>
      <c r="M282" s="40" t="str">
        <f t="shared" si="249"/>
        <v>0</v>
      </c>
      <c r="N282" s="24">
        <f t="shared" si="250"/>
        <v>7.6666666666666661</v>
      </c>
      <c r="O282" s="41" t="str">
        <f t="shared" si="251"/>
        <v>7</v>
      </c>
      <c r="P282" s="24">
        <f t="shared" si="252"/>
        <v>7.9999999999999929</v>
      </c>
      <c r="Q282" s="41" t="str">
        <f t="shared" si="253"/>
        <v>8</v>
      </c>
      <c r="R282" s="24">
        <f t="shared" si="254"/>
        <v>11.999999999999915</v>
      </c>
      <c r="S282" s="41" t="str">
        <f t="shared" si="255"/>
        <v/>
      </c>
      <c r="T282" s="24">
        <f t="shared" si="256"/>
        <v>11.999999999998977</v>
      </c>
      <c r="U282" s="41" t="str">
        <f t="shared" si="257"/>
        <v/>
      </c>
      <c r="V282" s="24">
        <f t="shared" si="258"/>
        <v>11.999999999987722</v>
      </c>
      <c r="W282" s="41" t="str">
        <f t="shared" si="259"/>
        <v/>
      </c>
      <c r="X282" s="24">
        <f t="shared" si="260"/>
        <v>11.999999999852662</v>
      </c>
      <c r="Y282" s="41" t="str">
        <f t="shared" si="261"/>
        <v/>
      </c>
      <c r="Z282" s="24">
        <f t="shared" si="262"/>
        <v>11.999999998231942</v>
      </c>
      <c r="AA282" s="41" t="str">
        <f t="shared" si="263"/>
        <v/>
      </c>
      <c r="AB282" s="24">
        <f t="shared" si="264"/>
        <v>11.999999978783308</v>
      </c>
      <c r="AC282" s="41" t="str">
        <f t="shared" si="265"/>
        <v/>
      </c>
      <c r="AD282" s="24">
        <f t="shared" si="266"/>
        <v>11.999999745399691</v>
      </c>
      <c r="AE282" s="41" t="str">
        <f t="shared" si="267"/>
        <v/>
      </c>
      <c r="AF282" s="24">
        <f t="shared" si="268"/>
        <v>11.999996944796294</v>
      </c>
      <c r="AG282" s="41" t="str">
        <f t="shared" si="269"/>
        <v/>
      </c>
      <c r="AH282" s="24">
        <f t="shared" si="270"/>
        <v>11.999963337555528</v>
      </c>
      <c r="AI282" s="41" t="str">
        <f t="shared" si="271"/>
        <v/>
      </c>
      <c r="AJ282" s="24">
        <f t="shared" si="272"/>
        <v>11.999560050666332</v>
      </c>
      <c r="AK282" s="41" t="str">
        <f t="shared" si="273"/>
        <v/>
      </c>
    </row>
    <row r="283" spans="6:37" x14ac:dyDescent="0.2">
      <c r="F283" s="527">
        <f t="shared" si="246"/>
        <v>0.7265625</v>
      </c>
      <c r="G283" s="8">
        <v>2</v>
      </c>
      <c r="H283" s="305">
        <f t="shared" si="247"/>
        <v>93</v>
      </c>
      <c r="I283" s="37" t="str">
        <f t="shared" si="245"/>
        <v>79;</v>
      </c>
      <c r="J283" s="38">
        <v>2</v>
      </c>
      <c r="K283" s="128">
        <f t="shared" si="248"/>
        <v>0.64583333333333337</v>
      </c>
      <c r="L283" s="39" t="str">
        <f>INDEX(powers!$H$2:$H$75,33+J283)</f>
        <v>gross</v>
      </c>
      <c r="M283" s="40" t="str">
        <f t="shared" si="249"/>
        <v>0</v>
      </c>
      <c r="N283" s="24">
        <f t="shared" si="250"/>
        <v>7.75</v>
      </c>
      <c r="O283" s="41" t="str">
        <f t="shared" si="251"/>
        <v>7</v>
      </c>
      <c r="P283" s="24">
        <f t="shared" si="252"/>
        <v>9</v>
      </c>
      <c r="Q283" s="41" t="str">
        <f t="shared" si="253"/>
        <v>9</v>
      </c>
      <c r="R283" s="24">
        <f t="shared" si="254"/>
        <v>0</v>
      </c>
      <c r="S283" s="41" t="str">
        <f t="shared" si="255"/>
        <v/>
      </c>
      <c r="T283" s="24">
        <f t="shared" si="256"/>
        <v>0</v>
      </c>
      <c r="U283" s="41" t="str">
        <f t="shared" si="257"/>
        <v/>
      </c>
      <c r="V283" s="24">
        <f t="shared" si="258"/>
        <v>0</v>
      </c>
      <c r="W283" s="41" t="str">
        <f t="shared" si="259"/>
        <v/>
      </c>
      <c r="X283" s="24">
        <f t="shared" si="260"/>
        <v>0</v>
      </c>
      <c r="Y283" s="41" t="str">
        <f t="shared" si="261"/>
        <v/>
      </c>
      <c r="Z283" s="24">
        <f t="shared" si="262"/>
        <v>0</v>
      </c>
      <c r="AA283" s="41" t="str">
        <f t="shared" si="263"/>
        <v/>
      </c>
      <c r="AB283" s="24">
        <f t="shared" si="264"/>
        <v>0</v>
      </c>
      <c r="AC283" s="41" t="str">
        <f t="shared" si="265"/>
        <v/>
      </c>
      <c r="AD283" s="24">
        <f t="shared" si="266"/>
        <v>0</v>
      </c>
      <c r="AE283" s="41" t="str">
        <f t="shared" si="267"/>
        <v/>
      </c>
      <c r="AF283" s="24">
        <f t="shared" si="268"/>
        <v>0</v>
      </c>
      <c r="AG283" s="41" t="str">
        <f t="shared" si="269"/>
        <v/>
      </c>
      <c r="AH283" s="24">
        <f t="shared" si="270"/>
        <v>0</v>
      </c>
      <c r="AI283" s="41" t="str">
        <f t="shared" si="271"/>
        <v/>
      </c>
      <c r="AJ283" s="24">
        <f t="shared" si="272"/>
        <v>0</v>
      </c>
      <c r="AK283" s="41" t="str">
        <f t="shared" si="273"/>
        <v/>
      </c>
    </row>
    <row r="284" spans="6:37" x14ac:dyDescent="0.2">
      <c r="F284" s="527">
        <f t="shared" si="246"/>
        <v>0.734375</v>
      </c>
      <c r="G284" s="8">
        <v>2</v>
      </c>
      <c r="H284" s="305">
        <f t="shared" si="247"/>
        <v>94</v>
      </c>
      <c r="I284" s="37" t="str">
        <f t="shared" si="245"/>
        <v>7X;</v>
      </c>
      <c r="J284" s="38">
        <v>2</v>
      </c>
      <c r="K284" s="128">
        <f t="shared" si="248"/>
        <v>0.65277777777777779</v>
      </c>
      <c r="L284" s="39" t="str">
        <f>INDEX(powers!$H$2:$H$75,33+J284)</f>
        <v>gross</v>
      </c>
      <c r="M284" s="40" t="str">
        <f t="shared" si="249"/>
        <v>0</v>
      </c>
      <c r="N284" s="24">
        <f t="shared" si="250"/>
        <v>7.8333333333333339</v>
      </c>
      <c r="O284" s="41" t="str">
        <f t="shared" si="251"/>
        <v>7</v>
      </c>
      <c r="P284" s="24">
        <f t="shared" si="252"/>
        <v>10.000000000000007</v>
      </c>
      <c r="Q284" s="41" t="str">
        <f t="shared" si="253"/>
        <v>X</v>
      </c>
      <c r="R284" s="24">
        <f t="shared" si="254"/>
        <v>8.5265128291212022E-14</v>
      </c>
      <c r="S284" s="41" t="str">
        <f t="shared" si="255"/>
        <v/>
      </c>
      <c r="T284" s="24">
        <f t="shared" si="256"/>
        <v>1.0231815394945443E-12</v>
      </c>
      <c r="U284" s="41" t="str">
        <f t="shared" si="257"/>
        <v/>
      </c>
      <c r="V284" s="24">
        <f t="shared" si="258"/>
        <v>1.2278178473934531E-11</v>
      </c>
      <c r="W284" s="41" t="str">
        <f t="shared" si="259"/>
        <v/>
      </c>
      <c r="X284" s="24">
        <f t="shared" si="260"/>
        <v>1.4733814168721437E-10</v>
      </c>
      <c r="Y284" s="41" t="str">
        <f t="shared" si="261"/>
        <v/>
      </c>
      <c r="Z284" s="24">
        <f t="shared" si="262"/>
        <v>1.7680577002465725E-9</v>
      </c>
      <c r="AA284" s="41" t="str">
        <f t="shared" si="263"/>
        <v/>
      </c>
      <c r="AB284" s="24">
        <f t="shared" si="264"/>
        <v>2.121669240295887E-8</v>
      </c>
      <c r="AC284" s="41" t="str">
        <f t="shared" si="265"/>
        <v/>
      </c>
      <c r="AD284" s="24">
        <f t="shared" si="266"/>
        <v>2.5460030883550644E-7</v>
      </c>
      <c r="AE284" s="41" t="str">
        <f t="shared" si="267"/>
        <v/>
      </c>
      <c r="AF284" s="24">
        <f t="shared" si="268"/>
        <v>3.0552037060260773E-6</v>
      </c>
      <c r="AG284" s="41" t="str">
        <f t="shared" si="269"/>
        <v/>
      </c>
      <c r="AH284" s="24">
        <f t="shared" si="270"/>
        <v>3.6662444472312927E-5</v>
      </c>
      <c r="AI284" s="41" t="str">
        <f t="shared" si="271"/>
        <v/>
      </c>
      <c r="AJ284" s="24">
        <f t="shared" si="272"/>
        <v>4.3994933366775513E-4</v>
      </c>
      <c r="AK284" s="41" t="str">
        <f t="shared" si="273"/>
        <v/>
      </c>
    </row>
    <row r="285" spans="6:37" x14ac:dyDescent="0.2">
      <c r="F285" s="527">
        <f t="shared" si="246"/>
        <v>0.7421875</v>
      </c>
      <c r="G285" s="8">
        <v>2</v>
      </c>
      <c r="H285" s="305">
        <f t="shared" si="247"/>
        <v>95</v>
      </c>
      <c r="I285" s="37" t="str">
        <f t="shared" si="245"/>
        <v>7E;</v>
      </c>
      <c r="J285" s="38">
        <v>2</v>
      </c>
      <c r="K285" s="128">
        <f t="shared" si="248"/>
        <v>0.65972222222222221</v>
      </c>
      <c r="L285" s="39" t="str">
        <f>INDEX(powers!$H$2:$H$75,33+J285)</f>
        <v>gross</v>
      </c>
      <c r="M285" s="40" t="str">
        <f t="shared" si="249"/>
        <v>0</v>
      </c>
      <c r="N285" s="24">
        <f t="shared" si="250"/>
        <v>7.9166666666666661</v>
      </c>
      <c r="O285" s="41" t="str">
        <f t="shared" si="251"/>
        <v>7</v>
      </c>
      <c r="P285" s="24">
        <f t="shared" si="252"/>
        <v>10.999999999999993</v>
      </c>
      <c r="Q285" s="41" t="str">
        <f t="shared" si="253"/>
        <v>E</v>
      </c>
      <c r="R285" s="24">
        <f t="shared" si="254"/>
        <v>-8.5265128291212022E-14</v>
      </c>
      <c r="S285" s="41" t="str">
        <f t="shared" si="255"/>
        <v/>
      </c>
      <c r="T285" s="24">
        <f t="shared" si="256"/>
        <v>11.999999999998977</v>
      </c>
      <c r="U285" s="41" t="str">
        <f t="shared" si="257"/>
        <v/>
      </c>
      <c r="V285" s="24">
        <f t="shared" si="258"/>
        <v>11.999999999987722</v>
      </c>
      <c r="W285" s="41" t="str">
        <f t="shared" si="259"/>
        <v/>
      </c>
      <c r="X285" s="24">
        <f t="shared" si="260"/>
        <v>11.999999999852662</v>
      </c>
      <c r="Y285" s="41" t="str">
        <f t="shared" si="261"/>
        <v/>
      </c>
      <c r="Z285" s="24">
        <f t="shared" si="262"/>
        <v>11.999999998231942</v>
      </c>
      <c r="AA285" s="41" t="str">
        <f t="shared" si="263"/>
        <v/>
      </c>
      <c r="AB285" s="24">
        <f t="shared" si="264"/>
        <v>11.999999978783308</v>
      </c>
      <c r="AC285" s="41" t="str">
        <f t="shared" si="265"/>
        <v/>
      </c>
      <c r="AD285" s="24">
        <f t="shared" si="266"/>
        <v>11.999999745399691</v>
      </c>
      <c r="AE285" s="41" t="str">
        <f t="shared" si="267"/>
        <v/>
      </c>
      <c r="AF285" s="24">
        <f t="shared" si="268"/>
        <v>11.999996944796294</v>
      </c>
      <c r="AG285" s="41" t="str">
        <f t="shared" si="269"/>
        <v/>
      </c>
      <c r="AH285" s="24">
        <f t="shared" si="270"/>
        <v>11.999963337555528</v>
      </c>
      <c r="AI285" s="41" t="str">
        <f t="shared" si="271"/>
        <v/>
      </c>
      <c r="AJ285" s="24">
        <f t="shared" si="272"/>
        <v>11.999560050666332</v>
      </c>
      <c r="AK285" s="41" t="str">
        <f t="shared" si="273"/>
        <v/>
      </c>
    </row>
    <row r="286" spans="6:37" x14ac:dyDescent="0.2">
      <c r="F286" s="527">
        <f t="shared" si="246"/>
        <v>0.75</v>
      </c>
      <c r="G286" s="8">
        <v>2</v>
      </c>
      <c r="H286" s="305">
        <f t="shared" si="247"/>
        <v>96</v>
      </c>
      <c r="I286" s="37" t="str">
        <f t="shared" si="245"/>
        <v>80;</v>
      </c>
      <c r="J286" s="38">
        <v>2</v>
      </c>
      <c r="K286" s="128">
        <f t="shared" si="248"/>
        <v>0.66666666666666663</v>
      </c>
      <c r="L286" s="39" t="str">
        <f>INDEX(powers!$H$2:$H$75,33+J286)</f>
        <v>gross</v>
      </c>
      <c r="M286" s="40" t="str">
        <f t="shared" si="249"/>
        <v>0</v>
      </c>
      <c r="N286" s="24">
        <f t="shared" si="250"/>
        <v>8</v>
      </c>
      <c r="O286" s="41" t="str">
        <f t="shared" si="251"/>
        <v>8</v>
      </c>
      <c r="P286" s="24">
        <f t="shared" si="252"/>
        <v>0</v>
      </c>
      <c r="Q286" s="41" t="str">
        <f t="shared" si="253"/>
        <v>0</v>
      </c>
      <c r="R286" s="24">
        <f t="shared" si="254"/>
        <v>0</v>
      </c>
      <c r="S286" s="41" t="str">
        <f t="shared" si="255"/>
        <v/>
      </c>
      <c r="T286" s="24">
        <f t="shared" si="256"/>
        <v>0</v>
      </c>
      <c r="U286" s="41" t="str">
        <f t="shared" si="257"/>
        <v/>
      </c>
      <c r="V286" s="24">
        <f t="shared" si="258"/>
        <v>0</v>
      </c>
      <c r="W286" s="41" t="str">
        <f t="shared" si="259"/>
        <v/>
      </c>
      <c r="X286" s="24">
        <f t="shared" si="260"/>
        <v>0</v>
      </c>
      <c r="Y286" s="41" t="str">
        <f t="shared" si="261"/>
        <v/>
      </c>
      <c r="Z286" s="24">
        <f t="shared" si="262"/>
        <v>0</v>
      </c>
      <c r="AA286" s="41" t="str">
        <f t="shared" si="263"/>
        <v/>
      </c>
      <c r="AB286" s="24">
        <f t="shared" si="264"/>
        <v>0</v>
      </c>
      <c r="AC286" s="41" t="str">
        <f t="shared" si="265"/>
        <v/>
      </c>
      <c r="AD286" s="24">
        <f t="shared" si="266"/>
        <v>0</v>
      </c>
      <c r="AE286" s="41" t="str">
        <f t="shared" si="267"/>
        <v/>
      </c>
      <c r="AF286" s="24">
        <f t="shared" si="268"/>
        <v>0</v>
      </c>
      <c r="AG286" s="41" t="str">
        <f t="shared" si="269"/>
        <v/>
      </c>
      <c r="AH286" s="24">
        <f t="shared" si="270"/>
        <v>0</v>
      </c>
      <c r="AI286" s="41" t="str">
        <f t="shared" si="271"/>
        <v/>
      </c>
      <c r="AJ286" s="24">
        <f t="shared" si="272"/>
        <v>0</v>
      </c>
      <c r="AK286" s="41" t="str">
        <f t="shared" si="273"/>
        <v/>
      </c>
    </row>
    <row r="287" spans="6:37" x14ac:dyDescent="0.2">
      <c r="F287" s="527">
        <f t="shared" si="246"/>
        <v>0.7578125</v>
      </c>
      <c r="G287" s="8">
        <v>2</v>
      </c>
      <c r="H287" s="305">
        <f t="shared" si="247"/>
        <v>97</v>
      </c>
      <c r="I287" s="37" t="str">
        <f t="shared" si="245"/>
        <v>81;</v>
      </c>
      <c r="J287" s="38">
        <v>2</v>
      </c>
      <c r="K287" s="128">
        <f t="shared" si="248"/>
        <v>0.67361111111111116</v>
      </c>
      <c r="L287" s="39" t="str">
        <f>INDEX(powers!$H$2:$H$75,33+J287)</f>
        <v>gross</v>
      </c>
      <c r="M287" s="40" t="str">
        <f t="shared" si="249"/>
        <v>0</v>
      </c>
      <c r="N287" s="24">
        <f t="shared" si="250"/>
        <v>8.0833333333333339</v>
      </c>
      <c r="O287" s="41" t="str">
        <f t="shared" si="251"/>
        <v>8</v>
      </c>
      <c r="P287" s="24">
        <f t="shared" si="252"/>
        <v>1.0000000000000071</v>
      </c>
      <c r="Q287" s="41" t="str">
        <f t="shared" si="253"/>
        <v>1</v>
      </c>
      <c r="R287" s="24">
        <f t="shared" si="254"/>
        <v>8.5265128291212022E-14</v>
      </c>
      <c r="S287" s="41" t="str">
        <f t="shared" si="255"/>
        <v/>
      </c>
      <c r="T287" s="24">
        <f t="shared" si="256"/>
        <v>1.0231815394945443E-12</v>
      </c>
      <c r="U287" s="41" t="str">
        <f t="shared" si="257"/>
        <v/>
      </c>
      <c r="V287" s="24">
        <f t="shared" si="258"/>
        <v>1.2278178473934531E-11</v>
      </c>
      <c r="W287" s="41" t="str">
        <f t="shared" si="259"/>
        <v/>
      </c>
      <c r="X287" s="24">
        <f t="shared" si="260"/>
        <v>1.4733814168721437E-10</v>
      </c>
      <c r="Y287" s="41" t="str">
        <f t="shared" si="261"/>
        <v/>
      </c>
      <c r="Z287" s="24">
        <f t="shared" si="262"/>
        <v>1.7680577002465725E-9</v>
      </c>
      <c r="AA287" s="41" t="str">
        <f t="shared" si="263"/>
        <v/>
      </c>
      <c r="AB287" s="24">
        <f t="shared" si="264"/>
        <v>2.121669240295887E-8</v>
      </c>
      <c r="AC287" s="41" t="str">
        <f t="shared" si="265"/>
        <v/>
      </c>
      <c r="AD287" s="24">
        <f t="shared" si="266"/>
        <v>2.5460030883550644E-7</v>
      </c>
      <c r="AE287" s="41" t="str">
        <f t="shared" si="267"/>
        <v/>
      </c>
      <c r="AF287" s="24">
        <f t="shared" si="268"/>
        <v>3.0552037060260773E-6</v>
      </c>
      <c r="AG287" s="41" t="str">
        <f t="shared" si="269"/>
        <v/>
      </c>
      <c r="AH287" s="24">
        <f t="shared" si="270"/>
        <v>3.6662444472312927E-5</v>
      </c>
      <c r="AI287" s="41" t="str">
        <f t="shared" si="271"/>
        <v/>
      </c>
      <c r="AJ287" s="24">
        <f t="shared" si="272"/>
        <v>4.3994933366775513E-4</v>
      </c>
      <c r="AK287" s="41" t="str">
        <f t="shared" si="273"/>
        <v/>
      </c>
    </row>
    <row r="288" spans="6:37" x14ac:dyDescent="0.2">
      <c r="F288" s="527">
        <f t="shared" si="246"/>
        <v>0.765625</v>
      </c>
      <c r="G288" s="8">
        <v>2</v>
      </c>
      <c r="H288" s="305">
        <f t="shared" si="247"/>
        <v>98</v>
      </c>
      <c r="I288" s="37" t="str">
        <f t="shared" si="245"/>
        <v>82;</v>
      </c>
      <c r="J288" s="38">
        <v>2</v>
      </c>
      <c r="K288" s="128">
        <f t="shared" si="248"/>
        <v>0.68055555555555558</v>
      </c>
      <c r="L288" s="39" t="str">
        <f>INDEX(powers!$H$2:$H$75,33+J288)</f>
        <v>gross</v>
      </c>
      <c r="M288" s="40" t="str">
        <f t="shared" si="249"/>
        <v>0</v>
      </c>
      <c r="N288" s="24">
        <f t="shared" si="250"/>
        <v>8.1666666666666679</v>
      </c>
      <c r="O288" s="41" t="str">
        <f t="shared" si="251"/>
        <v>8</v>
      </c>
      <c r="P288" s="24">
        <f t="shared" si="252"/>
        <v>2.0000000000000142</v>
      </c>
      <c r="Q288" s="41" t="str">
        <f t="shared" si="253"/>
        <v>2</v>
      </c>
      <c r="R288" s="24">
        <f t="shared" si="254"/>
        <v>1.7053025658242404E-13</v>
      </c>
      <c r="S288" s="41" t="str">
        <f t="shared" si="255"/>
        <v/>
      </c>
      <c r="T288" s="24">
        <f t="shared" si="256"/>
        <v>2.0463630789890885E-12</v>
      </c>
      <c r="U288" s="41" t="str">
        <f t="shared" si="257"/>
        <v/>
      </c>
      <c r="V288" s="24">
        <f t="shared" si="258"/>
        <v>2.4556356947869062E-11</v>
      </c>
      <c r="W288" s="41" t="str">
        <f t="shared" si="259"/>
        <v/>
      </c>
      <c r="X288" s="24">
        <f t="shared" si="260"/>
        <v>2.9467628337442875E-10</v>
      </c>
      <c r="Y288" s="41" t="str">
        <f t="shared" si="261"/>
        <v/>
      </c>
      <c r="Z288" s="24">
        <f t="shared" si="262"/>
        <v>3.536115400493145E-9</v>
      </c>
      <c r="AA288" s="41" t="str">
        <f t="shared" si="263"/>
        <v/>
      </c>
      <c r="AB288" s="24">
        <f t="shared" si="264"/>
        <v>4.243338480591774E-8</v>
      </c>
      <c r="AC288" s="41" t="str">
        <f t="shared" si="265"/>
        <v/>
      </c>
      <c r="AD288" s="24">
        <f t="shared" si="266"/>
        <v>5.0920061767101288E-7</v>
      </c>
      <c r="AE288" s="41" t="str">
        <f t="shared" si="267"/>
        <v/>
      </c>
      <c r="AF288" s="24">
        <f t="shared" si="268"/>
        <v>6.1104074120521545E-6</v>
      </c>
      <c r="AG288" s="41" t="str">
        <f t="shared" si="269"/>
        <v/>
      </c>
      <c r="AH288" s="24">
        <f t="shared" si="270"/>
        <v>7.3324888944625854E-5</v>
      </c>
      <c r="AI288" s="41" t="str">
        <f t="shared" si="271"/>
        <v/>
      </c>
      <c r="AJ288" s="24">
        <f t="shared" si="272"/>
        <v>8.7989866733551025E-4</v>
      </c>
      <c r="AK288" s="41" t="str">
        <f t="shared" si="273"/>
        <v/>
      </c>
    </row>
    <row r="289" spans="6:37" x14ac:dyDescent="0.2">
      <c r="F289" s="527">
        <f t="shared" si="246"/>
        <v>0.7734375</v>
      </c>
      <c r="G289" s="8">
        <v>2</v>
      </c>
      <c r="H289" s="305">
        <f t="shared" si="247"/>
        <v>99</v>
      </c>
      <c r="I289" s="37" t="str">
        <f t="shared" si="245"/>
        <v>83;</v>
      </c>
      <c r="J289" s="38">
        <v>2</v>
      </c>
      <c r="K289" s="128">
        <f t="shared" si="248"/>
        <v>0.6875</v>
      </c>
      <c r="L289" s="39" t="str">
        <f>INDEX(powers!$H$2:$H$75,33+J289)</f>
        <v>gross</v>
      </c>
      <c r="M289" s="40" t="str">
        <f t="shared" si="249"/>
        <v>0</v>
      </c>
      <c r="N289" s="24">
        <f t="shared" si="250"/>
        <v>8.25</v>
      </c>
      <c r="O289" s="41" t="str">
        <f t="shared" si="251"/>
        <v>8</v>
      </c>
      <c r="P289" s="24">
        <f t="shared" si="252"/>
        <v>3</v>
      </c>
      <c r="Q289" s="41" t="str">
        <f t="shared" si="253"/>
        <v>3</v>
      </c>
      <c r="R289" s="24">
        <f t="shared" si="254"/>
        <v>0</v>
      </c>
      <c r="S289" s="41" t="str">
        <f t="shared" si="255"/>
        <v/>
      </c>
      <c r="T289" s="24">
        <f t="shared" si="256"/>
        <v>0</v>
      </c>
      <c r="U289" s="41" t="str">
        <f t="shared" si="257"/>
        <v/>
      </c>
      <c r="V289" s="24">
        <f t="shared" si="258"/>
        <v>0</v>
      </c>
      <c r="W289" s="41" t="str">
        <f t="shared" si="259"/>
        <v/>
      </c>
      <c r="X289" s="24">
        <f t="shared" si="260"/>
        <v>0</v>
      </c>
      <c r="Y289" s="41" t="str">
        <f t="shared" si="261"/>
        <v/>
      </c>
      <c r="Z289" s="24">
        <f t="shared" si="262"/>
        <v>0</v>
      </c>
      <c r="AA289" s="41" t="str">
        <f t="shared" si="263"/>
        <v/>
      </c>
      <c r="AB289" s="24">
        <f t="shared" si="264"/>
        <v>0</v>
      </c>
      <c r="AC289" s="41" t="str">
        <f t="shared" si="265"/>
        <v/>
      </c>
      <c r="AD289" s="24">
        <f t="shared" si="266"/>
        <v>0</v>
      </c>
      <c r="AE289" s="41" t="str">
        <f t="shared" si="267"/>
        <v/>
      </c>
      <c r="AF289" s="24">
        <f t="shared" si="268"/>
        <v>0</v>
      </c>
      <c r="AG289" s="41" t="str">
        <f t="shared" si="269"/>
        <v/>
      </c>
      <c r="AH289" s="24">
        <f t="shared" si="270"/>
        <v>0</v>
      </c>
      <c r="AI289" s="41" t="str">
        <f t="shared" si="271"/>
        <v/>
      </c>
      <c r="AJ289" s="24">
        <f t="shared" si="272"/>
        <v>0</v>
      </c>
      <c r="AK289" s="41" t="str">
        <f t="shared" si="273"/>
        <v/>
      </c>
    </row>
    <row r="290" spans="6:37" x14ac:dyDescent="0.2">
      <c r="F290" s="527">
        <f t="shared" si="246"/>
        <v>0.78125</v>
      </c>
      <c r="G290" s="8">
        <v>2</v>
      </c>
      <c r="H290" s="305">
        <f t="shared" si="247"/>
        <v>100</v>
      </c>
      <c r="I290" s="37" t="str">
        <f t="shared" si="245"/>
        <v>84;</v>
      </c>
      <c r="J290" s="38">
        <v>2</v>
      </c>
      <c r="K290" s="128">
        <f t="shared" si="248"/>
        <v>0.69444444444444442</v>
      </c>
      <c r="L290" s="39" t="str">
        <f>INDEX(powers!$H$2:$H$75,33+J290)</f>
        <v>gross</v>
      </c>
      <c r="M290" s="40" t="str">
        <f t="shared" si="249"/>
        <v>0</v>
      </c>
      <c r="N290" s="24">
        <f t="shared" si="250"/>
        <v>8.3333333333333321</v>
      </c>
      <c r="O290" s="41" t="str">
        <f t="shared" si="251"/>
        <v>8</v>
      </c>
      <c r="P290" s="24">
        <f t="shared" si="252"/>
        <v>3.9999999999999858</v>
      </c>
      <c r="Q290" s="41" t="str">
        <f t="shared" si="253"/>
        <v>4</v>
      </c>
      <c r="R290" s="24">
        <f t="shared" si="254"/>
        <v>11.999999999999829</v>
      </c>
      <c r="S290" s="41" t="str">
        <f t="shared" si="255"/>
        <v/>
      </c>
      <c r="T290" s="24">
        <f t="shared" si="256"/>
        <v>11.999999999997954</v>
      </c>
      <c r="U290" s="41" t="str">
        <f t="shared" si="257"/>
        <v/>
      </c>
      <c r="V290" s="24">
        <f t="shared" si="258"/>
        <v>11.999999999975444</v>
      </c>
      <c r="W290" s="41" t="str">
        <f t="shared" si="259"/>
        <v/>
      </c>
      <c r="X290" s="24">
        <f t="shared" si="260"/>
        <v>11.999999999705324</v>
      </c>
      <c r="Y290" s="41" t="str">
        <f t="shared" si="261"/>
        <v/>
      </c>
      <c r="Z290" s="24">
        <f t="shared" si="262"/>
        <v>11.999999996463885</v>
      </c>
      <c r="AA290" s="41" t="str">
        <f t="shared" si="263"/>
        <v/>
      </c>
      <c r="AB290" s="24">
        <f t="shared" si="264"/>
        <v>11.999999957566615</v>
      </c>
      <c r="AC290" s="41" t="str">
        <f t="shared" si="265"/>
        <v/>
      </c>
      <c r="AD290" s="24">
        <f t="shared" si="266"/>
        <v>11.999999490799382</v>
      </c>
      <c r="AE290" s="41" t="str">
        <f t="shared" si="267"/>
        <v/>
      </c>
      <c r="AF290" s="24">
        <f t="shared" si="268"/>
        <v>11.999993889592588</v>
      </c>
      <c r="AG290" s="41" t="str">
        <f t="shared" si="269"/>
        <v/>
      </c>
      <c r="AH290" s="24">
        <f t="shared" si="270"/>
        <v>11.999926675111055</v>
      </c>
      <c r="AI290" s="41" t="str">
        <f t="shared" si="271"/>
        <v/>
      </c>
      <c r="AJ290" s="24">
        <f t="shared" si="272"/>
        <v>11.999120101332664</v>
      </c>
      <c r="AK290" s="41" t="str">
        <f t="shared" si="273"/>
        <v/>
      </c>
    </row>
    <row r="291" spans="6:37" x14ac:dyDescent="0.2">
      <c r="F291" s="527">
        <f t="shared" si="246"/>
        <v>0.7890625</v>
      </c>
      <c r="G291" s="8">
        <v>2</v>
      </c>
      <c r="H291" s="305">
        <f t="shared" si="247"/>
        <v>101</v>
      </c>
      <c r="I291" s="37" t="str">
        <f t="shared" si="245"/>
        <v>85;</v>
      </c>
      <c r="J291" s="38">
        <v>2</v>
      </c>
      <c r="K291" s="128">
        <f t="shared" si="248"/>
        <v>0.70138888888888884</v>
      </c>
      <c r="L291" s="39" t="str">
        <f>INDEX(powers!$H$2:$H$75,33+J291)</f>
        <v>gross</v>
      </c>
      <c r="M291" s="40" t="str">
        <f t="shared" si="249"/>
        <v>0</v>
      </c>
      <c r="N291" s="24">
        <f t="shared" si="250"/>
        <v>8.4166666666666661</v>
      </c>
      <c r="O291" s="41" t="str">
        <f t="shared" si="251"/>
        <v>8</v>
      </c>
      <c r="P291" s="24">
        <f t="shared" si="252"/>
        <v>4.9999999999999929</v>
      </c>
      <c r="Q291" s="41" t="str">
        <f t="shared" si="253"/>
        <v>5</v>
      </c>
      <c r="R291" s="24">
        <f t="shared" si="254"/>
        <v>11.999999999999915</v>
      </c>
      <c r="S291" s="41" t="str">
        <f t="shared" si="255"/>
        <v/>
      </c>
      <c r="T291" s="24">
        <f t="shared" si="256"/>
        <v>11.999999999998977</v>
      </c>
      <c r="U291" s="41" t="str">
        <f t="shared" si="257"/>
        <v/>
      </c>
      <c r="V291" s="24">
        <f t="shared" si="258"/>
        <v>11.999999999987722</v>
      </c>
      <c r="W291" s="41" t="str">
        <f t="shared" si="259"/>
        <v/>
      </c>
      <c r="X291" s="24">
        <f t="shared" si="260"/>
        <v>11.999999999852662</v>
      </c>
      <c r="Y291" s="41" t="str">
        <f t="shared" si="261"/>
        <v/>
      </c>
      <c r="Z291" s="24">
        <f t="shared" si="262"/>
        <v>11.999999998231942</v>
      </c>
      <c r="AA291" s="41" t="str">
        <f t="shared" si="263"/>
        <v/>
      </c>
      <c r="AB291" s="24">
        <f t="shared" si="264"/>
        <v>11.999999978783308</v>
      </c>
      <c r="AC291" s="41" t="str">
        <f t="shared" si="265"/>
        <v/>
      </c>
      <c r="AD291" s="24">
        <f t="shared" si="266"/>
        <v>11.999999745399691</v>
      </c>
      <c r="AE291" s="41" t="str">
        <f t="shared" si="267"/>
        <v/>
      </c>
      <c r="AF291" s="24">
        <f t="shared" si="268"/>
        <v>11.999996944796294</v>
      </c>
      <c r="AG291" s="41" t="str">
        <f t="shared" si="269"/>
        <v/>
      </c>
      <c r="AH291" s="24">
        <f t="shared" si="270"/>
        <v>11.999963337555528</v>
      </c>
      <c r="AI291" s="41" t="str">
        <f t="shared" si="271"/>
        <v/>
      </c>
      <c r="AJ291" s="24">
        <f t="shared" si="272"/>
        <v>11.999560050666332</v>
      </c>
      <c r="AK291" s="41" t="str">
        <f t="shared" si="273"/>
        <v/>
      </c>
    </row>
    <row r="292" spans="6:37" x14ac:dyDescent="0.2">
      <c r="F292" s="527">
        <f t="shared" si="246"/>
        <v>0.796875</v>
      </c>
      <c r="G292" s="8">
        <v>2</v>
      </c>
      <c r="H292" s="305">
        <f t="shared" si="247"/>
        <v>102</v>
      </c>
      <c r="I292" s="37" t="str">
        <f t="shared" si="245"/>
        <v>86;</v>
      </c>
      <c r="J292" s="38">
        <v>2</v>
      </c>
      <c r="K292" s="128">
        <f t="shared" si="248"/>
        <v>0.70833333333333337</v>
      </c>
      <c r="L292" s="39" t="str">
        <f>INDEX(powers!$H$2:$H$75,33+J292)</f>
        <v>gross</v>
      </c>
      <c r="M292" s="40" t="str">
        <f t="shared" si="249"/>
        <v>0</v>
      </c>
      <c r="N292" s="24">
        <f t="shared" si="250"/>
        <v>8.5</v>
      </c>
      <c r="O292" s="41" t="str">
        <f t="shared" si="251"/>
        <v>8</v>
      </c>
      <c r="P292" s="24">
        <f t="shared" si="252"/>
        <v>6</v>
      </c>
      <c r="Q292" s="41" t="str">
        <f t="shared" si="253"/>
        <v>6</v>
      </c>
      <c r="R292" s="24">
        <f t="shared" si="254"/>
        <v>0</v>
      </c>
      <c r="S292" s="41" t="str">
        <f t="shared" si="255"/>
        <v/>
      </c>
      <c r="T292" s="24">
        <f t="shared" si="256"/>
        <v>0</v>
      </c>
      <c r="U292" s="41" t="str">
        <f t="shared" si="257"/>
        <v/>
      </c>
      <c r="V292" s="24">
        <f t="shared" si="258"/>
        <v>0</v>
      </c>
      <c r="W292" s="41" t="str">
        <f t="shared" si="259"/>
        <v/>
      </c>
      <c r="X292" s="24">
        <f t="shared" si="260"/>
        <v>0</v>
      </c>
      <c r="Y292" s="41" t="str">
        <f t="shared" si="261"/>
        <v/>
      </c>
      <c r="Z292" s="24">
        <f t="shared" si="262"/>
        <v>0</v>
      </c>
      <c r="AA292" s="41" t="str">
        <f t="shared" si="263"/>
        <v/>
      </c>
      <c r="AB292" s="24">
        <f t="shared" si="264"/>
        <v>0</v>
      </c>
      <c r="AC292" s="41" t="str">
        <f t="shared" si="265"/>
        <v/>
      </c>
      <c r="AD292" s="24">
        <f t="shared" si="266"/>
        <v>0</v>
      </c>
      <c r="AE292" s="41" t="str">
        <f t="shared" si="267"/>
        <v/>
      </c>
      <c r="AF292" s="24">
        <f t="shared" si="268"/>
        <v>0</v>
      </c>
      <c r="AG292" s="41" t="str">
        <f t="shared" si="269"/>
        <v/>
      </c>
      <c r="AH292" s="24">
        <f t="shared" si="270"/>
        <v>0</v>
      </c>
      <c r="AI292" s="41" t="str">
        <f t="shared" si="271"/>
        <v/>
      </c>
      <c r="AJ292" s="24">
        <f t="shared" si="272"/>
        <v>0</v>
      </c>
      <c r="AK292" s="41" t="str">
        <f t="shared" si="273"/>
        <v/>
      </c>
    </row>
    <row r="293" spans="6:37" x14ac:dyDescent="0.2">
      <c r="F293" s="527">
        <f t="shared" si="246"/>
        <v>0.8046875</v>
      </c>
      <c r="G293" s="8">
        <v>2</v>
      </c>
      <c r="H293" s="305">
        <f t="shared" si="247"/>
        <v>103</v>
      </c>
      <c r="I293" s="37" t="str">
        <f t="shared" si="245"/>
        <v>87;</v>
      </c>
      <c r="J293" s="38">
        <v>2</v>
      </c>
      <c r="K293" s="128">
        <f t="shared" si="248"/>
        <v>0.71527777777777779</v>
      </c>
      <c r="L293" s="39" t="str">
        <f>INDEX(powers!$H$2:$H$75,33+J293)</f>
        <v>gross</v>
      </c>
      <c r="M293" s="40" t="str">
        <f t="shared" si="249"/>
        <v>0</v>
      </c>
      <c r="N293" s="24">
        <f t="shared" si="250"/>
        <v>8.5833333333333339</v>
      </c>
      <c r="O293" s="41" t="str">
        <f t="shared" si="251"/>
        <v>8</v>
      </c>
      <c r="P293" s="24">
        <f t="shared" si="252"/>
        <v>7.0000000000000071</v>
      </c>
      <c r="Q293" s="41" t="str">
        <f t="shared" si="253"/>
        <v>7</v>
      </c>
      <c r="R293" s="24">
        <f t="shared" si="254"/>
        <v>8.5265128291212022E-14</v>
      </c>
      <c r="S293" s="41" t="str">
        <f t="shared" si="255"/>
        <v/>
      </c>
      <c r="T293" s="24">
        <f t="shared" si="256"/>
        <v>1.0231815394945443E-12</v>
      </c>
      <c r="U293" s="41" t="str">
        <f t="shared" si="257"/>
        <v/>
      </c>
      <c r="V293" s="24">
        <f t="shared" si="258"/>
        <v>1.2278178473934531E-11</v>
      </c>
      <c r="W293" s="41" t="str">
        <f t="shared" si="259"/>
        <v/>
      </c>
      <c r="X293" s="24">
        <f t="shared" si="260"/>
        <v>1.4733814168721437E-10</v>
      </c>
      <c r="Y293" s="41" t="str">
        <f t="shared" si="261"/>
        <v/>
      </c>
      <c r="Z293" s="24">
        <f t="shared" si="262"/>
        <v>1.7680577002465725E-9</v>
      </c>
      <c r="AA293" s="41" t="str">
        <f t="shared" si="263"/>
        <v/>
      </c>
      <c r="AB293" s="24">
        <f t="shared" si="264"/>
        <v>2.121669240295887E-8</v>
      </c>
      <c r="AC293" s="41" t="str">
        <f t="shared" si="265"/>
        <v/>
      </c>
      <c r="AD293" s="24">
        <f t="shared" si="266"/>
        <v>2.5460030883550644E-7</v>
      </c>
      <c r="AE293" s="41" t="str">
        <f t="shared" si="267"/>
        <v/>
      </c>
      <c r="AF293" s="24">
        <f t="shared" si="268"/>
        <v>3.0552037060260773E-6</v>
      </c>
      <c r="AG293" s="41" t="str">
        <f t="shared" si="269"/>
        <v/>
      </c>
      <c r="AH293" s="24">
        <f t="shared" si="270"/>
        <v>3.6662444472312927E-5</v>
      </c>
      <c r="AI293" s="41" t="str">
        <f t="shared" si="271"/>
        <v/>
      </c>
      <c r="AJ293" s="24">
        <f t="shared" si="272"/>
        <v>4.3994933366775513E-4</v>
      </c>
      <c r="AK293" s="41" t="str">
        <f t="shared" si="273"/>
        <v/>
      </c>
    </row>
    <row r="294" spans="6:37" x14ac:dyDescent="0.2">
      <c r="F294" s="527">
        <f t="shared" si="246"/>
        <v>0.8125</v>
      </c>
      <c r="G294" s="8">
        <v>2</v>
      </c>
      <c r="H294" s="305">
        <f t="shared" si="247"/>
        <v>104</v>
      </c>
      <c r="I294" s="37" t="str">
        <f t="shared" si="245"/>
        <v>88;</v>
      </c>
      <c r="J294" s="38">
        <v>2</v>
      </c>
      <c r="K294" s="128">
        <f t="shared" si="248"/>
        <v>0.72222222222222221</v>
      </c>
      <c r="L294" s="39" t="str">
        <f>INDEX(powers!$H$2:$H$75,33+J294)</f>
        <v>gross</v>
      </c>
      <c r="M294" s="40" t="str">
        <f t="shared" si="249"/>
        <v>0</v>
      </c>
      <c r="N294" s="24">
        <f t="shared" si="250"/>
        <v>8.6666666666666661</v>
      </c>
      <c r="O294" s="41" t="str">
        <f t="shared" si="251"/>
        <v>8</v>
      </c>
      <c r="P294" s="24">
        <f t="shared" si="252"/>
        <v>7.9999999999999929</v>
      </c>
      <c r="Q294" s="41" t="str">
        <f t="shared" si="253"/>
        <v>8</v>
      </c>
      <c r="R294" s="24">
        <f t="shared" si="254"/>
        <v>11.999999999999915</v>
      </c>
      <c r="S294" s="41" t="str">
        <f t="shared" si="255"/>
        <v/>
      </c>
      <c r="T294" s="24">
        <f t="shared" si="256"/>
        <v>11.999999999998977</v>
      </c>
      <c r="U294" s="41" t="str">
        <f t="shared" si="257"/>
        <v/>
      </c>
      <c r="V294" s="24">
        <f t="shared" si="258"/>
        <v>11.999999999987722</v>
      </c>
      <c r="W294" s="41" t="str">
        <f t="shared" si="259"/>
        <v/>
      </c>
      <c r="X294" s="24">
        <f t="shared" si="260"/>
        <v>11.999999999852662</v>
      </c>
      <c r="Y294" s="41" t="str">
        <f t="shared" si="261"/>
        <v/>
      </c>
      <c r="Z294" s="24">
        <f t="shared" si="262"/>
        <v>11.999999998231942</v>
      </c>
      <c r="AA294" s="41" t="str">
        <f t="shared" si="263"/>
        <v/>
      </c>
      <c r="AB294" s="24">
        <f t="shared" si="264"/>
        <v>11.999999978783308</v>
      </c>
      <c r="AC294" s="41" t="str">
        <f t="shared" si="265"/>
        <v/>
      </c>
      <c r="AD294" s="24">
        <f t="shared" si="266"/>
        <v>11.999999745399691</v>
      </c>
      <c r="AE294" s="41" t="str">
        <f t="shared" si="267"/>
        <v/>
      </c>
      <c r="AF294" s="24">
        <f t="shared" si="268"/>
        <v>11.999996944796294</v>
      </c>
      <c r="AG294" s="41" t="str">
        <f t="shared" si="269"/>
        <v/>
      </c>
      <c r="AH294" s="24">
        <f t="shared" si="270"/>
        <v>11.999963337555528</v>
      </c>
      <c r="AI294" s="41" t="str">
        <f t="shared" si="271"/>
        <v/>
      </c>
      <c r="AJ294" s="24">
        <f t="shared" si="272"/>
        <v>11.999560050666332</v>
      </c>
      <c r="AK294" s="41" t="str">
        <f t="shared" si="273"/>
        <v/>
      </c>
    </row>
    <row r="295" spans="6:37" x14ac:dyDescent="0.2">
      <c r="F295" s="527">
        <f t="shared" si="246"/>
        <v>0.8203125</v>
      </c>
      <c r="G295" s="8">
        <v>2</v>
      </c>
      <c r="H295" s="305">
        <f t="shared" si="247"/>
        <v>105</v>
      </c>
      <c r="I295" s="37" t="str">
        <f t="shared" si="245"/>
        <v>89;</v>
      </c>
      <c r="J295" s="38">
        <v>2</v>
      </c>
      <c r="K295" s="128">
        <f t="shared" si="248"/>
        <v>0.72916666666666663</v>
      </c>
      <c r="L295" s="39" t="str">
        <f>INDEX(powers!$H$2:$H$75,33+J295)</f>
        <v>gross</v>
      </c>
      <c r="M295" s="40" t="str">
        <f t="shared" si="249"/>
        <v>0</v>
      </c>
      <c r="N295" s="24">
        <f t="shared" si="250"/>
        <v>8.75</v>
      </c>
      <c r="O295" s="41" t="str">
        <f t="shared" si="251"/>
        <v>8</v>
      </c>
      <c r="P295" s="24">
        <f t="shared" si="252"/>
        <v>9</v>
      </c>
      <c r="Q295" s="41" t="str">
        <f t="shared" si="253"/>
        <v>9</v>
      </c>
      <c r="R295" s="24">
        <f t="shared" si="254"/>
        <v>0</v>
      </c>
      <c r="S295" s="41" t="str">
        <f t="shared" si="255"/>
        <v/>
      </c>
      <c r="T295" s="24">
        <f t="shared" si="256"/>
        <v>0</v>
      </c>
      <c r="U295" s="41" t="str">
        <f t="shared" si="257"/>
        <v/>
      </c>
      <c r="V295" s="24">
        <f t="shared" si="258"/>
        <v>0</v>
      </c>
      <c r="W295" s="41" t="str">
        <f t="shared" si="259"/>
        <v/>
      </c>
      <c r="X295" s="24">
        <f t="shared" si="260"/>
        <v>0</v>
      </c>
      <c r="Y295" s="41" t="str">
        <f t="shared" si="261"/>
        <v/>
      </c>
      <c r="Z295" s="24">
        <f t="shared" si="262"/>
        <v>0</v>
      </c>
      <c r="AA295" s="41" t="str">
        <f t="shared" si="263"/>
        <v/>
      </c>
      <c r="AB295" s="24">
        <f t="shared" si="264"/>
        <v>0</v>
      </c>
      <c r="AC295" s="41" t="str">
        <f t="shared" si="265"/>
        <v/>
      </c>
      <c r="AD295" s="24">
        <f t="shared" si="266"/>
        <v>0</v>
      </c>
      <c r="AE295" s="41" t="str">
        <f t="shared" si="267"/>
        <v/>
      </c>
      <c r="AF295" s="24">
        <f t="shared" si="268"/>
        <v>0</v>
      </c>
      <c r="AG295" s="41" t="str">
        <f t="shared" si="269"/>
        <v/>
      </c>
      <c r="AH295" s="24">
        <f t="shared" si="270"/>
        <v>0</v>
      </c>
      <c r="AI295" s="41" t="str">
        <f t="shared" si="271"/>
        <v/>
      </c>
      <c r="AJ295" s="24">
        <f t="shared" si="272"/>
        <v>0</v>
      </c>
      <c r="AK295" s="41" t="str">
        <f t="shared" si="273"/>
        <v/>
      </c>
    </row>
    <row r="296" spans="6:37" x14ac:dyDescent="0.2">
      <c r="F296" s="527">
        <f t="shared" si="246"/>
        <v>0.828125</v>
      </c>
      <c r="G296" s="8">
        <v>2</v>
      </c>
      <c r="H296" s="305">
        <f t="shared" si="247"/>
        <v>106</v>
      </c>
      <c r="I296" s="37" t="str">
        <f t="shared" si="245"/>
        <v>8X;</v>
      </c>
      <c r="J296" s="38">
        <v>2</v>
      </c>
      <c r="K296" s="128">
        <f t="shared" si="248"/>
        <v>0.73611111111111116</v>
      </c>
      <c r="L296" s="39" t="str">
        <f>INDEX(powers!$H$2:$H$75,33+J296)</f>
        <v>gross</v>
      </c>
      <c r="M296" s="40" t="str">
        <f t="shared" si="249"/>
        <v>0</v>
      </c>
      <c r="N296" s="24">
        <f t="shared" si="250"/>
        <v>8.8333333333333339</v>
      </c>
      <c r="O296" s="41" t="str">
        <f t="shared" si="251"/>
        <v>8</v>
      </c>
      <c r="P296" s="24">
        <f t="shared" si="252"/>
        <v>10.000000000000007</v>
      </c>
      <c r="Q296" s="41" t="str">
        <f t="shared" si="253"/>
        <v>X</v>
      </c>
      <c r="R296" s="24">
        <f t="shared" si="254"/>
        <v>8.5265128291212022E-14</v>
      </c>
      <c r="S296" s="41" t="str">
        <f t="shared" si="255"/>
        <v/>
      </c>
      <c r="T296" s="24">
        <f t="shared" si="256"/>
        <v>1.0231815394945443E-12</v>
      </c>
      <c r="U296" s="41" t="str">
        <f t="shared" si="257"/>
        <v/>
      </c>
      <c r="V296" s="24">
        <f t="shared" si="258"/>
        <v>1.2278178473934531E-11</v>
      </c>
      <c r="W296" s="41" t="str">
        <f t="shared" si="259"/>
        <v/>
      </c>
      <c r="X296" s="24">
        <f t="shared" si="260"/>
        <v>1.4733814168721437E-10</v>
      </c>
      <c r="Y296" s="41" t="str">
        <f t="shared" si="261"/>
        <v/>
      </c>
      <c r="Z296" s="24">
        <f t="shared" si="262"/>
        <v>1.7680577002465725E-9</v>
      </c>
      <c r="AA296" s="41" t="str">
        <f t="shared" si="263"/>
        <v/>
      </c>
      <c r="AB296" s="24">
        <f t="shared" si="264"/>
        <v>2.121669240295887E-8</v>
      </c>
      <c r="AC296" s="41" t="str">
        <f t="shared" si="265"/>
        <v/>
      </c>
      <c r="AD296" s="24">
        <f t="shared" si="266"/>
        <v>2.5460030883550644E-7</v>
      </c>
      <c r="AE296" s="41" t="str">
        <f t="shared" si="267"/>
        <v/>
      </c>
      <c r="AF296" s="24">
        <f t="shared" si="268"/>
        <v>3.0552037060260773E-6</v>
      </c>
      <c r="AG296" s="41" t="str">
        <f t="shared" si="269"/>
        <v/>
      </c>
      <c r="AH296" s="24">
        <f t="shared" si="270"/>
        <v>3.6662444472312927E-5</v>
      </c>
      <c r="AI296" s="41" t="str">
        <f t="shared" si="271"/>
        <v/>
      </c>
      <c r="AJ296" s="24">
        <f t="shared" si="272"/>
        <v>4.3994933366775513E-4</v>
      </c>
      <c r="AK296" s="41" t="str">
        <f t="shared" si="273"/>
        <v/>
      </c>
    </row>
    <row r="297" spans="6:37" x14ac:dyDescent="0.2">
      <c r="F297" s="527">
        <f t="shared" si="246"/>
        <v>0.8359375</v>
      </c>
      <c r="G297" s="8">
        <v>2</v>
      </c>
      <c r="H297" s="305">
        <f t="shared" si="247"/>
        <v>107</v>
      </c>
      <c r="I297" s="37" t="str">
        <f t="shared" si="245"/>
        <v>8E;</v>
      </c>
      <c r="J297" s="38">
        <v>2</v>
      </c>
      <c r="K297" s="128">
        <f t="shared" si="248"/>
        <v>0.74305555555555558</v>
      </c>
      <c r="L297" s="39" t="str">
        <f>INDEX(powers!$H$2:$H$75,33+J297)</f>
        <v>gross</v>
      </c>
      <c r="M297" s="40" t="str">
        <f t="shared" si="249"/>
        <v>0</v>
      </c>
      <c r="N297" s="24">
        <f t="shared" si="250"/>
        <v>8.9166666666666679</v>
      </c>
      <c r="O297" s="41" t="str">
        <f t="shared" si="251"/>
        <v>8</v>
      </c>
      <c r="P297" s="24">
        <f t="shared" si="252"/>
        <v>11.000000000000014</v>
      </c>
      <c r="Q297" s="41" t="str">
        <f t="shared" si="253"/>
        <v>E</v>
      </c>
      <c r="R297" s="24">
        <f t="shared" si="254"/>
        <v>1.7053025658242404E-13</v>
      </c>
      <c r="S297" s="41" t="str">
        <f t="shared" si="255"/>
        <v/>
      </c>
      <c r="T297" s="24">
        <f t="shared" si="256"/>
        <v>2.0463630789890885E-12</v>
      </c>
      <c r="U297" s="41" t="str">
        <f t="shared" si="257"/>
        <v/>
      </c>
      <c r="V297" s="24">
        <f t="shared" si="258"/>
        <v>2.4556356947869062E-11</v>
      </c>
      <c r="W297" s="41" t="str">
        <f t="shared" si="259"/>
        <v/>
      </c>
      <c r="X297" s="24">
        <f t="shared" si="260"/>
        <v>2.9467628337442875E-10</v>
      </c>
      <c r="Y297" s="41" t="str">
        <f t="shared" si="261"/>
        <v/>
      </c>
      <c r="Z297" s="24">
        <f t="shared" si="262"/>
        <v>3.536115400493145E-9</v>
      </c>
      <c r="AA297" s="41" t="str">
        <f t="shared" si="263"/>
        <v/>
      </c>
      <c r="AB297" s="24">
        <f t="shared" si="264"/>
        <v>4.243338480591774E-8</v>
      </c>
      <c r="AC297" s="41" t="str">
        <f t="shared" si="265"/>
        <v/>
      </c>
      <c r="AD297" s="24">
        <f t="shared" si="266"/>
        <v>5.0920061767101288E-7</v>
      </c>
      <c r="AE297" s="41" t="str">
        <f t="shared" si="267"/>
        <v/>
      </c>
      <c r="AF297" s="24">
        <f t="shared" si="268"/>
        <v>6.1104074120521545E-6</v>
      </c>
      <c r="AG297" s="41" t="str">
        <f t="shared" si="269"/>
        <v/>
      </c>
      <c r="AH297" s="24">
        <f t="shared" si="270"/>
        <v>7.3324888944625854E-5</v>
      </c>
      <c r="AI297" s="41" t="str">
        <f t="shared" si="271"/>
        <v/>
      </c>
      <c r="AJ297" s="24">
        <f t="shared" si="272"/>
        <v>8.7989866733551025E-4</v>
      </c>
      <c r="AK297" s="41" t="str">
        <f t="shared" si="273"/>
        <v/>
      </c>
    </row>
    <row r="298" spans="6:37" x14ac:dyDescent="0.2">
      <c r="F298" s="527">
        <f t="shared" si="246"/>
        <v>0.84375</v>
      </c>
      <c r="G298" s="8">
        <v>2</v>
      </c>
      <c r="H298" s="305">
        <f t="shared" si="247"/>
        <v>108</v>
      </c>
      <c r="I298" s="37" t="str">
        <f t="shared" si="245"/>
        <v>90;</v>
      </c>
      <c r="J298" s="38">
        <v>2</v>
      </c>
      <c r="K298" s="128">
        <f t="shared" si="248"/>
        <v>0.75</v>
      </c>
      <c r="L298" s="39" t="str">
        <f>INDEX(powers!$H$2:$H$75,33+J298)</f>
        <v>gross</v>
      </c>
      <c r="M298" s="40" t="str">
        <f t="shared" si="249"/>
        <v>0</v>
      </c>
      <c r="N298" s="24">
        <f t="shared" si="250"/>
        <v>9</v>
      </c>
      <c r="O298" s="41" t="str">
        <f t="shared" si="251"/>
        <v>9</v>
      </c>
      <c r="P298" s="24">
        <f t="shared" si="252"/>
        <v>0</v>
      </c>
      <c r="Q298" s="41" t="str">
        <f t="shared" si="253"/>
        <v>0</v>
      </c>
      <c r="R298" s="24">
        <f t="shared" si="254"/>
        <v>0</v>
      </c>
      <c r="S298" s="41" t="str">
        <f t="shared" si="255"/>
        <v/>
      </c>
      <c r="T298" s="24">
        <f t="shared" si="256"/>
        <v>0</v>
      </c>
      <c r="U298" s="41" t="str">
        <f t="shared" si="257"/>
        <v/>
      </c>
      <c r="V298" s="24">
        <f t="shared" si="258"/>
        <v>0</v>
      </c>
      <c r="W298" s="41" t="str">
        <f t="shared" si="259"/>
        <v/>
      </c>
      <c r="X298" s="24">
        <f t="shared" si="260"/>
        <v>0</v>
      </c>
      <c r="Y298" s="41" t="str">
        <f t="shared" si="261"/>
        <v/>
      </c>
      <c r="Z298" s="24">
        <f t="shared" si="262"/>
        <v>0</v>
      </c>
      <c r="AA298" s="41" t="str">
        <f t="shared" si="263"/>
        <v/>
      </c>
      <c r="AB298" s="24">
        <f t="shared" si="264"/>
        <v>0</v>
      </c>
      <c r="AC298" s="41" t="str">
        <f t="shared" si="265"/>
        <v/>
      </c>
      <c r="AD298" s="24">
        <f t="shared" si="266"/>
        <v>0</v>
      </c>
      <c r="AE298" s="41" t="str">
        <f t="shared" si="267"/>
        <v/>
      </c>
      <c r="AF298" s="24">
        <f t="shared" si="268"/>
        <v>0</v>
      </c>
      <c r="AG298" s="41" t="str">
        <f t="shared" si="269"/>
        <v/>
      </c>
      <c r="AH298" s="24">
        <f t="shared" si="270"/>
        <v>0</v>
      </c>
      <c r="AI298" s="41" t="str">
        <f t="shared" si="271"/>
        <v/>
      </c>
      <c r="AJ298" s="24">
        <f t="shared" si="272"/>
        <v>0</v>
      </c>
      <c r="AK298" s="41" t="str">
        <f t="shared" si="273"/>
        <v/>
      </c>
    </row>
    <row r="299" spans="6:37" x14ac:dyDescent="0.2">
      <c r="F299" s="527">
        <f t="shared" si="246"/>
        <v>0.8515625</v>
      </c>
      <c r="G299" s="8">
        <v>2</v>
      </c>
      <c r="H299" s="305">
        <f t="shared" si="247"/>
        <v>109</v>
      </c>
      <c r="I299" s="37" t="str">
        <f t="shared" si="245"/>
        <v>91;</v>
      </c>
      <c r="J299" s="38">
        <v>2</v>
      </c>
      <c r="K299" s="128">
        <f t="shared" si="248"/>
        <v>0.75694444444444442</v>
      </c>
      <c r="L299" s="39" t="str">
        <f>INDEX(powers!$H$2:$H$75,33+J299)</f>
        <v>gross</v>
      </c>
      <c r="M299" s="40" t="str">
        <f t="shared" si="249"/>
        <v>0</v>
      </c>
      <c r="N299" s="24">
        <f t="shared" si="250"/>
        <v>9.0833333333333321</v>
      </c>
      <c r="O299" s="41" t="str">
        <f t="shared" si="251"/>
        <v>9</v>
      </c>
      <c r="P299" s="24">
        <f t="shared" si="252"/>
        <v>0.99999999999998579</v>
      </c>
      <c r="Q299" s="41" t="str">
        <f t="shared" si="253"/>
        <v>1</v>
      </c>
      <c r="R299" s="24">
        <f t="shared" si="254"/>
        <v>11.999999999999829</v>
      </c>
      <c r="S299" s="41" t="str">
        <f t="shared" si="255"/>
        <v/>
      </c>
      <c r="T299" s="24">
        <f t="shared" si="256"/>
        <v>11.999999999997954</v>
      </c>
      <c r="U299" s="41" t="str">
        <f t="shared" si="257"/>
        <v/>
      </c>
      <c r="V299" s="24">
        <f t="shared" si="258"/>
        <v>11.999999999975444</v>
      </c>
      <c r="W299" s="41" t="str">
        <f t="shared" si="259"/>
        <v/>
      </c>
      <c r="X299" s="24">
        <f t="shared" si="260"/>
        <v>11.999999999705324</v>
      </c>
      <c r="Y299" s="41" t="str">
        <f t="shared" si="261"/>
        <v/>
      </c>
      <c r="Z299" s="24">
        <f t="shared" si="262"/>
        <v>11.999999996463885</v>
      </c>
      <c r="AA299" s="41" t="str">
        <f t="shared" si="263"/>
        <v/>
      </c>
      <c r="AB299" s="24">
        <f t="shared" si="264"/>
        <v>11.999999957566615</v>
      </c>
      <c r="AC299" s="41" t="str">
        <f t="shared" si="265"/>
        <v/>
      </c>
      <c r="AD299" s="24">
        <f t="shared" si="266"/>
        <v>11.999999490799382</v>
      </c>
      <c r="AE299" s="41" t="str">
        <f t="shared" si="267"/>
        <v/>
      </c>
      <c r="AF299" s="24">
        <f t="shared" si="268"/>
        <v>11.999993889592588</v>
      </c>
      <c r="AG299" s="41" t="str">
        <f t="shared" si="269"/>
        <v/>
      </c>
      <c r="AH299" s="24">
        <f t="shared" si="270"/>
        <v>11.999926675111055</v>
      </c>
      <c r="AI299" s="41" t="str">
        <f t="shared" si="271"/>
        <v/>
      </c>
      <c r="AJ299" s="24">
        <f t="shared" si="272"/>
        <v>11.999120101332664</v>
      </c>
      <c r="AK299" s="41" t="str">
        <f t="shared" si="273"/>
        <v/>
      </c>
    </row>
    <row r="300" spans="6:37" x14ac:dyDescent="0.2">
      <c r="F300" s="527">
        <f t="shared" si="246"/>
        <v>0.859375</v>
      </c>
      <c r="G300" s="8">
        <v>2</v>
      </c>
      <c r="H300" s="305">
        <f t="shared" si="247"/>
        <v>110</v>
      </c>
      <c r="I300" s="37" t="str">
        <f t="shared" si="245"/>
        <v>92;</v>
      </c>
      <c r="J300" s="38">
        <v>2</v>
      </c>
      <c r="K300" s="128">
        <f t="shared" si="248"/>
        <v>0.76388888888888884</v>
      </c>
      <c r="L300" s="39" t="str">
        <f>INDEX(powers!$H$2:$H$75,33+J300)</f>
        <v>gross</v>
      </c>
      <c r="M300" s="40" t="str">
        <f t="shared" si="249"/>
        <v>0</v>
      </c>
      <c r="N300" s="24">
        <f t="shared" si="250"/>
        <v>9.1666666666666661</v>
      </c>
      <c r="O300" s="41" t="str">
        <f t="shared" si="251"/>
        <v>9</v>
      </c>
      <c r="P300" s="24">
        <f t="shared" si="252"/>
        <v>1.9999999999999929</v>
      </c>
      <c r="Q300" s="41" t="str">
        <f t="shared" si="253"/>
        <v>2</v>
      </c>
      <c r="R300" s="24">
        <f t="shared" si="254"/>
        <v>11.999999999999915</v>
      </c>
      <c r="S300" s="41" t="str">
        <f t="shared" si="255"/>
        <v/>
      </c>
      <c r="T300" s="24">
        <f t="shared" si="256"/>
        <v>11.999999999998977</v>
      </c>
      <c r="U300" s="41" t="str">
        <f t="shared" si="257"/>
        <v/>
      </c>
      <c r="V300" s="24">
        <f t="shared" si="258"/>
        <v>11.999999999987722</v>
      </c>
      <c r="W300" s="41" t="str">
        <f t="shared" si="259"/>
        <v/>
      </c>
      <c r="X300" s="24">
        <f t="shared" si="260"/>
        <v>11.999999999852662</v>
      </c>
      <c r="Y300" s="41" t="str">
        <f t="shared" si="261"/>
        <v/>
      </c>
      <c r="Z300" s="24">
        <f t="shared" si="262"/>
        <v>11.999999998231942</v>
      </c>
      <c r="AA300" s="41" t="str">
        <f t="shared" si="263"/>
        <v/>
      </c>
      <c r="AB300" s="24">
        <f t="shared" si="264"/>
        <v>11.999999978783308</v>
      </c>
      <c r="AC300" s="41" t="str">
        <f t="shared" si="265"/>
        <v/>
      </c>
      <c r="AD300" s="24">
        <f t="shared" si="266"/>
        <v>11.999999745399691</v>
      </c>
      <c r="AE300" s="41" t="str">
        <f t="shared" si="267"/>
        <v/>
      </c>
      <c r="AF300" s="24">
        <f t="shared" si="268"/>
        <v>11.999996944796294</v>
      </c>
      <c r="AG300" s="41" t="str">
        <f t="shared" si="269"/>
        <v/>
      </c>
      <c r="AH300" s="24">
        <f t="shared" si="270"/>
        <v>11.999963337555528</v>
      </c>
      <c r="AI300" s="41" t="str">
        <f t="shared" si="271"/>
        <v/>
      </c>
      <c r="AJ300" s="24">
        <f t="shared" si="272"/>
        <v>11.999560050666332</v>
      </c>
      <c r="AK300" s="41" t="str">
        <f t="shared" si="273"/>
        <v/>
      </c>
    </row>
    <row r="301" spans="6:37" x14ac:dyDescent="0.2">
      <c r="F301" s="527">
        <f t="shared" si="246"/>
        <v>0.8671875</v>
      </c>
      <c r="G301" s="8">
        <v>2</v>
      </c>
      <c r="H301" s="305">
        <f t="shared" si="247"/>
        <v>111</v>
      </c>
      <c r="I301" s="37" t="str">
        <f t="shared" si="245"/>
        <v>93;</v>
      </c>
      <c r="J301" s="38">
        <v>2</v>
      </c>
      <c r="K301" s="128">
        <f t="shared" si="248"/>
        <v>0.77083333333333337</v>
      </c>
      <c r="L301" s="39" t="str">
        <f>INDEX(powers!$H$2:$H$75,33+J301)</f>
        <v>gross</v>
      </c>
      <c r="M301" s="40" t="str">
        <f t="shared" si="249"/>
        <v>0</v>
      </c>
      <c r="N301" s="24">
        <f t="shared" si="250"/>
        <v>9.25</v>
      </c>
      <c r="O301" s="41" t="str">
        <f t="shared" si="251"/>
        <v>9</v>
      </c>
      <c r="P301" s="24">
        <f t="shared" si="252"/>
        <v>3</v>
      </c>
      <c r="Q301" s="41" t="str">
        <f t="shared" si="253"/>
        <v>3</v>
      </c>
      <c r="R301" s="24">
        <f t="shared" si="254"/>
        <v>0</v>
      </c>
      <c r="S301" s="41" t="str">
        <f t="shared" si="255"/>
        <v/>
      </c>
      <c r="T301" s="24">
        <f t="shared" si="256"/>
        <v>0</v>
      </c>
      <c r="U301" s="41" t="str">
        <f t="shared" si="257"/>
        <v/>
      </c>
      <c r="V301" s="24">
        <f t="shared" si="258"/>
        <v>0</v>
      </c>
      <c r="W301" s="41" t="str">
        <f t="shared" si="259"/>
        <v/>
      </c>
      <c r="X301" s="24">
        <f t="shared" si="260"/>
        <v>0</v>
      </c>
      <c r="Y301" s="41" t="str">
        <f t="shared" si="261"/>
        <v/>
      </c>
      <c r="Z301" s="24">
        <f t="shared" si="262"/>
        <v>0</v>
      </c>
      <c r="AA301" s="41" t="str">
        <f t="shared" si="263"/>
        <v/>
      </c>
      <c r="AB301" s="24">
        <f t="shared" si="264"/>
        <v>0</v>
      </c>
      <c r="AC301" s="41" t="str">
        <f t="shared" si="265"/>
        <v/>
      </c>
      <c r="AD301" s="24">
        <f t="shared" si="266"/>
        <v>0</v>
      </c>
      <c r="AE301" s="41" t="str">
        <f t="shared" si="267"/>
        <v/>
      </c>
      <c r="AF301" s="24">
        <f t="shared" si="268"/>
        <v>0</v>
      </c>
      <c r="AG301" s="41" t="str">
        <f t="shared" si="269"/>
        <v/>
      </c>
      <c r="AH301" s="24">
        <f t="shared" si="270"/>
        <v>0</v>
      </c>
      <c r="AI301" s="41" t="str">
        <f t="shared" si="271"/>
        <v/>
      </c>
      <c r="AJ301" s="24">
        <f t="shared" si="272"/>
        <v>0</v>
      </c>
      <c r="AK301" s="41" t="str">
        <f t="shared" si="273"/>
        <v/>
      </c>
    </row>
    <row r="302" spans="6:37" x14ac:dyDescent="0.2">
      <c r="F302" s="527">
        <f t="shared" si="246"/>
        <v>0.875</v>
      </c>
      <c r="G302" s="8">
        <v>2</v>
      </c>
      <c r="H302" s="305">
        <f t="shared" si="247"/>
        <v>112</v>
      </c>
      <c r="I302" s="37" t="str">
        <f t="shared" si="245"/>
        <v>94;</v>
      </c>
      <c r="J302" s="38">
        <v>2</v>
      </c>
      <c r="K302" s="128">
        <f t="shared" si="248"/>
        <v>0.77777777777777779</v>
      </c>
      <c r="L302" s="39" t="str">
        <f>INDEX(powers!$H$2:$H$75,33+J302)</f>
        <v>gross</v>
      </c>
      <c r="M302" s="40" t="str">
        <f t="shared" si="249"/>
        <v>0</v>
      </c>
      <c r="N302" s="24">
        <f t="shared" si="250"/>
        <v>9.3333333333333339</v>
      </c>
      <c r="O302" s="41" t="str">
        <f t="shared" si="251"/>
        <v>9</v>
      </c>
      <c r="P302" s="24">
        <f t="shared" si="252"/>
        <v>4.0000000000000071</v>
      </c>
      <c r="Q302" s="41" t="str">
        <f t="shared" si="253"/>
        <v>4</v>
      </c>
      <c r="R302" s="24">
        <f t="shared" si="254"/>
        <v>8.5265128291212022E-14</v>
      </c>
      <c r="S302" s="41" t="str">
        <f t="shared" si="255"/>
        <v/>
      </c>
      <c r="T302" s="24">
        <f t="shared" si="256"/>
        <v>1.0231815394945443E-12</v>
      </c>
      <c r="U302" s="41" t="str">
        <f t="shared" si="257"/>
        <v/>
      </c>
      <c r="V302" s="24">
        <f t="shared" si="258"/>
        <v>1.2278178473934531E-11</v>
      </c>
      <c r="W302" s="41" t="str">
        <f t="shared" si="259"/>
        <v/>
      </c>
      <c r="X302" s="24">
        <f t="shared" si="260"/>
        <v>1.4733814168721437E-10</v>
      </c>
      <c r="Y302" s="41" t="str">
        <f t="shared" si="261"/>
        <v/>
      </c>
      <c r="Z302" s="24">
        <f t="shared" si="262"/>
        <v>1.7680577002465725E-9</v>
      </c>
      <c r="AA302" s="41" t="str">
        <f t="shared" si="263"/>
        <v/>
      </c>
      <c r="AB302" s="24">
        <f t="shared" si="264"/>
        <v>2.121669240295887E-8</v>
      </c>
      <c r="AC302" s="41" t="str">
        <f t="shared" si="265"/>
        <v/>
      </c>
      <c r="AD302" s="24">
        <f t="shared" si="266"/>
        <v>2.5460030883550644E-7</v>
      </c>
      <c r="AE302" s="41" t="str">
        <f t="shared" si="267"/>
        <v/>
      </c>
      <c r="AF302" s="24">
        <f t="shared" si="268"/>
        <v>3.0552037060260773E-6</v>
      </c>
      <c r="AG302" s="41" t="str">
        <f t="shared" si="269"/>
        <v/>
      </c>
      <c r="AH302" s="24">
        <f t="shared" si="270"/>
        <v>3.6662444472312927E-5</v>
      </c>
      <c r="AI302" s="41" t="str">
        <f t="shared" si="271"/>
        <v/>
      </c>
      <c r="AJ302" s="24">
        <f t="shared" si="272"/>
        <v>4.3994933366775513E-4</v>
      </c>
      <c r="AK302" s="41" t="str">
        <f t="shared" si="273"/>
        <v/>
      </c>
    </row>
    <row r="303" spans="6:37" x14ac:dyDescent="0.2">
      <c r="F303" s="527">
        <f t="shared" si="246"/>
        <v>0.8828125</v>
      </c>
      <c r="G303" s="8">
        <v>2</v>
      </c>
      <c r="H303" s="305">
        <f t="shared" si="247"/>
        <v>113</v>
      </c>
      <c r="I303" s="37" t="str">
        <f t="shared" si="245"/>
        <v>95;</v>
      </c>
      <c r="J303" s="38">
        <v>2</v>
      </c>
      <c r="K303" s="128">
        <f t="shared" si="248"/>
        <v>0.78472222222222221</v>
      </c>
      <c r="L303" s="39" t="str">
        <f>INDEX(powers!$H$2:$H$75,33+J303)</f>
        <v>gross</v>
      </c>
      <c r="M303" s="40" t="str">
        <f t="shared" si="249"/>
        <v>0</v>
      </c>
      <c r="N303" s="24">
        <f t="shared" si="250"/>
        <v>9.4166666666666661</v>
      </c>
      <c r="O303" s="41" t="str">
        <f t="shared" si="251"/>
        <v>9</v>
      </c>
      <c r="P303" s="24">
        <f t="shared" si="252"/>
        <v>4.9999999999999929</v>
      </c>
      <c r="Q303" s="41" t="str">
        <f t="shared" si="253"/>
        <v>5</v>
      </c>
      <c r="R303" s="24">
        <f t="shared" si="254"/>
        <v>11.999999999999915</v>
      </c>
      <c r="S303" s="41" t="str">
        <f t="shared" si="255"/>
        <v/>
      </c>
      <c r="T303" s="24">
        <f t="shared" si="256"/>
        <v>11.999999999998977</v>
      </c>
      <c r="U303" s="41" t="str">
        <f t="shared" si="257"/>
        <v/>
      </c>
      <c r="V303" s="24">
        <f t="shared" si="258"/>
        <v>11.999999999987722</v>
      </c>
      <c r="W303" s="41" t="str">
        <f t="shared" si="259"/>
        <v/>
      </c>
      <c r="X303" s="24">
        <f t="shared" si="260"/>
        <v>11.999999999852662</v>
      </c>
      <c r="Y303" s="41" t="str">
        <f t="shared" si="261"/>
        <v/>
      </c>
      <c r="Z303" s="24">
        <f t="shared" si="262"/>
        <v>11.999999998231942</v>
      </c>
      <c r="AA303" s="41" t="str">
        <f t="shared" si="263"/>
        <v/>
      </c>
      <c r="AB303" s="24">
        <f t="shared" si="264"/>
        <v>11.999999978783308</v>
      </c>
      <c r="AC303" s="41" t="str">
        <f t="shared" si="265"/>
        <v/>
      </c>
      <c r="AD303" s="24">
        <f t="shared" si="266"/>
        <v>11.999999745399691</v>
      </c>
      <c r="AE303" s="41" t="str">
        <f t="shared" si="267"/>
        <v/>
      </c>
      <c r="AF303" s="24">
        <f t="shared" si="268"/>
        <v>11.999996944796294</v>
      </c>
      <c r="AG303" s="41" t="str">
        <f t="shared" si="269"/>
        <v/>
      </c>
      <c r="AH303" s="24">
        <f t="shared" si="270"/>
        <v>11.999963337555528</v>
      </c>
      <c r="AI303" s="41" t="str">
        <f t="shared" si="271"/>
        <v/>
      </c>
      <c r="AJ303" s="24">
        <f t="shared" si="272"/>
        <v>11.999560050666332</v>
      </c>
      <c r="AK303" s="41" t="str">
        <f t="shared" si="273"/>
        <v/>
      </c>
    </row>
    <row r="304" spans="6:37" x14ac:dyDescent="0.2">
      <c r="F304" s="527">
        <f t="shared" si="246"/>
        <v>0.890625</v>
      </c>
      <c r="G304" s="8">
        <v>2</v>
      </c>
      <c r="H304" s="305">
        <f t="shared" si="247"/>
        <v>114</v>
      </c>
      <c r="I304" s="37" t="str">
        <f t="shared" si="245"/>
        <v>96;</v>
      </c>
      <c r="J304" s="38">
        <v>2</v>
      </c>
      <c r="K304" s="128">
        <f t="shared" si="248"/>
        <v>0.79166666666666663</v>
      </c>
      <c r="L304" s="39" t="str">
        <f>INDEX(powers!$H$2:$H$75,33+J304)</f>
        <v>gross</v>
      </c>
      <c r="M304" s="40" t="str">
        <f t="shared" si="249"/>
        <v>0</v>
      </c>
      <c r="N304" s="24">
        <f t="shared" si="250"/>
        <v>9.5</v>
      </c>
      <c r="O304" s="41" t="str">
        <f t="shared" si="251"/>
        <v>9</v>
      </c>
      <c r="P304" s="24">
        <f t="shared" si="252"/>
        <v>6</v>
      </c>
      <c r="Q304" s="41" t="str">
        <f t="shared" si="253"/>
        <v>6</v>
      </c>
      <c r="R304" s="24">
        <f t="shared" si="254"/>
        <v>0</v>
      </c>
      <c r="S304" s="41" t="str">
        <f t="shared" si="255"/>
        <v/>
      </c>
      <c r="T304" s="24">
        <f t="shared" si="256"/>
        <v>0</v>
      </c>
      <c r="U304" s="41" t="str">
        <f t="shared" si="257"/>
        <v/>
      </c>
      <c r="V304" s="24">
        <f t="shared" si="258"/>
        <v>0</v>
      </c>
      <c r="W304" s="41" t="str">
        <f t="shared" si="259"/>
        <v/>
      </c>
      <c r="X304" s="24">
        <f t="shared" si="260"/>
        <v>0</v>
      </c>
      <c r="Y304" s="41" t="str">
        <f t="shared" si="261"/>
        <v/>
      </c>
      <c r="Z304" s="24">
        <f t="shared" si="262"/>
        <v>0</v>
      </c>
      <c r="AA304" s="41" t="str">
        <f t="shared" si="263"/>
        <v/>
      </c>
      <c r="AB304" s="24">
        <f t="shared" si="264"/>
        <v>0</v>
      </c>
      <c r="AC304" s="41" t="str">
        <f t="shared" si="265"/>
        <v/>
      </c>
      <c r="AD304" s="24">
        <f t="shared" si="266"/>
        <v>0</v>
      </c>
      <c r="AE304" s="41" t="str">
        <f t="shared" si="267"/>
        <v/>
      </c>
      <c r="AF304" s="24">
        <f t="shared" si="268"/>
        <v>0</v>
      </c>
      <c r="AG304" s="41" t="str">
        <f t="shared" si="269"/>
        <v/>
      </c>
      <c r="AH304" s="24">
        <f t="shared" si="270"/>
        <v>0</v>
      </c>
      <c r="AI304" s="41" t="str">
        <f t="shared" si="271"/>
        <v/>
      </c>
      <c r="AJ304" s="24">
        <f t="shared" si="272"/>
        <v>0</v>
      </c>
      <c r="AK304" s="41" t="str">
        <f t="shared" si="273"/>
        <v/>
      </c>
    </row>
    <row r="305" spans="6:37" x14ac:dyDescent="0.2">
      <c r="F305" s="527">
        <f t="shared" si="246"/>
        <v>0.8984375</v>
      </c>
      <c r="G305" s="8">
        <v>2</v>
      </c>
      <c r="H305" s="305">
        <f t="shared" si="247"/>
        <v>115</v>
      </c>
      <c r="I305" s="37" t="str">
        <f t="shared" si="245"/>
        <v>97;</v>
      </c>
      <c r="J305" s="38">
        <v>2</v>
      </c>
      <c r="K305" s="128">
        <f t="shared" si="248"/>
        <v>0.79861111111111116</v>
      </c>
      <c r="L305" s="39" t="str">
        <f>INDEX(powers!$H$2:$H$75,33+J305)</f>
        <v>gross</v>
      </c>
      <c r="M305" s="40" t="str">
        <f t="shared" si="249"/>
        <v>0</v>
      </c>
      <c r="N305" s="24">
        <f t="shared" si="250"/>
        <v>9.5833333333333339</v>
      </c>
      <c r="O305" s="41" t="str">
        <f t="shared" si="251"/>
        <v>9</v>
      </c>
      <c r="P305" s="24">
        <f t="shared" si="252"/>
        <v>7.0000000000000071</v>
      </c>
      <c r="Q305" s="41" t="str">
        <f t="shared" si="253"/>
        <v>7</v>
      </c>
      <c r="R305" s="24">
        <f t="shared" si="254"/>
        <v>8.5265128291212022E-14</v>
      </c>
      <c r="S305" s="41" t="str">
        <f t="shared" si="255"/>
        <v/>
      </c>
      <c r="T305" s="24">
        <f t="shared" si="256"/>
        <v>1.0231815394945443E-12</v>
      </c>
      <c r="U305" s="41" t="str">
        <f t="shared" si="257"/>
        <v/>
      </c>
      <c r="V305" s="24">
        <f t="shared" si="258"/>
        <v>1.2278178473934531E-11</v>
      </c>
      <c r="W305" s="41" t="str">
        <f t="shared" si="259"/>
        <v/>
      </c>
      <c r="X305" s="24">
        <f t="shared" si="260"/>
        <v>1.4733814168721437E-10</v>
      </c>
      <c r="Y305" s="41" t="str">
        <f t="shared" si="261"/>
        <v/>
      </c>
      <c r="Z305" s="24">
        <f t="shared" si="262"/>
        <v>1.7680577002465725E-9</v>
      </c>
      <c r="AA305" s="41" t="str">
        <f t="shared" si="263"/>
        <v/>
      </c>
      <c r="AB305" s="24">
        <f t="shared" si="264"/>
        <v>2.121669240295887E-8</v>
      </c>
      <c r="AC305" s="41" t="str">
        <f t="shared" si="265"/>
        <v/>
      </c>
      <c r="AD305" s="24">
        <f t="shared" si="266"/>
        <v>2.5460030883550644E-7</v>
      </c>
      <c r="AE305" s="41" t="str">
        <f t="shared" si="267"/>
        <v/>
      </c>
      <c r="AF305" s="24">
        <f t="shared" si="268"/>
        <v>3.0552037060260773E-6</v>
      </c>
      <c r="AG305" s="41" t="str">
        <f t="shared" si="269"/>
        <v/>
      </c>
      <c r="AH305" s="24">
        <f t="shared" si="270"/>
        <v>3.6662444472312927E-5</v>
      </c>
      <c r="AI305" s="41" t="str">
        <f t="shared" si="271"/>
        <v/>
      </c>
      <c r="AJ305" s="24">
        <f t="shared" si="272"/>
        <v>4.3994933366775513E-4</v>
      </c>
      <c r="AK305" s="41" t="str">
        <f t="shared" si="273"/>
        <v/>
      </c>
    </row>
    <row r="306" spans="6:37" x14ac:dyDescent="0.2">
      <c r="F306" s="527">
        <f t="shared" si="246"/>
        <v>0.90625</v>
      </c>
      <c r="G306" s="8">
        <v>2</v>
      </c>
      <c r="H306" s="305">
        <f t="shared" si="247"/>
        <v>116</v>
      </c>
      <c r="I306" s="37" t="str">
        <f t="shared" si="245"/>
        <v>98;</v>
      </c>
      <c r="J306" s="38">
        <v>2</v>
      </c>
      <c r="K306" s="128">
        <f t="shared" si="248"/>
        <v>0.80555555555555558</v>
      </c>
      <c r="L306" s="39" t="str">
        <f>INDEX(powers!$H$2:$H$75,33+J306)</f>
        <v>gross</v>
      </c>
      <c r="M306" s="40" t="str">
        <f t="shared" si="249"/>
        <v>0</v>
      </c>
      <c r="N306" s="24">
        <f t="shared" si="250"/>
        <v>9.6666666666666679</v>
      </c>
      <c r="O306" s="41" t="str">
        <f t="shared" si="251"/>
        <v>9</v>
      </c>
      <c r="P306" s="24">
        <f t="shared" si="252"/>
        <v>8.0000000000000142</v>
      </c>
      <c r="Q306" s="41" t="str">
        <f t="shared" si="253"/>
        <v>8</v>
      </c>
      <c r="R306" s="24">
        <f t="shared" si="254"/>
        <v>1.7053025658242404E-13</v>
      </c>
      <c r="S306" s="41" t="str">
        <f t="shared" si="255"/>
        <v/>
      </c>
      <c r="T306" s="24">
        <f t="shared" si="256"/>
        <v>2.0463630789890885E-12</v>
      </c>
      <c r="U306" s="41" t="str">
        <f t="shared" si="257"/>
        <v/>
      </c>
      <c r="V306" s="24">
        <f t="shared" si="258"/>
        <v>2.4556356947869062E-11</v>
      </c>
      <c r="W306" s="41" t="str">
        <f t="shared" si="259"/>
        <v/>
      </c>
      <c r="X306" s="24">
        <f t="shared" si="260"/>
        <v>2.9467628337442875E-10</v>
      </c>
      <c r="Y306" s="41" t="str">
        <f t="shared" si="261"/>
        <v/>
      </c>
      <c r="Z306" s="24">
        <f t="shared" si="262"/>
        <v>3.536115400493145E-9</v>
      </c>
      <c r="AA306" s="41" t="str">
        <f t="shared" si="263"/>
        <v/>
      </c>
      <c r="AB306" s="24">
        <f t="shared" si="264"/>
        <v>4.243338480591774E-8</v>
      </c>
      <c r="AC306" s="41" t="str">
        <f t="shared" si="265"/>
        <v/>
      </c>
      <c r="AD306" s="24">
        <f t="shared" si="266"/>
        <v>5.0920061767101288E-7</v>
      </c>
      <c r="AE306" s="41" t="str">
        <f t="shared" si="267"/>
        <v/>
      </c>
      <c r="AF306" s="24">
        <f t="shared" si="268"/>
        <v>6.1104074120521545E-6</v>
      </c>
      <c r="AG306" s="41" t="str">
        <f t="shared" si="269"/>
        <v/>
      </c>
      <c r="AH306" s="24">
        <f t="shared" si="270"/>
        <v>7.3324888944625854E-5</v>
      </c>
      <c r="AI306" s="41" t="str">
        <f t="shared" si="271"/>
        <v/>
      </c>
      <c r="AJ306" s="24">
        <f t="shared" si="272"/>
        <v>8.7989866733551025E-4</v>
      </c>
      <c r="AK306" s="41" t="str">
        <f t="shared" si="273"/>
        <v/>
      </c>
    </row>
    <row r="307" spans="6:37" x14ac:dyDescent="0.2">
      <c r="F307" s="527">
        <f t="shared" si="246"/>
        <v>0.9140625</v>
      </c>
      <c r="G307" s="8">
        <v>2</v>
      </c>
      <c r="H307" s="305">
        <f t="shared" si="247"/>
        <v>117</v>
      </c>
      <c r="I307" s="37" t="str">
        <f t="shared" si="245"/>
        <v>99;</v>
      </c>
      <c r="J307" s="38">
        <v>2</v>
      </c>
      <c r="K307" s="128">
        <f t="shared" si="248"/>
        <v>0.8125</v>
      </c>
      <c r="L307" s="39" t="str">
        <f>INDEX(powers!$H$2:$H$75,33+J307)</f>
        <v>gross</v>
      </c>
      <c r="M307" s="40" t="str">
        <f t="shared" si="249"/>
        <v>0</v>
      </c>
      <c r="N307" s="24">
        <f t="shared" si="250"/>
        <v>9.75</v>
      </c>
      <c r="O307" s="41" t="str">
        <f t="shared" si="251"/>
        <v>9</v>
      </c>
      <c r="P307" s="24">
        <f t="shared" si="252"/>
        <v>9</v>
      </c>
      <c r="Q307" s="41" t="str">
        <f t="shared" si="253"/>
        <v>9</v>
      </c>
      <c r="R307" s="24">
        <f t="shared" si="254"/>
        <v>0</v>
      </c>
      <c r="S307" s="41" t="str">
        <f t="shared" si="255"/>
        <v/>
      </c>
      <c r="T307" s="24">
        <f t="shared" si="256"/>
        <v>0</v>
      </c>
      <c r="U307" s="41" t="str">
        <f t="shared" si="257"/>
        <v/>
      </c>
      <c r="V307" s="24">
        <f t="shared" si="258"/>
        <v>0</v>
      </c>
      <c r="W307" s="41" t="str">
        <f t="shared" si="259"/>
        <v/>
      </c>
      <c r="X307" s="24">
        <f t="shared" si="260"/>
        <v>0</v>
      </c>
      <c r="Y307" s="41" t="str">
        <f t="shared" si="261"/>
        <v/>
      </c>
      <c r="Z307" s="24">
        <f t="shared" si="262"/>
        <v>0</v>
      </c>
      <c r="AA307" s="41" t="str">
        <f t="shared" si="263"/>
        <v/>
      </c>
      <c r="AB307" s="24">
        <f t="shared" si="264"/>
        <v>0</v>
      </c>
      <c r="AC307" s="41" t="str">
        <f t="shared" si="265"/>
        <v/>
      </c>
      <c r="AD307" s="24">
        <f t="shared" si="266"/>
        <v>0</v>
      </c>
      <c r="AE307" s="41" t="str">
        <f t="shared" si="267"/>
        <v/>
      </c>
      <c r="AF307" s="24">
        <f t="shared" si="268"/>
        <v>0</v>
      </c>
      <c r="AG307" s="41" t="str">
        <f t="shared" si="269"/>
        <v/>
      </c>
      <c r="AH307" s="24">
        <f t="shared" si="270"/>
        <v>0</v>
      </c>
      <c r="AI307" s="41" t="str">
        <f t="shared" si="271"/>
        <v/>
      </c>
      <c r="AJ307" s="24">
        <f t="shared" si="272"/>
        <v>0</v>
      </c>
      <c r="AK307" s="41" t="str">
        <f t="shared" si="273"/>
        <v/>
      </c>
    </row>
    <row r="308" spans="6:37" x14ac:dyDescent="0.2">
      <c r="F308" s="527">
        <f t="shared" si="246"/>
        <v>0.921875</v>
      </c>
      <c r="G308" s="8">
        <v>2</v>
      </c>
      <c r="H308" s="305">
        <f t="shared" si="247"/>
        <v>118</v>
      </c>
      <c r="I308" s="37" t="str">
        <f t="shared" si="245"/>
        <v>9X;</v>
      </c>
      <c r="J308" s="38">
        <v>2</v>
      </c>
      <c r="K308" s="128">
        <f t="shared" si="248"/>
        <v>0.81944444444444442</v>
      </c>
      <c r="L308" s="39" t="str">
        <f>INDEX(powers!$H$2:$H$75,33+J308)</f>
        <v>gross</v>
      </c>
      <c r="M308" s="40" t="str">
        <f t="shared" si="249"/>
        <v>0</v>
      </c>
      <c r="N308" s="24">
        <f t="shared" si="250"/>
        <v>9.8333333333333321</v>
      </c>
      <c r="O308" s="41" t="str">
        <f t="shared" si="251"/>
        <v>9</v>
      </c>
      <c r="P308" s="24">
        <f t="shared" si="252"/>
        <v>9.9999999999999858</v>
      </c>
      <c r="Q308" s="41" t="str">
        <f t="shared" si="253"/>
        <v>X</v>
      </c>
      <c r="R308" s="24">
        <f t="shared" si="254"/>
        <v>11.999999999999829</v>
      </c>
      <c r="S308" s="41" t="str">
        <f t="shared" si="255"/>
        <v/>
      </c>
      <c r="T308" s="24">
        <f t="shared" si="256"/>
        <v>11.999999999997954</v>
      </c>
      <c r="U308" s="41" t="str">
        <f t="shared" si="257"/>
        <v/>
      </c>
      <c r="V308" s="24">
        <f t="shared" si="258"/>
        <v>11.999999999975444</v>
      </c>
      <c r="W308" s="41" t="str">
        <f t="shared" si="259"/>
        <v/>
      </c>
      <c r="X308" s="24">
        <f t="shared" si="260"/>
        <v>11.999999999705324</v>
      </c>
      <c r="Y308" s="41" t="str">
        <f t="shared" si="261"/>
        <v/>
      </c>
      <c r="Z308" s="24">
        <f t="shared" si="262"/>
        <v>11.999999996463885</v>
      </c>
      <c r="AA308" s="41" t="str">
        <f t="shared" si="263"/>
        <v/>
      </c>
      <c r="AB308" s="24">
        <f t="shared" si="264"/>
        <v>11.999999957566615</v>
      </c>
      <c r="AC308" s="41" t="str">
        <f t="shared" si="265"/>
        <v/>
      </c>
      <c r="AD308" s="24">
        <f t="shared" si="266"/>
        <v>11.999999490799382</v>
      </c>
      <c r="AE308" s="41" t="str">
        <f t="shared" si="267"/>
        <v/>
      </c>
      <c r="AF308" s="24">
        <f t="shared" si="268"/>
        <v>11.999993889592588</v>
      </c>
      <c r="AG308" s="41" t="str">
        <f t="shared" si="269"/>
        <v/>
      </c>
      <c r="AH308" s="24">
        <f t="shared" si="270"/>
        <v>11.999926675111055</v>
      </c>
      <c r="AI308" s="41" t="str">
        <f t="shared" si="271"/>
        <v/>
      </c>
      <c r="AJ308" s="24">
        <f t="shared" si="272"/>
        <v>11.999120101332664</v>
      </c>
      <c r="AK308" s="41" t="str">
        <f t="shared" si="273"/>
        <v/>
      </c>
    </row>
    <row r="309" spans="6:37" x14ac:dyDescent="0.2">
      <c r="F309" s="527">
        <f t="shared" si="246"/>
        <v>0.9296875</v>
      </c>
      <c r="G309" s="8">
        <v>2</v>
      </c>
      <c r="H309" s="305">
        <f t="shared" si="247"/>
        <v>119</v>
      </c>
      <c r="I309" s="37" t="str">
        <f t="shared" si="245"/>
        <v>9E;</v>
      </c>
      <c r="J309" s="38">
        <v>2</v>
      </c>
      <c r="K309" s="128">
        <f t="shared" si="248"/>
        <v>0.82638888888888884</v>
      </c>
      <c r="L309" s="39" t="str">
        <f>INDEX(powers!$H$2:$H$75,33+J309)</f>
        <v>gross</v>
      </c>
      <c r="M309" s="40" t="str">
        <f t="shared" si="249"/>
        <v>0</v>
      </c>
      <c r="N309" s="24">
        <f t="shared" si="250"/>
        <v>9.9166666666666661</v>
      </c>
      <c r="O309" s="41" t="str">
        <f t="shared" si="251"/>
        <v>9</v>
      </c>
      <c r="P309" s="24">
        <f t="shared" si="252"/>
        <v>10.999999999999993</v>
      </c>
      <c r="Q309" s="41" t="str">
        <f t="shared" si="253"/>
        <v>E</v>
      </c>
      <c r="R309" s="24">
        <f t="shared" si="254"/>
        <v>-8.5265128291212022E-14</v>
      </c>
      <c r="S309" s="41" t="str">
        <f t="shared" si="255"/>
        <v/>
      </c>
      <c r="T309" s="24">
        <f t="shared" si="256"/>
        <v>11.999999999998977</v>
      </c>
      <c r="U309" s="41" t="str">
        <f t="shared" si="257"/>
        <v/>
      </c>
      <c r="V309" s="24">
        <f t="shared" si="258"/>
        <v>11.999999999987722</v>
      </c>
      <c r="W309" s="41" t="str">
        <f t="shared" si="259"/>
        <v/>
      </c>
      <c r="X309" s="24">
        <f t="shared" si="260"/>
        <v>11.999999999852662</v>
      </c>
      <c r="Y309" s="41" t="str">
        <f t="shared" si="261"/>
        <v/>
      </c>
      <c r="Z309" s="24">
        <f t="shared" si="262"/>
        <v>11.999999998231942</v>
      </c>
      <c r="AA309" s="41" t="str">
        <f t="shared" si="263"/>
        <v/>
      </c>
      <c r="AB309" s="24">
        <f t="shared" si="264"/>
        <v>11.999999978783308</v>
      </c>
      <c r="AC309" s="41" t="str">
        <f t="shared" si="265"/>
        <v/>
      </c>
      <c r="AD309" s="24">
        <f t="shared" si="266"/>
        <v>11.999999745399691</v>
      </c>
      <c r="AE309" s="41" t="str">
        <f t="shared" si="267"/>
        <v/>
      </c>
      <c r="AF309" s="24">
        <f t="shared" si="268"/>
        <v>11.999996944796294</v>
      </c>
      <c r="AG309" s="41" t="str">
        <f t="shared" si="269"/>
        <v/>
      </c>
      <c r="AH309" s="24">
        <f t="shared" si="270"/>
        <v>11.999963337555528</v>
      </c>
      <c r="AI309" s="41" t="str">
        <f t="shared" si="271"/>
        <v/>
      </c>
      <c r="AJ309" s="24">
        <f t="shared" si="272"/>
        <v>11.999560050666332</v>
      </c>
      <c r="AK309" s="41" t="str">
        <f t="shared" si="273"/>
        <v/>
      </c>
    </row>
    <row r="310" spans="6:37" x14ac:dyDescent="0.2">
      <c r="F310" s="527">
        <f t="shared" si="246"/>
        <v>0.9375</v>
      </c>
      <c r="G310" s="8">
        <v>2</v>
      </c>
      <c r="H310" s="305">
        <f t="shared" si="247"/>
        <v>120</v>
      </c>
      <c r="I310" s="37" t="str">
        <f t="shared" si="245"/>
        <v>X0;</v>
      </c>
      <c r="J310" s="38">
        <v>2</v>
      </c>
      <c r="K310" s="128">
        <f t="shared" si="248"/>
        <v>0.83333333333333337</v>
      </c>
      <c r="L310" s="39" t="str">
        <f>INDEX(powers!$H$2:$H$75,33+J310)</f>
        <v>gross</v>
      </c>
      <c r="M310" s="40" t="str">
        <f t="shared" si="249"/>
        <v>0</v>
      </c>
      <c r="N310" s="24">
        <f t="shared" si="250"/>
        <v>10</v>
      </c>
      <c r="O310" s="41" t="str">
        <f t="shared" si="251"/>
        <v>X</v>
      </c>
      <c r="P310" s="24">
        <f t="shared" si="252"/>
        <v>0</v>
      </c>
      <c r="Q310" s="41" t="str">
        <f t="shared" si="253"/>
        <v>0</v>
      </c>
      <c r="R310" s="24">
        <f t="shared" si="254"/>
        <v>0</v>
      </c>
      <c r="S310" s="41" t="str">
        <f t="shared" si="255"/>
        <v/>
      </c>
      <c r="T310" s="24">
        <f t="shared" si="256"/>
        <v>0</v>
      </c>
      <c r="U310" s="41" t="str">
        <f t="shared" si="257"/>
        <v/>
      </c>
      <c r="V310" s="24">
        <f t="shared" si="258"/>
        <v>0</v>
      </c>
      <c r="W310" s="41" t="str">
        <f t="shared" si="259"/>
        <v/>
      </c>
      <c r="X310" s="24">
        <f t="shared" si="260"/>
        <v>0</v>
      </c>
      <c r="Y310" s="41" t="str">
        <f t="shared" si="261"/>
        <v/>
      </c>
      <c r="Z310" s="24">
        <f t="shared" si="262"/>
        <v>0</v>
      </c>
      <c r="AA310" s="41" t="str">
        <f t="shared" si="263"/>
        <v/>
      </c>
      <c r="AB310" s="24">
        <f t="shared" si="264"/>
        <v>0</v>
      </c>
      <c r="AC310" s="41" t="str">
        <f t="shared" si="265"/>
        <v/>
      </c>
      <c r="AD310" s="24">
        <f t="shared" si="266"/>
        <v>0</v>
      </c>
      <c r="AE310" s="41" t="str">
        <f t="shared" si="267"/>
        <v/>
      </c>
      <c r="AF310" s="24">
        <f t="shared" si="268"/>
        <v>0</v>
      </c>
      <c r="AG310" s="41" t="str">
        <f t="shared" si="269"/>
        <v/>
      </c>
      <c r="AH310" s="24">
        <f t="shared" si="270"/>
        <v>0</v>
      </c>
      <c r="AI310" s="41" t="str">
        <f t="shared" si="271"/>
        <v/>
      </c>
      <c r="AJ310" s="24">
        <f t="shared" si="272"/>
        <v>0</v>
      </c>
      <c r="AK310" s="41" t="str">
        <f t="shared" si="273"/>
        <v/>
      </c>
    </row>
    <row r="311" spans="6:37" x14ac:dyDescent="0.2">
      <c r="F311" s="527">
        <f t="shared" si="246"/>
        <v>0.9453125</v>
      </c>
      <c r="G311" s="8">
        <v>2</v>
      </c>
      <c r="H311" s="305">
        <f t="shared" si="247"/>
        <v>121</v>
      </c>
      <c r="I311" s="37" t="str">
        <f t="shared" si="245"/>
        <v>X1;</v>
      </c>
      <c r="J311" s="38">
        <v>2</v>
      </c>
      <c r="K311" s="128">
        <f t="shared" si="248"/>
        <v>0.84027777777777779</v>
      </c>
      <c r="L311" s="39" t="str">
        <f>INDEX(powers!$H$2:$H$75,33+J311)</f>
        <v>gross</v>
      </c>
      <c r="M311" s="40" t="str">
        <f t="shared" si="249"/>
        <v>0</v>
      </c>
      <c r="N311" s="24">
        <f t="shared" si="250"/>
        <v>10.083333333333334</v>
      </c>
      <c r="O311" s="41" t="str">
        <f t="shared" si="251"/>
        <v>X</v>
      </c>
      <c r="P311" s="24">
        <f t="shared" si="252"/>
        <v>1.0000000000000071</v>
      </c>
      <c r="Q311" s="41" t="str">
        <f t="shared" si="253"/>
        <v>1</v>
      </c>
      <c r="R311" s="24">
        <f t="shared" si="254"/>
        <v>8.5265128291212022E-14</v>
      </c>
      <c r="S311" s="41" t="str">
        <f t="shared" si="255"/>
        <v/>
      </c>
      <c r="T311" s="24">
        <f t="shared" si="256"/>
        <v>1.0231815394945443E-12</v>
      </c>
      <c r="U311" s="41" t="str">
        <f t="shared" si="257"/>
        <v/>
      </c>
      <c r="V311" s="24">
        <f t="shared" si="258"/>
        <v>1.2278178473934531E-11</v>
      </c>
      <c r="W311" s="41" t="str">
        <f t="shared" si="259"/>
        <v/>
      </c>
      <c r="X311" s="24">
        <f t="shared" si="260"/>
        <v>1.4733814168721437E-10</v>
      </c>
      <c r="Y311" s="41" t="str">
        <f t="shared" si="261"/>
        <v/>
      </c>
      <c r="Z311" s="24">
        <f t="shared" si="262"/>
        <v>1.7680577002465725E-9</v>
      </c>
      <c r="AA311" s="41" t="str">
        <f t="shared" si="263"/>
        <v/>
      </c>
      <c r="AB311" s="24">
        <f t="shared" si="264"/>
        <v>2.121669240295887E-8</v>
      </c>
      <c r="AC311" s="41" t="str">
        <f t="shared" si="265"/>
        <v/>
      </c>
      <c r="AD311" s="24">
        <f t="shared" si="266"/>
        <v>2.5460030883550644E-7</v>
      </c>
      <c r="AE311" s="41" t="str">
        <f t="shared" si="267"/>
        <v/>
      </c>
      <c r="AF311" s="24">
        <f t="shared" si="268"/>
        <v>3.0552037060260773E-6</v>
      </c>
      <c r="AG311" s="41" t="str">
        <f t="shared" si="269"/>
        <v/>
      </c>
      <c r="AH311" s="24">
        <f t="shared" si="270"/>
        <v>3.6662444472312927E-5</v>
      </c>
      <c r="AI311" s="41" t="str">
        <f t="shared" si="271"/>
        <v/>
      </c>
      <c r="AJ311" s="24">
        <f t="shared" si="272"/>
        <v>4.3994933366775513E-4</v>
      </c>
      <c r="AK311" s="41" t="str">
        <f t="shared" si="273"/>
        <v/>
      </c>
    </row>
    <row r="312" spans="6:37" x14ac:dyDescent="0.2">
      <c r="F312" s="527">
        <f t="shared" si="246"/>
        <v>0.953125</v>
      </c>
      <c r="G312" s="8">
        <v>2</v>
      </c>
      <c r="H312" s="305">
        <f t="shared" si="247"/>
        <v>122</v>
      </c>
      <c r="I312" s="37" t="str">
        <f t="shared" si="245"/>
        <v>X2;</v>
      </c>
      <c r="J312" s="38">
        <v>2</v>
      </c>
      <c r="K312" s="128">
        <f t="shared" si="248"/>
        <v>0.84722222222222221</v>
      </c>
      <c r="L312" s="39" t="str">
        <f>INDEX(powers!$H$2:$H$75,33+J312)</f>
        <v>gross</v>
      </c>
      <c r="M312" s="40" t="str">
        <f t="shared" si="249"/>
        <v>0</v>
      </c>
      <c r="N312" s="24">
        <f t="shared" si="250"/>
        <v>10.166666666666666</v>
      </c>
      <c r="O312" s="41" t="str">
        <f t="shared" si="251"/>
        <v>X</v>
      </c>
      <c r="P312" s="24">
        <f t="shared" si="252"/>
        <v>1.9999999999999929</v>
      </c>
      <c r="Q312" s="41" t="str">
        <f t="shared" si="253"/>
        <v>2</v>
      </c>
      <c r="R312" s="24">
        <f t="shared" si="254"/>
        <v>11.999999999999915</v>
      </c>
      <c r="S312" s="41" t="str">
        <f t="shared" si="255"/>
        <v/>
      </c>
      <c r="T312" s="24">
        <f t="shared" si="256"/>
        <v>11.999999999998977</v>
      </c>
      <c r="U312" s="41" t="str">
        <f t="shared" si="257"/>
        <v/>
      </c>
      <c r="V312" s="24">
        <f t="shared" si="258"/>
        <v>11.999999999987722</v>
      </c>
      <c r="W312" s="41" t="str">
        <f t="shared" si="259"/>
        <v/>
      </c>
      <c r="X312" s="24">
        <f t="shared" si="260"/>
        <v>11.999999999852662</v>
      </c>
      <c r="Y312" s="41" t="str">
        <f t="shared" si="261"/>
        <v/>
      </c>
      <c r="Z312" s="24">
        <f t="shared" si="262"/>
        <v>11.999999998231942</v>
      </c>
      <c r="AA312" s="41" t="str">
        <f t="shared" si="263"/>
        <v/>
      </c>
      <c r="AB312" s="24">
        <f t="shared" si="264"/>
        <v>11.999999978783308</v>
      </c>
      <c r="AC312" s="41" t="str">
        <f t="shared" si="265"/>
        <v/>
      </c>
      <c r="AD312" s="24">
        <f t="shared" si="266"/>
        <v>11.999999745399691</v>
      </c>
      <c r="AE312" s="41" t="str">
        <f t="shared" si="267"/>
        <v/>
      </c>
      <c r="AF312" s="24">
        <f t="shared" si="268"/>
        <v>11.999996944796294</v>
      </c>
      <c r="AG312" s="41" t="str">
        <f t="shared" si="269"/>
        <v/>
      </c>
      <c r="AH312" s="24">
        <f t="shared" si="270"/>
        <v>11.999963337555528</v>
      </c>
      <c r="AI312" s="41" t="str">
        <f t="shared" si="271"/>
        <v/>
      </c>
      <c r="AJ312" s="24">
        <f t="shared" si="272"/>
        <v>11.999560050666332</v>
      </c>
      <c r="AK312" s="41" t="str">
        <f t="shared" si="273"/>
        <v/>
      </c>
    </row>
    <row r="313" spans="6:37" x14ac:dyDescent="0.2">
      <c r="F313" s="527">
        <f t="shared" si="246"/>
        <v>0.9609375</v>
      </c>
      <c r="G313" s="8">
        <v>2</v>
      </c>
      <c r="H313" s="305">
        <f t="shared" si="247"/>
        <v>123</v>
      </c>
      <c r="I313" s="37" t="str">
        <f t="shared" si="245"/>
        <v>X3;</v>
      </c>
      <c r="J313" s="38">
        <v>2</v>
      </c>
      <c r="K313" s="128">
        <f t="shared" si="248"/>
        <v>0.85416666666666663</v>
      </c>
      <c r="L313" s="39" t="str">
        <f>INDEX(powers!$H$2:$H$75,33+J313)</f>
        <v>gross</v>
      </c>
      <c r="M313" s="40" t="str">
        <f t="shared" si="249"/>
        <v>0</v>
      </c>
      <c r="N313" s="24">
        <f t="shared" si="250"/>
        <v>10.25</v>
      </c>
      <c r="O313" s="41" t="str">
        <f t="shared" si="251"/>
        <v>X</v>
      </c>
      <c r="P313" s="24">
        <f t="shared" si="252"/>
        <v>3</v>
      </c>
      <c r="Q313" s="41" t="str">
        <f t="shared" si="253"/>
        <v>3</v>
      </c>
      <c r="R313" s="24">
        <f t="shared" si="254"/>
        <v>0</v>
      </c>
      <c r="S313" s="41" t="str">
        <f t="shared" si="255"/>
        <v/>
      </c>
      <c r="T313" s="24">
        <f t="shared" si="256"/>
        <v>0</v>
      </c>
      <c r="U313" s="41" t="str">
        <f t="shared" si="257"/>
        <v/>
      </c>
      <c r="V313" s="24">
        <f t="shared" si="258"/>
        <v>0</v>
      </c>
      <c r="W313" s="41" t="str">
        <f t="shared" si="259"/>
        <v/>
      </c>
      <c r="X313" s="24">
        <f t="shared" si="260"/>
        <v>0</v>
      </c>
      <c r="Y313" s="41" t="str">
        <f t="shared" si="261"/>
        <v/>
      </c>
      <c r="Z313" s="24">
        <f t="shared" si="262"/>
        <v>0</v>
      </c>
      <c r="AA313" s="41" t="str">
        <f t="shared" si="263"/>
        <v/>
      </c>
      <c r="AB313" s="24">
        <f t="shared" si="264"/>
        <v>0</v>
      </c>
      <c r="AC313" s="41" t="str">
        <f t="shared" si="265"/>
        <v/>
      </c>
      <c r="AD313" s="24">
        <f t="shared" si="266"/>
        <v>0</v>
      </c>
      <c r="AE313" s="41" t="str">
        <f t="shared" si="267"/>
        <v/>
      </c>
      <c r="AF313" s="24">
        <f t="shared" si="268"/>
        <v>0</v>
      </c>
      <c r="AG313" s="41" t="str">
        <f t="shared" si="269"/>
        <v/>
      </c>
      <c r="AH313" s="24">
        <f t="shared" si="270"/>
        <v>0</v>
      </c>
      <c r="AI313" s="41" t="str">
        <f t="shared" si="271"/>
        <v/>
      </c>
      <c r="AJ313" s="24">
        <f t="shared" si="272"/>
        <v>0</v>
      </c>
      <c r="AK313" s="41" t="str">
        <f t="shared" si="273"/>
        <v/>
      </c>
    </row>
    <row r="314" spans="6:37" x14ac:dyDescent="0.2">
      <c r="F314" s="527">
        <f t="shared" si="246"/>
        <v>0.96875</v>
      </c>
      <c r="G314" s="8">
        <v>2</v>
      </c>
      <c r="H314" s="305">
        <f t="shared" si="247"/>
        <v>124</v>
      </c>
      <c r="I314" s="37" t="str">
        <f t="shared" si="245"/>
        <v>X4;</v>
      </c>
      <c r="J314" s="38">
        <v>2</v>
      </c>
      <c r="K314" s="128">
        <f t="shared" si="248"/>
        <v>0.86111111111111116</v>
      </c>
      <c r="L314" s="39" t="str">
        <f>INDEX(powers!$H$2:$H$75,33+J314)</f>
        <v>gross</v>
      </c>
      <c r="M314" s="40" t="str">
        <f t="shared" si="249"/>
        <v>0</v>
      </c>
      <c r="N314" s="24">
        <f t="shared" si="250"/>
        <v>10.333333333333334</v>
      </c>
      <c r="O314" s="41" t="str">
        <f t="shared" si="251"/>
        <v>X</v>
      </c>
      <c r="P314" s="24">
        <f t="shared" si="252"/>
        <v>4.0000000000000071</v>
      </c>
      <c r="Q314" s="41" t="str">
        <f t="shared" si="253"/>
        <v>4</v>
      </c>
      <c r="R314" s="24">
        <f t="shared" si="254"/>
        <v>8.5265128291212022E-14</v>
      </c>
      <c r="S314" s="41" t="str">
        <f t="shared" si="255"/>
        <v/>
      </c>
      <c r="T314" s="24">
        <f t="shared" si="256"/>
        <v>1.0231815394945443E-12</v>
      </c>
      <c r="U314" s="41" t="str">
        <f t="shared" si="257"/>
        <v/>
      </c>
      <c r="V314" s="24">
        <f t="shared" si="258"/>
        <v>1.2278178473934531E-11</v>
      </c>
      <c r="W314" s="41" t="str">
        <f t="shared" si="259"/>
        <v/>
      </c>
      <c r="X314" s="24">
        <f t="shared" si="260"/>
        <v>1.4733814168721437E-10</v>
      </c>
      <c r="Y314" s="41" t="str">
        <f t="shared" si="261"/>
        <v/>
      </c>
      <c r="Z314" s="24">
        <f t="shared" si="262"/>
        <v>1.7680577002465725E-9</v>
      </c>
      <c r="AA314" s="41" t="str">
        <f t="shared" si="263"/>
        <v/>
      </c>
      <c r="AB314" s="24">
        <f t="shared" si="264"/>
        <v>2.121669240295887E-8</v>
      </c>
      <c r="AC314" s="41" t="str">
        <f t="shared" si="265"/>
        <v/>
      </c>
      <c r="AD314" s="24">
        <f t="shared" si="266"/>
        <v>2.5460030883550644E-7</v>
      </c>
      <c r="AE314" s="41" t="str">
        <f t="shared" si="267"/>
        <v/>
      </c>
      <c r="AF314" s="24">
        <f t="shared" si="268"/>
        <v>3.0552037060260773E-6</v>
      </c>
      <c r="AG314" s="41" t="str">
        <f t="shared" si="269"/>
        <v/>
      </c>
      <c r="AH314" s="24">
        <f t="shared" si="270"/>
        <v>3.6662444472312927E-5</v>
      </c>
      <c r="AI314" s="41" t="str">
        <f t="shared" si="271"/>
        <v/>
      </c>
      <c r="AJ314" s="24">
        <f t="shared" si="272"/>
        <v>4.3994933366775513E-4</v>
      </c>
      <c r="AK314" s="41" t="str">
        <f t="shared" si="273"/>
        <v/>
      </c>
    </row>
    <row r="315" spans="6:37" x14ac:dyDescent="0.2">
      <c r="F315" s="527">
        <f t="shared" si="246"/>
        <v>0.9765625</v>
      </c>
      <c r="G315" s="8">
        <v>2</v>
      </c>
      <c r="H315" s="305">
        <f t="shared" si="247"/>
        <v>125</v>
      </c>
      <c r="I315" s="37" t="str">
        <f t="shared" si="245"/>
        <v>X5;</v>
      </c>
      <c r="J315" s="38">
        <v>2</v>
      </c>
      <c r="K315" s="128">
        <f t="shared" si="248"/>
        <v>0.86805555555555558</v>
      </c>
      <c r="L315" s="39" t="str">
        <f>INDEX(powers!$H$2:$H$75,33+J315)</f>
        <v>gross</v>
      </c>
      <c r="M315" s="40" t="str">
        <f t="shared" si="249"/>
        <v>0</v>
      </c>
      <c r="N315" s="24">
        <f t="shared" si="250"/>
        <v>10.416666666666668</v>
      </c>
      <c r="O315" s="41" t="str">
        <f t="shared" si="251"/>
        <v>X</v>
      </c>
      <c r="P315" s="24">
        <f t="shared" si="252"/>
        <v>5.0000000000000142</v>
      </c>
      <c r="Q315" s="41" t="str">
        <f t="shared" si="253"/>
        <v>5</v>
      </c>
      <c r="R315" s="24">
        <f t="shared" si="254"/>
        <v>1.7053025658242404E-13</v>
      </c>
      <c r="S315" s="41" t="str">
        <f t="shared" si="255"/>
        <v/>
      </c>
      <c r="T315" s="24">
        <f t="shared" si="256"/>
        <v>2.0463630789890885E-12</v>
      </c>
      <c r="U315" s="41" t="str">
        <f t="shared" si="257"/>
        <v/>
      </c>
      <c r="V315" s="24">
        <f t="shared" si="258"/>
        <v>2.4556356947869062E-11</v>
      </c>
      <c r="W315" s="41" t="str">
        <f t="shared" si="259"/>
        <v/>
      </c>
      <c r="X315" s="24">
        <f t="shared" si="260"/>
        <v>2.9467628337442875E-10</v>
      </c>
      <c r="Y315" s="41" t="str">
        <f t="shared" si="261"/>
        <v/>
      </c>
      <c r="Z315" s="24">
        <f t="shared" si="262"/>
        <v>3.536115400493145E-9</v>
      </c>
      <c r="AA315" s="41" t="str">
        <f t="shared" si="263"/>
        <v/>
      </c>
      <c r="AB315" s="24">
        <f t="shared" si="264"/>
        <v>4.243338480591774E-8</v>
      </c>
      <c r="AC315" s="41" t="str">
        <f t="shared" si="265"/>
        <v/>
      </c>
      <c r="AD315" s="24">
        <f t="shared" si="266"/>
        <v>5.0920061767101288E-7</v>
      </c>
      <c r="AE315" s="41" t="str">
        <f t="shared" si="267"/>
        <v/>
      </c>
      <c r="AF315" s="24">
        <f t="shared" si="268"/>
        <v>6.1104074120521545E-6</v>
      </c>
      <c r="AG315" s="41" t="str">
        <f t="shared" si="269"/>
        <v/>
      </c>
      <c r="AH315" s="24">
        <f t="shared" si="270"/>
        <v>7.3324888944625854E-5</v>
      </c>
      <c r="AI315" s="41" t="str">
        <f t="shared" si="271"/>
        <v/>
      </c>
      <c r="AJ315" s="24">
        <f t="shared" si="272"/>
        <v>8.7989866733551025E-4</v>
      </c>
      <c r="AK315" s="41" t="str">
        <f t="shared" si="273"/>
        <v/>
      </c>
    </row>
    <row r="316" spans="6:37" x14ac:dyDescent="0.2">
      <c r="F316" s="527">
        <f t="shared" si="246"/>
        <v>0.984375</v>
      </c>
      <c r="G316" s="8">
        <v>2</v>
      </c>
      <c r="H316" s="305">
        <f t="shared" si="247"/>
        <v>126</v>
      </c>
      <c r="I316" s="37" t="str">
        <f t="shared" si="245"/>
        <v>X6;</v>
      </c>
      <c r="J316" s="38">
        <v>2</v>
      </c>
      <c r="K316" s="128">
        <f t="shared" si="248"/>
        <v>0.875</v>
      </c>
      <c r="L316" s="39" t="str">
        <f>INDEX(powers!$H$2:$H$75,33+J316)</f>
        <v>gross</v>
      </c>
      <c r="M316" s="40" t="str">
        <f t="shared" si="249"/>
        <v>0</v>
      </c>
      <c r="N316" s="24">
        <f t="shared" si="250"/>
        <v>10.5</v>
      </c>
      <c r="O316" s="41" t="str">
        <f t="shared" si="251"/>
        <v>X</v>
      </c>
      <c r="P316" s="24">
        <f t="shared" si="252"/>
        <v>6</v>
      </c>
      <c r="Q316" s="41" t="str">
        <f t="shared" si="253"/>
        <v>6</v>
      </c>
      <c r="R316" s="24">
        <f t="shared" si="254"/>
        <v>0</v>
      </c>
      <c r="S316" s="41" t="str">
        <f t="shared" si="255"/>
        <v/>
      </c>
      <c r="T316" s="24">
        <f t="shared" si="256"/>
        <v>0</v>
      </c>
      <c r="U316" s="41" t="str">
        <f t="shared" si="257"/>
        <v/>
      </c>
      <c r="V316" s="24">
        <f t="shared" si="258"/>
        <v>0</v>
      </c>
      <c r="W316" s="41" t="str">
        <f t="shared" si="259"/>
        <v/>
      </c>
      <c r="X316" s="24">
        <f t="shared" si="260"/>
        <v>0</v>
      </c>
      <c r="Y316" s="41" t="str">
        <f t="shared" si="261"/>
        <v/>
      </c>
      <c r="Z316" s="24">
        <f t="shared" si="262"/>
        <v>0</v>
      </c>
      <c r="AA316" s="41" t="str">
        <f t="shared" si="263"/>
        <v/>
      </c>
      <c r="AB316" s="24">
        <f t="shared" si="264"/>
        <v>0</v>
      </c>
      <c r="AC316" s="41" t="str">
        <f t="shared" si="265"/>
        <v/>
      </c>
      <c r="AD316" s="24">
        <f t="shared" si="266"/>
        <v>0</v>
      </c>
      <c r="AE316" s="41" t="str">
        <f t="shared" si="267"/>
        <v/>
      </c>
      <c r="AF316" s="24">
        <f t="shared" si="268"/>
        <v>0</v>
      </c>
      <c r="AG316" s="41" t="str">
        <f t="shared" si="269"/>
        <v/>
      </c>
      <c r="AH316" s="24">
        <f t="shared" si="270"/>
        <v>0</v>
      </c>
      <c r="AI316" s="41" t="str">
        <f t="shared" si="271"/>
        <v/>
      </c>
      <c r="AJ316" s="24">
        <f t="shared" si="272"/>
        <v>0</v>
      </c>
      <c r="AK316" s="41" t="str">
        <f t="shared" si="273"/>
        <v/>
      </c>
    </row>
    <row r="317" spans="6:37" ht="12" thickBot="1" x14ac:dyDescent="0.25">
      <c r="F317" s="528">
        <f t="shared" si="246"/>
        <v>0.9921875</v>
      </c>
      <c r="G317" s="33">
        <v>2</v>
      </c>
      <c r="H317" s="529">
        <f t="shared" si="247"/>
        <v>127</v>
      </c>
      <c r="I317" s="47" t="str">
        <f t="shared" si="245"/>
        <v>X7;</v>
      </c>
      <c r="J317" s="48">
        <v>2</v>
      </c>
      <c r="K317" s="106">
        <f t="shared" si="248"/>
        <v>0.88194444444444442</v>
      </c>
      <c r="L317" s="49" t="str">
        <f>INDEX(powers!$H$2:$H$75,33+J317)</f>
        <v>gross</v>
      </c>
      <c r="M317" s="530" t="str">
        <f t="shared" si="249"/>
        <v>0</v>
      </c>
      <c r="N317" s="531">
        <f t="shared" si="250"/>
        <v>10.583333333333332</v>
      </c>
      <c r="O317" s="532" t="str">
        <f t="shared" si="251"/>
        <v>X</v>
      </c>
      <c r="P317" s="531">
        <f t="shared" si="252"/>
        <v>6.9999999999999858</v>
      </c>
      <c r="Q317" s="532" t="str">
        <f t="shared" si="253"/>
        <v>7</v>
      </c>
      <c r="R317" s="531">
        <f t="shared" si="254"/>
        <v>11.999999999999829</v>
      </c>
      <c r="S317" s="532" t="str">
        <f t="shared" si="255"/>
        <v/>
      </c>
      <c r="T317" s="531">
        <f t="shared" si="256"/>
        <v>11.999999999997954</v>
      </c>
      <c r="U317" s="532" t="str">
        <f t="shared" si="257"/>
        <v/>
      </c>
      <c r="V317" s="531">
        <f t="shared" si="258"/>
        <v>11.999999999975444</v>
      </c>
      <c r="W317" s="532" t="str">
        <f t="shared" si="259"/>
        <v/>
      </c>
      <c r="X317" s="531">
        <f t="shared" si="260"/>
        <v>11.999999999705324</v>
      </c>
      <c r="Y317" s="532" t="str">
        <f t="shared" si="261"/>
        <v/>
      </c>
      <c r="Z317" s="531">
        <f t="shared" si="262"/>
        <v>11.999999996463885</v>
      </c>
      <c r="AA317" s="532" t="str">
        <f t="shared" si="263"/>
        <v/>
      </c>
      <c r="AB317" s="531">
        <f t="shared" si="264"/>
        <v>11.999999957566615</v>
      </c>
      <c r="AC317" s="532" t="str">
        <f t="shared" si="265"/>
        <v/>
      </c>
      <c r="AD317" s="531">
        <f t="shared" si="266"/>
        <v>11.999999490799382</v>
      </c>
      <c r="AE317" s="532" t="str">
        <f t="shared" si="267"/>
        <v/>
      </c>
      <c r="AF317" s="531">
        <f t="shared" si="268"/>
        <v>11.999993889592588</v>
      </c>
      <c r="AG317" s="532" t="str">
        <f t="shared" si="269"/>
        <v/>
      </c>
      <c r="AH317" s="531">
        <f t="shared" si="270"/>
        <v>11.999926675111055</v>
      </c>
      <c r="AI317" s="532" t="str">
        <f t="shared" si="271"/>
        <v/>
      </c>
      <c r="AJ317" s="531">
        <f t="shared" si="272"/>
        <v>11.999120101332664</v>
      </c>
      <c r="AK317" s="532" t="str">
        <f t="shared" si="273"/>
        <v/>
      </c>
    </row>
  </sheetData>
  <mergeCells count="72">
    <mergeCell ref="G1:J1"/>
    <mergeCell ref="J17:K17"/>
    <mergeCell ref="A19:A22"/>
    <mergeCell ref="A23:A32"/>
    <mergeCell ref="A33:A132"/>
    <mergeCell ref="B23:B26"/>
    <mergeCell ref="B27:B29"/>
    <mergeCell ref="B30:B32"/>
    <mergeCell ref="B33:B80"/>
    <mergeCell ref="B81:B110"/>
    <mergeCell ref="B111:B132"/>
    <mergeCell ref="C33:C42"/>
    <mergeCell ref="C43:C49"/>
    <mergeCell ref="C50:C57"/>
    <mergeCell ref="C58:C64"/>
    <mergeCell ref="C65:C71"/>
    <mergeCell ref="C72:C80"/>
    <mergeCell ref="C81:C87"/>
    <mergeCell ref="D33:D34"/>
    <mergeCell ref="D35:D36"/>
    <mergeCell ref="D37:D39"/>
    <mergeCell ref="D40:D42"/>
    <mergeCell ref="D43:D44"/>
    <mergeCell ref="D76:D78"/>
    <mergeCell ref="D45:D46"/>
    <mergeCell ref="D47:D49"/>
    <mergeCell ref="D50:D52"/>
    <mergeCell ref="D53:D54"/>
    <mergeCell ref="D55:D56"/>
    <mergeCell ref="D58:D60"/>
    <mergeCell ref="C88:C98"/>
    <mergeCell ref="C99:C110"/>
    <mergeCell ref="C111:C119"/>
    <mergeCell ref="C120:C127"/>
    <mergeCell ref="C128:C132"/>
    <mergeCell ref="C23:E23"/>
    <mergeCell ref="C24:E24"/>
    <mergeCell ref="D96:D98"/>
    <mergeCell ref="D99:D104"/>
    <mergeCell ref="D105:D110"/>
    <mergeCell ref="D79:D80"/>
    <mergeCell ref="D81:D82"/>
    <mergeCell ref="D83:D84"/>
    <mergeCell ref="D85:D87"/>
    <mergeCell ref="D88:D91"/>
    <mergeCell ref="D92:D95"/>
    <mergeCell ref="D61:D62"/>
    <mergeCell ref="D63:D64"/>
    <mergeCell ref="D65:D67"/>
    <mergeCell ref="D68:D71"/>
    <mergeCell ref="D72:D75"/>
    <mergeCell ref="A18:E18"/>
    <mergeCell ref="B19:E19"/>
    <mergeCell ref="B20:E20"/>
    <mergeCell ref="B21:E21"/>
    <mergeCell ref="B22:E22"/>
    <mergeCell ref="C31:E31"/>
    <mergeCell ref="C32:E32"/>
    <mergeCell ref="D57:E57"/>
    <mergeCell ref="D132:E132"/>
    <mergeCell ref="C25:E25"/>
    <mergeCell ref="C26:E26"/>
    <mergeCell ref="C27:E27"/>
    <mergeCell ref="C28:E28"/>
    <mergeCell ref="C29:E29"/>
    <mergeCell ref="C30:E30"/>
    <mergeCell ref="D120:D125"/>
    <mergeCell ref="D126:D127"/>
    <mergeCell ref="D128:D131"/>
    <mergeCell ref="D111:D113"/>
    <mergeCell ref="D114:D117"/>
    <mergeCell ref="D118:D119"/>
  </mergeCells>
  <phoneticPr fontId="1"/>
  <dataValidations count="1">
    <dataValidation showInputMessage="1" showErrorMessage="1" sqref="H15" xr:uid="{00000000-0002-0000-0A00-000000000000}"/>
  </dataValidations>
  <printOptions horizontalCentered="1"/>
  <pageMargins left="0.70866141732283472" right="0.70866141732283472" top="0.74803149606299213" bottom="0.74803149606299213" header="0.31496062992125984" footer="0.31496062992125984"/>
  <pageSetup paperSize="9" scale="52" orientation="portrait" r:id="rId1"/>
  <headerFooter>
    <oddHeade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2:AJ237"/>
  <sheetViews>
    <sheetView topLeftCell="A56" workbookViewId="0">
      <selection activeCell="A77" sqref="A77"/>
    </sheetView>
  </sheetViews>
  <sheetFormatPr defaultColWidth="9" defaultRowHeight="11.5" x14ac:dyDescent="0.2"/>
  <cols>
    <col min="1" max="1" width="16" style="14" customWidth="1"/>
    <col min="2" max="4" width="11.6328125" style="14" customWidth="1"/>
    <col min="5" max="5" width="13.36328125" style="14" customWidth="1"/>
    <col min="6" max="6" width="3.453125" style="14" customWidth="1"/>
    <col min="7" max="7" width="13.81640625" style="14" customWidth="1"/>
    <col min="8" max="8" width="13.1796875" style="14" customWidth="1"/>
    <col min="9" max="9" width="3.6328125" style="14" customWidth="1"/>
    <col min="10" max="10" width="9.1796875" style="14" customWidth="1"/>
    <col min="11" max="11" width="14.6328125" style="14" customWidth="1"/>
    <col min="12" max="12" width="3.1796875" style="14" customWidth="1"/>
    <col min="13" max="13" width="8.6328125" style="14" customWidth="1"/>
    <col min="14" max="14" width="3.1796875" style="14" customWidth="1"/>
    <col min="15" max="15" width="9" style="14" customWidth="1"/>
    <col min="16" max="16" width="3.1796875" style="14" customWidth="1"/>
    <col min="17" max="17" width="9" style="14" customWidth="1"/>
    <col min="18" max="18" width="3.1796875" style="14" customWidth="1"/>
    <col min="19" max="19" width="9" style="14" customWidth="1"/>
    <col min="20" max="20" width="3.1796875" style="14" customWidth="1"/>
    <col min="21" max="21" width="9" style="14" customWidth="1"/>
    <col min="22" max="22" width="3.1796875" style="14" customWidth="1"/>
    <col min="23" max="23" width="9" style="14" customWidth="1"/>
    <col min="24" max="24" width="3.1796875" style="14" customWidth="1"/>
    <col min="25" max="25" width="9" style="14" customWidth="1"/>
    <col min="26" max="26" width="3.1796875" style="14" customWidth="1"/>
    <col min="27" max="27" width="9" style="14" customWidth="1"/>
    <col min="28" max="28" width="3.1796875" style="14" customWidth="1"/>
    <col min="29" max="29" width="9" style="14" customWidth="1"/>
    <col min="30" max="30" width="3.1796875" style="14" customWidth="1"/>
    <col min="31" max="31" width="9" style="14" customWidth="1"/>
    <col min="32" max="32" width="3.1796875" style="14" customWidth="1"/>
    <col min="33" max="33" width="9" style="14" customWidth="1"/>
    <col min="34" max="34" width="3.1796875" style="14" customWidth="1"/>
    <col min="35" max="35" width="9" style="14" customWidth="1"/>
    <col min="36" max="36" width="3.1796875" style="14" customWidth="1"/>
    <col min="37" max="16384" width="9" style="14"/>
  </cols>
  <sheetData>
    <row r="2" spans="1:36" x14ac:dyDescent="0.2">
      <c r="K2" s="14" t="s">
        <v>1000</v>
      </c>
      <c r="M2" s="308">
        <v>1</v>
      </c>
    </row>
    <row r="3" spans="1:36" x14ac:dyDescent="0.2">
      <c r="K3" s="14" t="s">
        <v>1001</v>
      </c>
      <c r="M3" s="308">
        <f>Rydberg!K$39</f>
        <v>1.0004360641284276</v>
      </c>
      <c r="O3" s="14" t="s">
        <v>1013</v>
      </c>
    </row>
    <row r="4" spans="1:36" x14ac:dyDescent="0.2">
      <c r="K4" s="14" t="s">
        <v>1009</v>
      </c>
      <c r="M4" s="308">
        <f>Bohr!K$39</f>
        <v>1.0038955805699634</v>
      </c>
    </row>
    <row r="5" spans="1:36" x14ac:dyDescent="0.2">
      <c r="K5" s="14" t="s">
        <v>1002</v>
      </c>
      <c r="M5" s="308">
        <f>Clock!K$39</f>
        <v>1.0013524494285866</v>
      </c>
      <c r="O5" s="14" t="s">
        <v>1014</v>
      </c>
    </row>
    <row r="6" spans="1:36" x14ac:dyDescent="0.2">
      <c r="K6" s="14" t="s">
        <v>261</v>
      </c>
      <c r="M6" s="308">
        <f>Clock_by_Rydberg!K$39</f>
        <v>1.001352744549842</v>
      </c>
      <c r="O6" s="14" t="s">
        <v>1012</v>
      </c>
    </row>
    <row r="7" spans="1:36" ht="12" thickBot="1" x14ac:dyDescent="0.25">
      <c r="A7" s="138" t="s">
        <v>1015</v>
      </c>
      <c r="B7" s="325" t="s">
        <v>1016</v>
      </c>
      <c r="D7" s="645" t="s">
        <v>1000</v>
      </c>
      <c r="E7" s="645"/>
      <c r="F7" s="326" t="s">
        <v>1017</v>
      </c>
      <c r="G7" s="324">
        <v>1.0013527423362005</v>
      </c>
      <c r="M7" s="308"/>
    </row>
    <row r="8" spans="1:36" ht="14.25" customHeight="1" x14ac:dyDescent="0.2">
      <c r="A8" s="649" t="s">
        <v>1007</v>
      </c>
      <c r="B8" s="651" t="s">
        <v>1010</v>
      </c>
      <c r="C8" s="651" t="s">
        <v>1011</v>
      </c>
      <c r="D8" s="647" t="s">
        <v>1003</v>
      </c>
      <c r="E8" s="648"/>
      <c r="F8" s="309"/>
      <c r="G8" s="309"/>
      <c r="H8" s="309"/>
      <c r="I8" s="311"/>
      <c r="J8" s="312"/>
      <c r="K8" s="310"/>
    </row>
    <row r="9" spans="1:36" x14ac:dyDescent="0.2">
      <c r="A9" s="650"/>
      <c r="B9" s="652"/>
      <c r="C9" s="652"/>
      <c r="D9" s="313" t="s">
        <v>1005</v>
      </c>
      <c r="E9" s="313" t="s">
        <v>1006</v>
      </c>
      <c r="F9" s="52" t="s">
        <v>54</v>
      </c>
      <c r="G9" s="34" t="s">
        <v>1004</v>
      </c>
      <c r="H9" s="34" t="s">
        <v>45</v>
      </c>
      <c r="I9" s="583" t="s">
        <v>80</v>
      </c>
      <c r="J9" s="646"/>
      <c r="K9" s="120" t="s">
        <v>213</v>
      </c>
      <c r="L9" s="255">
        <v>0</v>
      </c>
      <c r="M9" s="256"/>
      <c r="N9" s="256">
        <f>L9+1</f>
        <v>1</v>
      </c>
      <c r="O9" s="256"/>
      <c r="P9" s="256">
        <f>N9+1</f>
        <v>2</v>
      </c>
      <c r="Q9" s="256"/>
      <c r="R9" s="256">
        <f>P9+1</f>
        <v>3</v>
      </c>
      <c r="S9" s="256"/>
      <c r="T9" s="256">
        <f>R9+1</f>
        <v>4</v>
      </c>
      <c r="U9" s="256"/>
      <c r="V9" s="256">
        <f>T9+1</f>
        <v>5</v>
      </c>
      <c r="W9" s="256"/>
      <c r="X9" s="256">
        <f>V9+1</f>
        <v>6</v>
      </c>
      <c r="Y9" s="256"/>
      <c r="Z9" s="256">
        <f>X9+1</f>
        <v>7</v>
      </c>
      <c r="AA9" s="256"/>
      <c r="AB9" s="256">
        <f>Z9+1</f>
        <v>8</v>
      </c>
      <c r="AC9" s="256"/>
      <c r="AD9" s="256">
        <f>AB9+1</f>
        <v>9</v>
      </c>
      <c r="AE9" s="256"/>
      <c r="AF9" s="256">
        <f>AD9+1</f>
        <v>10</v>
      </c>
      <c r="AG9" s="256"/>
      <c r="AH9" s="256">
        <f>AF9+1</f>
        <v>11</v>
      </c>
      <c r="AI9" s="256"/>
      <c r="AJ9" s="256">
        <f>AH9+1</f>
        <v>12</v>
      </c>
    </row>
    <row r="10" spans="1:36" x14ac:dyDescent="0.2">
      <c r="A10" s="314" t="s">
        <v>763</v>
      </c>
      <c r="B10" s="315">
        <v>1</v>
      </c>
      <c r="C10" s="316" t="s">
        <v>762</v>
      </c>
      <c r="D10" s="317">
        <v>1.0079400000000001</v>
      </c>
      <c r="E10" s="316"/>
      <c r="F10" s="8">
        <v>6</v>
      </c>
      <c r="G10" s="21">
        <f t="shared" ref="G10:G73" si="0">MAX(D10,E10)*G$7+0.0000000000001</f>
        <v>1.0093034831104499</v>
      </c>
      <c r="H10" s="37" t="str">
        <f>L10&amp;";"&amp;N10&amp;P10&amp;R10&amp;T10&amp;V10&amp;X10&amp;Z10&amp;AB10&amp;AD10&amp;AF10&amp;AH10&amp;AJ10</f>
        <v>1;0140E0</v>
      </c>
      <c r="I10" s="38">
        <v>0</v>
      </c>
      <c r="J10" s="128">
        <f t="shared" ref="J10:J73" si="1">G10/POWER(12,I10)</f>
        <v>1.0093034831104499</v>
      </c>
      <c r="K10" s="39" t="str">
        <f>INDEX(powers!$H$2:$H$75,33+I10)</f>
        <v xml:space="preserve"> </v>
      </c>
      <c r="L10" s="40" t="str">
        <f t="shared" ref="L10:L73" si="2">IF($F10&gt;=L$9,MID($I$9,IF($F10&gt;L$9,INT(J10),ROUND(J10,0))+1,1),"")</f>
        <v>1</v>
      </c>
      <c r="M10" s="24">
        <f>(J10-INT(J10))*12</f>
        <v>0.11164179732539914</v>
      </c>
      <c r="N10" s="41" t="str">
        <f t="shared" ref="N10:N73" si="3">IF($F10&gt;=N$9,MID($I$9,IF($F10&gt;N$9,INT(M10),ROUND(M10,0))+1,1),"")</f>
        <v>0</v>
      </c>
      <c r="O10" s="24">
        <f>(M10-INT(M10))*12</f>
        <v>1.3397015679047897</v>
      </c>
      <c r="P10" s="41" t="str">
        <f t="shared" ref="P10:P73" si="4">IF($F10&gt;=P$9,MID($I$9,IF($F10&gt;P$9,INT(O10),ROUND(O10,0))+1,1),"")</f>
        <v>1</v>
      </c>
      <c r="Q10" s="24">
        <f>(O10-INT(O10))*12</f>
        <v>4.076418814857476</v>
      </c>
      <c r="R10" s="41" t="str">
        <f t="shared" ref="R10:R73" si="5">IF($F10&gt;=R$9,MID($I$9,IF($F10&gt;R$9,INT(Q10),ROUND(Q10,0))+1,1),"")</f>
        <v>4</v>
      </c>
      <c r="S10" s="24">
        <f>(Q10-INT(Q10))*12</f>
        <v>0.91702577828971243</v>
      </c>
      <c r="T10" s="41" t="str">
        <f t="shared" ref="T10:T73" si="6">IF($F10&gt;=T$9,MID($I$9,IF($F10&gt;T$9,INT(S10),ROUND(S10,0))+1,1),"")</f>
        <v>0</v>
      </c>
      <c r="U10" s="24">
        <f>(S10-INT(S10))*12</f>
        <v>11.004309339476549</v>
      </c>
      <c r="V10" s="41" t="str">
        <f t="shared" ref="V10:V73" si="7">IF($F10&gt;=V$9,MID($I$9,IF($F10&gt;V$9,INT(U10),ROUND(U10,0))+1,1),"")</f>
        <v>E</v>
      </c>
      <c r="W10" s="24">
        <f>(U10-INT(U10))*12</f>
        <v>5.1712073718590545E-2</v>
      </c>
      <c r="X10" s="41" t="str">
        <f t="shared" ref="X10:X73" si="8">IF($F10&gt;=X$9,MID($I$9,IF($F10&gt;X$9,INT(W10),ROUND(W10,0))+1,1),"")</f>
        <v>0</v>
      </c>
      <c r="Y10" s="24">
        <f>(W10-INT(W10))*12</f>
        <v>0.62054488462308655</v>
      </c>
      <c r="Z10" s="41" t="str">
        <f t="shared" ref="Z10:Z73" si="9">IF($F10&gt;=Z$9,MID($I$9,IF($F10&gt;Z$9,INT(Y10),ROUND(Y10,0))+1,1),"")</f>
        <v/>
      </c>
      <c r="AA10" s="24">
        <f>(Y10-INT(Y10))*12</f>
        <v>7.4465386154770385</v>
      </c>
      <c r="AB10" s="41" t="str">
        <f t="shared" ref="AB10:AB73" si="10">IF($F10&gt;=AB$9,MID($I$9,IF($F10&gt;AB$9,INT(AA10),ROUND(AA10,0))+1,1),"")</f>
        <v/>
      </c>
      <c r="AC10" s="24">
        <f>(AA10-INT(AA10))*12</f>
        <v>5.3584633857244626</v>
      </c>
      <c r="AD10" s="41" t="str">
        <f t="shared" ref="AD10:AD73" si="11">IF($F10&gt;=AD$9,MID($I$9,IF($F10&gt;AD$9,INT(AC10),ROUND(AC10,0))+1,1),"")</f>
        <v/>
      </c>
      <c r="AE10" s="24">
        <f>(AC10-INT(AC10))*12</f>
        <v>4.3015606286935508</v>
      </c>
      <c r="AF10" s="41" t="str">
        <f t="shared" ref="AF10:AF73" si="12">IF($F10&gt;=AF$9,MID($I$9,IF($F10&gt;AF$9,INT(AE10),ROUND(AE10,0))+1,1),"")</f>
        <v/>
      </c>
      <c r="AG10" s="24">
        <f>(AE10-INT(AE10))*12</f>
        <v>3.6187275443226099</v>
      </c>
      <c r="AH10" s="41" t="str">
        <f t="shared" ref="AH10:AH73" si="13">IF($F10&gt;=AH$9,MID($I$9,IF($F10&gt;AH$9,INT(AG10),ROUND(AG10,0))+1,1),"")</f>
        <v/>
      </c>
      <c r="AI10" s="24">
        <f>(AG10-INT(AG10))*12</f>
        <v>7.4247305318713188</v>
      </c>
      <c r="AJ10" s="41" t="str">
        <f t="shared" ref="AJ10:AJ73" si="14">IF($F10&gt;=AJ$9,MID($I$9,IF($F10&gt;AJ$9,INT(AI10),ROUND(AI10,0))+1,1),"")</f>
        <v/>
      </c>
    </row>
    <row r="11" spans="1:36" x14ac:dyDescent="0.2">
      <c r="A11" s="314"/>
      <c r="B11" s="315"/>
      <c r="C11" s="316"/>
      <c r="D11" s="317"/>
      <c r="E11" s="316">
        <v>1.0078250321</v>
      </c>
      <c r="F11" s="8">
        <v>10</v>
      </c>
      <c r="G11" s="21">
        <f t="shared" si="0"/>
        <v>1.0091883596885043</v>
      </c>
      <c r="H11" s="37" t="str">
        <f>L11&amp;";"&amp;N11&amp;P11&amp;R11&amp;T11&amp;V11&amp;X11&amp;Z11&amp;AB11&amp;AD11&amp;AF11&amp;AH11&amp;AJ11</f>
        <v>1;013X643659</v>
      </c>
      <c r="I11" s="38">
        <v>0</v>
      </c>
      <c r="J11" s="128">
        <f t="shared" si="1"/>
        <v>1.0091883596885043</v>
      </c>
      <c r="K11" s="39" t="str">
        <f>INDEX(powers!$H$2:$H$75,33+I11)</f>
        <v xml:space="preserve"> </v>
      </c>
      <c r="L11" s="40" t="str">
        <f t="shared" si="2"/>
        <v>1</v>
      </c>
      <c r="M11" s="24">
        <f>(J11-INT(J11))*12</f>
        <v>0.11026031626205146</v>
      </c>
      <c r="N11" s="41" t="str">
        <f t="shared" si="3"/>
        <v>0</v>
      </c>
      <c r="O11" s="24">
        <f>(M11-INT(M11))*12</f>
        <v>1.3231237951446175</v>
      </c>
      <c r="P11" s="41" t="str">
        <f t="shared" si="4"/>
        <v>1</v>
      </c>
      <c r="Q11" s="24">
        <f>(O11-INT(O11))*12</f>
        <v>3.8774855417354104</v>
      </c>
      <c r="R11" s="41" t="str">
        <f t="shared" si="5"/>
        <v>3</v>
      </c>
      <c r="S11" s="24">
        <f>(Q11-INT(Q11))*12</f>
        <v>10.529826500824925</v>
      </c>
      <c r="T11" s="41" t="str">
        <f t="shared" si="6"/>
        <v>X</v>
      </c>
      <c r="U11" s="24">
        <f>(S11-INT(S11))*12</f>
        <v>6.3579180098990946</v>
      </c>
      <c r="V11" s="41" t="str">
        <f t="shared" si="7"/>
        <v>6</v>
      </c>
      <c r="W11" s="24">
        <f>(U11-INT(U11))*12</f>
        <v>4.2950161187891354</v>
      </c>
      <c r="X11" s="41" t="str">
        <f t="shared" si="8"/>
        <v>4</v>
      </c>
      <c r="Y11" s="24">
        <f>(W11-INT(W11))*12</f>
        <v>3.5401934254696243</v>
      </c>
      <c r="Z11" s="41" t="str">
        <f t="shared" si="9"/>
        <v>3</v>
      </c>
      <c r="AA11" s="24">
        <f>(Y11-INT(Y11))*12</f>
        <v>6.4823211056354921</v>
      </c>
      <c r="AB11" s="41" t="str">
        <f t="shared" si="10"/>
        <v>6</v>
      </c>
      <c r="AC11" s="24">
        <f>(AA11-INT(AA11))*12</f>
        <v>5.7878532676259056</v>
      </c>
      <c r="AD11" s="41" t="str">
        <f t="shared" si="11"/>
        <v>5</v>
      </c>
      <c r="AE11" s="24">
        <f>(AC11-INT(AC11))*12</f>
        <v>9.4542392115108669</v>
      </c>
      <c r="AF11" s="41" t="str">
        <f t="shared" si="12"/>
        <v>9</v>
      </c>
      <c r="AG11" s="24">
        <f>(AE11-INT(AE11))*12</f>
        <v>5.4508705381304026</v>
      </c>
      <c r="AH11" s="41" t="str">
        <f t="shared" si="13"/>
        <v/>
      </c>
      <c r="AI11" s="24">
        <f>(AG11-INT(AG11))*12</f>
        <v>5.4104464575648308</v>
      </c>
      <c r="AJ11" s="41" t="str">
        <f t="shared" si="14"/>
        <v/>
      </c>
    </row>
    <row r="12" spans="1:36" ht="11.25" customHeight="1" x14ac:dyDescent="0.2">
      <c r="A12" s="314" t="s">
        <v>765</v>
      </c>
      <c r="B12" s="315"/>
      <c r="C12" s="316" t="s">
        <v>764</v>
      </c>
      <c r="D12" s="317"/>
      <c r="E12" s="316">
        <v>2.0141018000000002</v>
      </c>
      <c r="F12" s="8">
        <v>8</v>
      </c>
      <c r="G12" s="21">
        <f t="shared" si="0"/>
        <v>2.0168263607743779</v>
      </c>
      <c r="H12" s="37" t="str">
        <f t="shared" ref="H12:H71" si="15">L12&amp;";"&amp;N12&amp;P12&amp;R12&amp;T12&amp;V12&amp;X12&amp;Z12&amp;AB12&amp;AD12&amp;AF12&amp;AH12&amp;AJ12</f>
        <v>2;0250XE2E</v>
      </c>
      <c r="I12" s="38">
        <v>0</v>
      </c>
      <c r="J12" s="128">
        <f t="shared" si="1"/>
        <v>2.0168263607743779</v>
      </c>
      <c r="K12" s="39" t="str">
        <f>INDEX(powers!$H$2:$H$75,33+I12)</f>
        <v xml:space="preserve"> </v>
      </c>
      <c r="L12" s="40" t="str">
        <f t="shared" si="2"/>
        <v>2</v>
      </c>
      <c r="M12" s="24">
        <f t="shared" ref="M12:M71" si="16">(J12-INT(J12))*12</f>
        <v>0.20191632929253522</v>
      </c>
      <c r="N12" s="41" t="str">
        <f t="shared" si="3"/>
        <v>0</v>
      </c>
      <c r="O12" s="24">
        <f t="shared" ref="O12:O71" si="17">(M12-INT(M12))*12</f>
        <v>2.4229959515104227</v>
      </c>
      <c r="P12" s="41" t="str">
        <f t="shared" si="4"/>
        <v>2</v>
      </c>
      <c r="Q12" s="24">
        <f t="shared" ref="Q12:Q71" si="18">(O12-INT(O12))*12</f>
        <v>5.0759514181250722</v>
      </c>
      <c r="R12" s="41" t="str">
        <f t="shared" si="5"/>
        <v>5</v>
      </c>
      <c r="S12" s="24">
        <f t="shared" ref="S12:S71" si="19">(Q12-INT(Q12))*12</f>
        <v>0.91141701750086668</v>
      </c>
      <c r="T12" s="41" t="str">
        <f t="shared" si="6"/>
        <v>0</v>
      </c>
      <c r="U12" s="24">
        <f t="shared" ref="U12:U71" si="20">(S12-INT(S12))*12</f>
        <v>10.9370042100104</v>
      </c>
      <c r="V12" s="41" t="str">
        <f t="shared" si="7"/>
        <v>X</v>
      </c>
      <c r="W12" s="24">
        <f t="shared" ref="W12:W71" si="21">(U12-INT(U12))*12</f>
        <v>11.244050520124802</v>
      </c>
      <c r="X12" s="41" t="str">
        <f t="shared" si="8"/>
        <v>E</v>
      </c>
      <c r="Y12" s="24">
        <f t="shared" ref="Y12:Y71" si="22">(W12-INT(W12))*12</f>
        <v>2.9286062414976186</v>
      </c>
      <c r="Z12" s="41" t="str">
        <f t="shared" si="9"/>
        <v>2</v>
      </c>
      <c r="AA12" s="24">
        <f t="shared" ref="AA12:AA71" si="23">(Y12-INT(Y12))*12</f>
        <v>11.143274897971423</v>
      </c>
      <c r="AB12" s="41" t="str">
        <f t="shared" si="10"/>
        <v>E</v>
      </c>
      <c r="AC12" s="24">
        <f t="shared" ref="AC12:AC71" si="24">(AA12-INT(AA12))*12</f>
        <v>1.7192987756570801</v>
      </c>
      <c r="AD12" s="41" t="str">
        <f t="shared" si="11"/>
        <v/>
      </c>
      <c r="AE12" s="24">
        <f t="shared" ref="AE12:AE71" si="25">(AC12-INT(AC12))*12</f>
        <v>8.6315853078849614</v>
      </c>
      <c r="AF12" s="41" t="str">
        <f t="shared" si="12"/>
        <v/>
      </c>
      <c r="AG12" s="24">
        <f t="shared" ref="AG12:AG71" si="26">(AE12-INT(AE12))*12</f>
        <v>7.5790236946195364</v>
      </c>
      <c r="AH12" s="41" t="str">
        <f t="shared" si="13"/>
        <v/>
      </c>
      <c r="AI12" s="24">
        <f t="shared" ref="AI12:AI71" si="27">(AG12-INT(AG12))*12</f>
        <v>6.9482843354344368</v>
      </c>
      <c r="AJ12" s="41" t="str">
        <f t="shared" si="14"/>
        <v/>
      </c>
    </row>
    <row r="13" spans="1:36" x14ac:dyDescent="0.2">
      <c r="A13" s="314" t="s">
        <v>767</v>
      </c>
      <c r="B13" s="315">
        <v>2</v>
      </c>
      <c r="C13" s="316" t="s">
        <v>766</v>
      </c>
      <c r="D13" s="317">
        <v>4.0026020000000004</v>
      </c>
      <c r="E13" s="318"/>
      <c r="F13" s="8">
        <v>7</v>
      </c>
      <c r="G13" s="21">
        <f t="shared" si="0"/>
        <v>4.0080164891804619</v>
      </c>
      <c r="H13" s="37" t="str">
        <f t="shared" si="15"/>
        <v>4;011X291</v>
      </c>
      <c r="I13" s="38">
        <v>0</v>
      </c>
      <c r="J13" s="128">
        <f t="shared" si="1"/>
        <v>4.0080164891804619</v>
      </c>
      <c r="K13" s="39" t="str">
        <f>INDEX(powers!$H$2:$H$75,33+I13)</f>
        <v xml:space="preserve"> </v>
      </c>
      <c r="L13" s="40" t="str">
        <f t="shared" si="2"/>
        <v>4</v>
      </c>
      <c r="M13" s="24">
        <f t="shared" si="16"/>
        <v>9.6197870165543264E-2</v>
      </c>
      <c r="N13" s="41" t="str">
        <f t="shared" si="3"/>
        <v>0</v>
      </c>
      <c r="O13" s="24">
        <f t="shared" si="17"/>
        <v>1.1543744419865192</v>
      </c>
      <c r="P13" s="41" t="str">
        <f t="shared" si="4"/>
        <v>1</v>
      </c>
      <c r="Q13" s="24">
        <f t="shared" si="18"/>
        <v>1.8524933038382301</v>
      </c>
      <c r="R13" s="41" t="str">
        <f t="shared" si="5"/>
        <v>1</v>
      </c>
      <c r="S13" s="24">
        <f t="shared" si="19"/>
        <v>10.229919646058761</v>
      </c>
      <c r="T13" s="41" t="str">
        <f t="shared" si="6"/>
        <v>X</v>
      </c>
      <c r="U13" s="24">
        <f t="shared" si="20"/>
        <v>2.759035752705131</v>
      </c>
      <c r="V13" s="41" t="str">
        <f t="shared" si="7"/>
        <v>2</v>
      </c>
      <c r="W13" s="24">
        <f t="shared" si="21"/>
        <v>9.1084290324615722</v>
      </c>
      <c r="X13" s="41" t="str">
        <f t="shared" si="8"/>
        <v>9</v>
      </c>
      <c r="Y13" s="24">
        <f t="shared" si="22"/>
        <v>1.3011483895388665</v>
      </c>
      <c r="Z13" s="41" t="str">
        <f t="shared" si="9"/>
        <v>1</v>
      </c>
      <c r="AA13" s="24">
        <f t="shared" si="23"/>
        <v>3.6137806744663976</v>
      </c>
      <c r="AB13" s="41" t="str">
        <f t="shared" si="10"/>
        <v/>
      </c>
      <c r="AC13" s="24">
        <f t="shared" si="24"/>
        <v>7.3653680935967714</v>
      </c>
      <c r="AD13" s="41" t="str">
        <f t="shared" si="11"/>
        <v/>
      </c>
      <c r="AE13" s="24">
        <f t="shared" si="25"/>
        <v>4.3844171231612563</v>
      </c>
      <c r="AF13" s="41" t="str">
        <f t="shared" si="12"/>
        <v/>
      </c>
      <c r="AG13" s="24">
        <f t="shared" si="26"/>
        <v>4.6130054779350758</v>
      </c>
      <c r="AH13" s="41" t="str">
        <f t="shared" si="13"/>
        <v/>
      </c>
      <c r="AI13" s="24">
        <f t="shared" si="27"/>
        <v>7.3560657352209091</v>
      </c>
      <c r="AJ13" s="41" t="str">
        <f t="shared" si="14"/>
        <v/>
      </c>
    </row>
    <row r="14" spans="1:36" x14ac:dyDescent="0.2">
      <c r="A14" s="314"/>
      <c r="B14" s="315"/>
      <c r="C14" s="316"/>
      <c r="D14" s="317"/>
      <c r="E14" s="316">
        <v>4.0026032496999999</v>
      </c>
      <c r="F14" s="8">
        <v>9</v>
      </c>
      <c r="G14" s="21">
        <f t="shared" si="0"/>
        <v>4.0080177405709829</v>
      </c>
      <c r="H14" s="37" t="str">
        <f t="shared" si="15"/>
        <v>4;011X30X18</v>
      </c>
      <c r="I14" s="38">
        <v>0</v>
      </c>
      <c r="J14" s="128">
        <f t="shared" si="1"/>
        <v>4.0080177405709829</v>
      </c>
      <c r="K14" s="39" t="str">
        <f>INDEX(powers!$H$2:$H$75,33+I14)</f>
        <v xml:space="preserve"> </v>
      </c>
      <c r="L14" s="40" t="str">
        <f t="shared" si="2"/>
        <v>4</v>
      </c>
      <c r="M14" s="24">
        <f t="shared" si="16"/>
        <v>9.6212886851795076E-2</v>
      </c>
      <c r="N14" s="41" t="str">
        <f t="shared" si="3"/>
        <v>0</v>
      </c>
      <c r="O14" s="24">
        <f t="shared" si="17"/>
        <v>1.1545546422215409</v>
      </c>
      <c r="P14" s="41" t="str">
        <f t="shared" si="4"/>
        <v>1</v>
      </c>
      <c r="Q14" s="24">
        <f t="shared" si="18"/>
        <v>1.854655706658491</v>
      </c>
      <c r="R14" s="41" t="str">
        <f t="shared" si="5"/>
        <v>1</v>
      </c>
      <c r="S14" s="24">
        <f t="shared" si="19"/>
        <v>10.255868479901892</v>
      </c>
      <c r="T14" s="41" t="str">
        <f t="shared" si="6"/>
        <v>X</v>
      </c>
      <c r="U14" s="24">
        <f t="shared" si="20"/>
        <v>3.0704217588227039</v>
      </c>
      <c r="V14" s="41" t="str">
        <f t="shared" si="7"/>
        <v>3</v>
      </c>
      <c r="W14" s="24">
        <f t="shared" si="21"/>
        <v>0.84506110587244621</v>
      </c>
      <c r="X14" s="41" t="str">
        <f t="shared" si="8"/>
        <v>0</v>
      </c>
      <c r="Y14" s="24">
        <f t="shared" si="22"/>
        <v>10.140733270469354</v>
      </c>
      <c r="Z14" s="41" t="str">
        <f t="shared" si="9"/>
        <v>X</v>
      </c>
      <c r="AA14" s="24">
        <f t="shared" si="23"/>
        <v>1.6887992456322536</v>
      </c>
      <c r="AB14" s="41" t="str">
        <f t="shared" si="10"/>
        <v>1</v>
      </c>
      <c r="AC14" s="24">
        <f t="shared" si="24"/>
        <v>8.265590947587043</v>
      </c>
      <c r="AD14" s="41" t="str">
        <f t="shared" si="11"/>
        <v>8</v>
      </c>
      <c r="AE14" s="24">
        <f t="shared" si="25"/>
        <v>3.1870913710445166</v>
      </c>
      <c r="AF14" s="41" t="str">
        <f t="shared" si="12"/>
        <v/>
      </c>
      <c r="AG14" s="24">
        <f t="shared" si="26"/>
        <v>2.2450964525341988</v>
      </c>
      <c r="AH14" s="41" t="str">
        <f t="shared" si="13"/>
        <v/>
      </c>
      <c r="AI14" s="24">
        <f t="shared" si="27"/>
        <v>2.9411574304103851</v>
      </c>
      <c r="AJ14" s="41" t="str">
        <f t="shared" si="14"/>
        <v/>
      </c>
    </row>
    <row r="15" spans="1:36" x14ac:dyDescent="0.2">
      <c r="A15" s="314" t="s">
        <v>769</v>
      </c>
      <c r="B15" s="315">
        <v>3</v>
      </c>
      <c r="C15" s="316" t="s">
        <v>768</v>
      </c>
      <c r="D15" s="317">
        <v>6.9409999999999998</v>
      </c>
      <c r="E15" s="316"/>
      <c r="F15" s="8">
        <v>4</v>
      </c>
      <c r="G15" s="21">
        <f t="shared" si="0"/>
        <v>6.9503893845556677</v>
      </c>
      <c r="H15" s="37" t="str">
        <f t="shared" si="15"/>
        <v>6;E4X3</v>
      </c>
      <c r="I15" s="38">
        <v>0</v>
      </c>
      <c r="J15" s="128">
        <f t="shared" si="1"/>
        <v>6.9503893845556677</v>
      </c>
      <c r="K15" s="39" t="str">
        <f>INDEX(powers!$H$2:$H$75,33+I15)</f>
        <v xml:space="preserve"> </v>
      </c>
      <c r="L15" s="40" t="str">
        <f t="shared" si="2"/>
        <v>6</v>
      </c>
      <c r="M15" s="24">
        <f t="shared" si="16"/>
        <v>11.404672614668012</v>
      </c>
      <c r="N15" s="41" t="str">
        <f t="shared" si="3"/>
        <v>E</v>
      </c>
      <c r="O15" s="24">
        <f t="shared" si="17"/>
        <v>4.8560713760161462</v>
      </c>
      <c r="P15" s="41" t="str">
        <f t="shared" si="4"/>
        <v>4</v>
      </c>
      <c r="Q15" s="24">
        <f t="shared" si="18"/>
        <v>10.272856512193755</v>
      </c>
      <c r="R15" s="41" t="str">
        <f t="shared" si="5"/>
        <v>X</v>
      </c>
      <c r="S15" s="24">
        <f t="shared" si="19"/>
        <v>3.2742781463250594</v>
      </c>
      <c r="T15" s="41" t="str">
        <f t="shared" si="6"/>
        <v>3</v>
      </c>
      <c r="U15" s="24">
        <f t="shared" si="20"/>
        <v>3.2913377559007131</v>
      </c>
      <c r="V15" s="41" t="str">
        <f t="shared" si="7"/>
        <v/>
      </c>
      <c r="W15" s="24">
        <f t="shared" si="21"/>
        <v>3.4960530708085571</v>
      </c>
      <c r="X15" s="41" t="str">
        <f t="shared" si="8"/>
        <v/>
      </c>
      <c r="Y15" s="24">
        <f t="shared" si="22"/>
        <v>5.9526368497026851</v>
      </c>
      <c r="Z15" s="41" t="str">
        <f t="shared" si="9"/>
        <v/>
      </c>
      <c r="AA15" s="24">
        <f t="shared" si="23"/>
        <v>11.431642196432222</v>
      </c>
      <c r="AB15" s="41" t="str">
        <f t="shared" si="10"/>
        <v/>
      </c>
      <c r="AC15" s="24">
        <f t="shared" si="24"/>
        <v>5.1797063571866602</v>
      </c>
      <c r="AD15" s="41" t="str">
        <f t="shared" si="11"/>
        <v/>
      </c>
      <c r="AE15" s="24">
        <f t="shared" si="25"/>
        <v>2.156476286239922</v>
      </c>
      <c r="AF15" s="41" t="str">
        <f t="shared" si="12"/>
        <v/>
      </c>
      <c r="AG15" s="24">
        <f t="shared" si="26"/>
        <v>1.8777154348790646</v>
      </c>
      <c r="AH15" s="41" t="str">
        <f t="shared" si="13"/>
        <v/>
      </c>
      <c r="AI15" s="24">
        <f t="shared" si="27"/>
        <v>10.532585218548775</v>
      </c>
      <c r="AJ15" s="41" t="str">
        <f t="shared" si="14"/>
        <v/>
      </c>
    </row>
    <row r="16" spans="1:36" x14ac:dyDescent="0.2">
      <c r="A16" s="314"/>
      <c r="B16" s="315"/>
      <c r="C16" s="316"/>
      <c r="D16" s="317"/>
      <c r="E16" s="316">
        <v>7.0160039999999997</v>
      </c>
      <c r="F16" s="8">
        <v>7</v>
      </c>
      <c r="G16" s="21">
        <f t="shared" si="0"/>
        <v>7.0254948456418527</v>
      </c>
      <c r="H16" s="37" t="str">
        <f t="shared" si="15"/>
        <v>7;03807E2</v>
      </c>
      <c r="I16" s="38">
        <v>0</v>
      </c>
      <c r="J16" s="128">
        <f t="shared" si="1"/>
        <v>7.0254948456418527</v>
      </c>
      <c r="K16" s="39" t="str">
        <f>INDEX(powers!$H$2:$H$75,33+I16)</f>
        <v xml:space="preserve"> </v>
      </c>
      <c r="L16" s="40" t="str">
        <f t="shared" si="2"/>
        <v>7</v>
      </c>
      <c r="M16" s="24">
        <f t="shared" si="16"/>
        <v>0.30593814770223204</v>
      </c>
      <c r="N16" s="41" t="str">
        <f t="shared" si="3"/>
        <v>0</v>
      </c>
      <c r="O16" s="24">
        <f t="shared" si="17"/>
        <v>3.6712577724267845</v>
      </c>
      <c r="P16" s="41" t="str">
        <f t="shared" si="4"/>
        <v>3</v>
      </c>
      <c r="Q16" s="24">
        <f t="shared" si="18"/>
        <v>8.0550932691214143</v>
      </c>
      <c r="R16" s="41" t="str">
        <f t="shared" si="5"/>
        <v>8</v>
      </c>
      <c r="S16" s="24">
        <f t="shared" si="19"/>
        <v>0.66111922945697188</v>
      </c>
      <c r="T16" s="41" t="str">
        <f t="shared" si="6"/>
        <v>0</v>
      </c>
      <c r="U16" s="24">
        <f t="shared" si="20"/>
        <v>7.9334307534836626</v>
      </c>
      <c r="V16" s="41" t="str">
        <f t="shared" si="7"/>
        <v>7</v>
      </c>
      <c r="W16" s="24">
        <f t="shared" si="21"/>
        <v>11.201169041803951</v>
      </c>
      <c r="X16" s="41" t="str">
        <f t="shared" si="8"/>
        <v>E</v>
      </c>
      <c r="Y16" s="24">
        <f t="shared" si="22"/>
        <v>2.4140285016474081</v>
      </c>
      <c r="Z16" s="41" t="str">
        <f t="shared" si="9"/>
        <v>2</v>
      </c>
      <c r="AA16" s="24">
        <f t="shared" si="23"/>
        <v>4.9683420197688974</v>
      </c>
      <c r="AB16" s="41" t="str">
        <f t="shared" si="10"/>
        <v/>
      </c>
      <c r="AC16" s="24">
        <f t="shared" si="24"/>
        <v>11.620104237226769</v>
      </c>
      <c r="AD16" s="41" t="str">
        <f t="shared" si="11"/>
        <v/>
      </c>
      <c r="AE16" s="24">
        <f t="shared" si="25"/>
        <v>7.4412508467212319</v>
      </c>
      <c r="AF16" s="41" t="str">
        <f t="shared" si="12"/>
        <v/>
      </c>
      <c r="AG16" s="24">
        <f t="shared" si="26"/>
        <v>5.2950101606547832</v>
      </c>
      <c r="AH16" s="41" t="str">
        <f t="shared" si="13"/>
        <v/>
      </c>
      <c r="AI16" s="24">
        <f t="shared" si="27"/>
        <v>3.540121927857399</v>
      </c>
      <c r="AJ16" s="41" t="str">
        <f t="shared" si="14"/>
        <v/>
      </c>
    </row>
    <row r="17" spans="1:36" x14ac:dyDescent="0.2">
      <c r="A17" s="314" t="s">
        <v>771</v>
      </c>
      <c r="B17" s="315">
        <v>4</v>
      </c>
      <c r="C17" s="316" t="s">
        <v>770</v>
      </c>
      <c r="D17" s="317">
        <v>9.0121819999999992</v>
      </c>
      <c r="E17" s="316"/>
      <c r="F17" s="8">
        <v>7</v>
      </c>
      <c r="G17" s="21">
        <f t="shared" si="0"/>
        <v>9.0243731601330435</v>
      </c>
      <c r="H17" s="37" t="str">
        <f t="shared" si="15"/>
        <v>9;036149X</v>
      </c>
      <c r="I17" s="38">
        <v>0</v>
      </c>
      <c r="J17" s="128">
        <f t="shared" si="1"/>
        <v>9.0243731601330435</v>
      </c>
      <c r="K17" s="39" t="str">
        <f>INDEX(powers!$H$2:$H$75,33+I17)</f>
        <v xml:space="preserve"> </v>
      </c>
      <c r="L17" s="40" t="str">
        <f t="shared" si="2"/>
        <v>9</v>
      </c>
      <c r="M17" s="24">
        <f t="shared" si="16"/>
        <v>0.29247792159652164</v>
      </c>
      <c r="N17" s="41" t="str">
        <f t="shared" si="3"/>
        <v>0</v>
      </c>
      <c r="O17" s="24">
        <f t="shared" si="17"/>
        <v>3.5097350591582597</v>
      </c>
      <c r="P17" s="41" t="str">
        <f t="shared" si="4"/>
        <v>3</v>
      </c>
      <c r="Q17" s="24">
        <f t="shared" si="18"/>
        <v>6.1168207098991161</v>
      </c>
      <c r="R17" s="41" t="str">
        <f t="shared" si="5"/>
        <v>6</v>
      </c>
      <c r="S17" s="24">
        <f t="shared" si="19"/>
        <v>1.401848518789393</v>
      </c>
      <c r="T17" s="41" t="str">
        <f t="shared" si="6"/>
        <v>1</v>
      </c>
      <c r="U17" s="24">
        <f t="shared" si="20"/>
        <v>4.8221822254727158</v>
      </c>
      <c r="V17" s="41" t="str">
        <f t="shared" si="7"/>
        <v>4</v>
      </c>
      <c r="W17" s="24">
        <f t="shared" si="21"/>
        <v>9.8661867056725896</v>
      </c>
      <c r="X17" s="41" t="str">
        <f t="shared" si="8"/>
        <v>9</v>
      </c>
      <c r="Y17" s="24">
        <f t="shared" si="22"/>
        <v>10.394240468071075</v>
      </c>
      <c r="Z17" s="41" t="str">
        <f t="shared" si="9"/>
        <v>X</v>
      </c>
      <c r="AA17" s="24">
        <f t="shared" si="23"/>
        <v>4.7308856168529019</v>
      </c>
      <c r="AB17" s="41" t="str">
        <f t="shared" si="10"/>
        <v/>
      </c>
      <c r="AC17" s="24">
        <f t="shared" si="24"/>
        <v>8.7706274022348225</v>
      </c>
      <c r="AD17" s="41" t="str">
        <f t="shared" si="11"/>
        <v/>
      </c>
      <c r="AE17" s="24">
        <f t="shared" si="25"/>
        <v>9.2475288268178701</v>
      </c>
      <c r="AF17" s="41" t="str">
        <f t="shared" si="12"/>
        <v/>
      </c>
      <c r="AG17" s="24">
        <f t="shared" si="26"/>
        <v>2.9703459218144417</v>
      </c>
      <c r="AH17" s="41" t="str">
        <f t="shared" si="13"/>
        <v/>
      </c>
      <c r="AI17" s="24">
        <f t="shared" si="27"/>
        <v>11.6441510617733</v>
      </c>
      <c r="AJ17" s="41" t="str">
        <f t="shared" si="14"/>
        <v/>
      </c>
    </row>
    <row r="18" spans="1:36" x14ac:dyDescent="0.2">
      <c r="A18" s="314"/>
      <c r="B18" s="315"/>
      <c r="C18" s="316"/>
      <c r="D18" s="317"/>
      <c r="E18" s="316">
        <v>9.0121821999999998</v>
      </c>
      <c r="F18" s="8">
        <v>8</v>
      </c>
      <c r="G18" s="21">
        <f t="shared" si="0"/>
        <v>9.0243733604035921</v>
      </c>
      <c r="H18" s="37" t="str">
        <f t="shared" si="15"/>
        <v>9;03614X57</v>
      </c>
      <c r="I18" s="38">
        <v>0</v>
      </c>
      <c r="J18" s="128">
        <f t="shared" si="1"/>
        <v>9.0243733604035921</v>
      </c>
      <c r="K18" s="39" t="str">
        <f>INDEX(powers!$H$2:$H$75,33+I18)</f>
        <v xml:space="preserve"> </v>
      </c>
      <c r="L18" s="40" t="str">
        <f t="shared" si="2"/>
        <v>9</v>
      </c>
      <c r="M18" s="24">
        <f t="shared" si="16"/>
        <v>0.29248032484310471</v>
      </c>
      <c r="N18" s="41" t="str">
        <f t="shared" si="3"/>
        <v>0</v>
      </c>
      <c r="O18" s="24">
        <f t="shared" si="17"/>
        <v>3.5097638981172565</v>
      </c>
      <c r="P18" s="41" t="str">
        <f t="shared" si="4"/>
        <v>3</v>
      </c>
      <c r="Q18" s="24">
        <f t="shared" si="18"/>
        <v>6.1171667774070784</v>
      </c>
      <c r="R18" s="41" t="str">
        <f t="shared" si="5"/>
        <v>6</v>
      </c>
      <c r="S18" s="24">
        <f t="shared" si="19"/>
        <v>1.4060013288849404</v>
      </c>
      <c r="T18" s="41" t="str">
        <f t="shared" si="6"/>
        <v>1</v>
      </c>
      <c r="U18" s="24">
        <f t="shared" si="20"/>
        <v>4.8720159466192854</v>
      </c>
      <c r="V18" s="41" t="str">
        <f t="shared" si="7"/>
        <v>4</v>
      </c>
      <c r="W18" s="24">
        <f t="shared" si="21"/>
        <v>10.464191359431425</v>
      </c>
      <c r="X18" s="41" t="str">
        <f t="shared" si="8"/>
        <v>X</v>
      </c>
      <c r="Y18" s="24">
        <f t="shared" si="22"/>
        <v>5.5702963131770957</v>
      </c>
      <c r="Z18" s="41" t="str">
        <f t="shared" si="9"/>
        <v>5</v>
      </c>
      <c r="AA18" s="24">
        <f t="shared" si="23"/>
        <v>6.8435557581251487</v>
      </c>
      <c r="AB18" s="41" t="str">
        <f t="shared" si="10"/>
        <v>7</v>
      </c>
      <c r="AC18" s="24">
        <f t="shared" si="24"/>
        <v>10.122669097501785</v>
      </c>
      <c r="AD18" s="41" t="str">
        <f t="shared" si="11"/>
        <v/>
      </c>
      <c r="AE18" s="24">
        <f t="shared" si="25"/>
        <v>1.4720291700214148</v>
      </c>
      <c r="AF18" s="41" t="str">
        <f t="shared" si="12"/>
        <v/>
      </c>
      <c r="AG18" s="24">
        <f t="shared" si="26"/>
        <v>5.6643500402569771</v>
      </c>
      <c r="AH18" s="41" t="str">
        <f t="shared" si="13"/>
        <v/>
      </c>
      <c r="AI18" s="24">
        <f t="shared" si="27"/>
        <v>7.972200483083725</v>
      </c>
      <c r="AJ18" s="41" t="str">
        <f t="shared" si="14"/>
        <v/>
      </c>
    </row>
    <row r="19" spans="1:36" x14ac:dyDescent="0.2">
      <c r="A19" s="314" t="s">
        <v>773</v>
      </c>
      <c r="B19" s="315">
        <v>5</v>
      </c>
      <c r="C19" s="316" t="s">
        <v>772</v>
      </c>
      <c r="D19" s="317">
        <v>10.811</v>
      </c>
      <c r="E19" s="316"/>
      <c r="F19" s="8">
        <v>5</v>
      </c>
      <c r="G19" s="21">
        <f t="shared" si="0"/>
        <v>10.825624497396763</v>
      </c>
      <c r="H19" s="37" t="str">
        <f t="shared" si="15"/>
        <v>X;9XX82</v>
      </c>
      <c r="I19" s="38">
        <v>0</v>
      </c>
      <c r="J19" s="128">
        <f t="shared" si="1"/>
        <v>10.825624497396763</v>
      </c>
      <c r="K19" s="39" t="str">
        <f>INDEX(powers!$H$2:$H$75,33+I19)</f>
        <v xml:space="preserve"> </v>
      </c>
      <c r="L19" s="40" t="str">
        <f t="shared" si="2"/>
        <v>X</v>
      </c>
      <c r="M19" s="24">
        <f t="shared" si="16"/>
        <v>9.907493968761159</v>
      </c>
      <c r="N19" s="41" t="str">
        <f t="shared" si="3"/>
        <v>9</v>
      </c>
      <c r="O19" s="24">
        <f t="shared" si="17"/>
        <v>10.889927625133907</v>
      </c>
      <c r="P19" s="41" t="str">
        <f t="shared" si="4"/>
        <v>X</v>
      </c>
      <c r="Q19" s="24">
        <f t="shared" si="18"/>
        <v>10.679131501606889</v>
      </c>
      <c r="R19" s="41" t="str">
        <f t="shared" si="5"/>
        <v>X</v>
      </c>
      <c r="S19" s="24">
        <f t="shared" si="19"/>
        <v>8.1495780192826714</v>
      </c>
      <c r="T19" s="41" t="str">
        <f t="shared" si="6"/>
        <v>8</v>
      </c>
      <c r="U19" s="24">
        <f t="shared" si="20"/>
        <v>1.7949362313920574</v>
      </c>
      <c r="V19" s="41" t="str">
        <f t="shared" si="7"/>
        <v>2</v>
      </c>
      <c r="W19" s="24">
        <f t="shared" si="21"/>
        <v>9.5392347767046886</v>
      </c>
      <c r="X19" s="41" t="str">
        <f t="shared" si="8"/>
        <v/>
      </c>
      <c r="Y19" s="24">
        <f t="shared" si="22"/>
        <v>6.4708173204562627</v>
      </c>
      <c r="Z19" s="41" t="str">
        <f t="shared" si="9"/>
        <v/>
      </c>
      <c r="AA19" s="24">
        <f t="shared" si="23"/>
        <v>5.6498078454751521</v>
      </c>
      <c r="AB19" s="41" t="str">
        <f t="shared" si="10"/>
        <v/>
      </c>
      <c r="AC19" s="24">
        <f t="shared" si="24"/>
        <v>7.7976941457018256</v>
      </c>
      <c r="AD19" s="41" t="str">
        <f t="shared" si="11"/>
        <v/>
      </c>
      <c r="AE19" s="24">
        <f t="shared" si="25"/>
        <v>9.5723297484219074</v>
      </c>
      <c r="AF19" s="41" t="str">
        <f t="shared" si="12"/>
        <v/>
      </c>
      <c r="AG19" s="24">
        <f t="shared" si="26"/>
        <v>6.8679569810628891</v>
      </c>
      <c r="AH19" s="41" t="str">
        <f t="shared" si="13"/>
        <v/>
      </c>
      <c r="AI19" s="24">
        <f t="shared" si="27"/>
        <v>10.415483772754669</v>
      </c>
      <c r="AJ19" s="41" t="str">
        <f t="shared" si="14"/>
        <v/>
      </c>
    </row>
    <row r="20" spans="1:36" x14ac:dyDescent="0.2">
      <c r="A20" s="314"/>
      <c r="B20" s="315"/>
      <c r="C20" s="316"/>
      <c r="D20" s="317"/>
      <c r="E20" s="316">
        <v>11.005305399999999</v>
      </c>
      <c r="F20" s="8">
        <v>9</v>
      </c>
      <c r="G20" s="21">
        <f t="shared" si="0"/>
        <v>11.020192742537494</v>
      </c>
      <c r="H20" s="37" t="str">
        <f t="shared" si="15"/>
        <v>E;02XX87258</v>
      </c>
      <c r="I20" s="38">
        <v>0</v>
      </c>
      <c r="J20" s="128">
        <f t="shared" si="1"/>
        <v>11.020192742537494</v>
      </c>
      <c r="K20" s="39" t="str">
        <f>INDEX(powers!$H$2:$H$75,33+I20)</f>
        <v xml:space="preserve"> </v>
      </c>
      <c r="L20" s="40" t="str">
        <f t="shared" si="2"/>
        <v>E</v>
      </c>
      <c r="M20" s="24">
        <f t="shared" si="16"/>
        <v>0.24231291044993242</v>
      </c>
      <c r="N20" s="41" t="str">
        <f t="shared" si="3"/>
        <v>0</v>
      </c>
      <c r="O20" s="24">
        <f t="shared" si="17"/>
        <v>2.907754925399189</v>
      </c>
      <c r="P20" s="41" t="str">
        <f t="shared" si="4"/>
        <v>2</v>
      </c>
      <c r="Q20" s="24">
        <f t="shared" si="18"/>
        <v>10.893059104790268</v>
      </c>
      <c r="R20" s="41" t="str">
        <f t="shared" si="5"/>
        <v>X</v>
      </c>
      <c r="S20" s="24">
        <f t="shared" si="19"/>
        <v>10.716709257483217</v>
      </c>
      <c r="T20" s="41" t="str">
        <f t="shared" si="6"/>
        <v>X</v>
      </c>
      <c r="U20" s="24">
        <f t="shared" si="20"/>
        <v>8.6005110897986015</v>
      </c>
      <c r="V20" s="41" t="str">
        <f t="shared" si="7"/>
        <v>8</v>
      </c>
      <c r="W20" s="24">
        <f t="shared" si="21"/>
        <v>7.2061330775832175</v>
      </c>
      <c r="X20" s="41" t="str">
        <f t="shared" si="8"/>
        <v>7</v>
      </c>
      <c r="Y20" s="24">
        <f t="shared" si="22"/>
        <v>2.4735969309986103</v>
      </c>
      <c r="Z20" s="41" t="str">
        <f t="shared" si="9"/>
        <v>2</v>
      </c>
      <c r="AA20" s="24">
        <f t="shared" si="23"/>
        <v>5.683163171983324</v>
      </c>
      <c r="AB20" s="41" t="str">
        <f t="shared" si="10"/>
        <v>5</v>
      </c>
      <c r="AC20" s="24">
        <f t="shared" si="24"/>
        <v>8.1979580637998879</v>
      </c>
      <c r="AD20" s="41" t="str">
        <f t="shared" si="11"/>
        <v>8</v>
      </c>
      <c r="AE20" s="24">
        <f t="shared" si="25"/>
        <v>2.3754967655986547</v>
      </c>
      <c r="AF20" s="41" t="str">
        <f t="shared" si="12"/>
        <v/>
      </c>
      <c r="AG20" s="24">
        <f t="shared" si="26"/>
        <v>4.505961187183857</v>
      </c>
      <c r="AH20" s="41" t="str">
        <f t="shared" si="13"/>
        <v/>
      </c>
      <c r="AI20" s="24">
        <f t="shared" si="27"/>
        <v>6.0715342462062836</v>
      </c>
      <c r="AJ20" s="41" t="str">
        <f t="shared" si="14"/>
        <v/>
      </c>
    </row>
    <row r="21" spans="1:36" x14ac:dyDescent="0.2">
      <c r="A21" s="314" t="s">
        <v>775</v>
      </c>
      <c r="B21" s="315">
        <v>6</v>
      </c>
      <c r="C21" s="316" t="s">
        <v>774</v>
      </c>
      <c r="D21" s="317">
        <v>12.0107</v>
      </c>
      <c r="E21" s="316"/>
      <c r="F21" s="8">
        <v>6</v>
      </c>
      <c r="G21" s="21">
        <f t="shared" si="0"/>
        <v>12.026947382377504</v>
      </c>
      <c r="H21" s="37" t="str">
        <f t="shared" si="15"/>
        <v>1;003X69</v>
      </c>
      <c r="I21" s="38">
        <v>1</v>
      </c>
      <c r="J21" s="128">
        <f t="shared" si="1"/>
        <v>1.0022456151981254</v>
      </c>
      <c r="K21" s="39" t="str">
        <f>INDEX(powers!$H$2:$H$75,33+I21)</f>
        <v>dozen</v>
      </c>
      <c r="L21" s="40" t="str">
        <f t="shared" si="2"/>
        <v>1</v>
      </c>
      <c r="M21" s="24">
        <f t="shared" si="16"/>
        <v>2.6947382377504603E-2</v>
      </c>
      <c r="N21" s="41" t="str">
        <f t="shared" si="3"/>
        <v>0</v>
      </c>
      <c r="O21" s="24">
        <f t="shared" si="17"/>
        <v>0.32336858853005523</v>
      </c>
      <c r="P21" s="41" t="str">
        <f t="shared" si="4"/>
        <v>0</v>
      </c>
      <c r="Q21" s="24">
        <f t="shared" si="18"/>
        <v>3.8804230623606628</v>
      </c>
      <c r="R21" s="41" t="str">
        <f t="shared" si="5"/>
        <v>3</v>
      </c>
      <c r="S21" s="24">
        <f t="shared" si="19"/>
        <v>10.565076748327954</v>
      </c>
      <c r="T21" s="41" t="str">
        <f t="shared" si="6"/>
        <v>X</v>
      </c>
      <c r="U21" s="24">
        <f t="shared" si="20"/>
        <v>6.7809209799354448</v>
      </c>
      <c r="V21" s="41" t="str">
        <f t="shared" si="7"/>
        <v>6</v>
      </c>
      <c r="W21" s="24">
        <f t="shared" si="21"/>
        <v>9.3710517592253382</v>
      </c>
      <c r="X21" s="41" t="str">
        <f t="shared" si="8"/>
        <v>9</v>
      </c>
      <c r="Y21" s="24">
        <f t="shared" si="22"/>
        <v>4.4526211107040581</v>
      </c>
      <c r="Z21" s="41" t="str">
        <f t="shared" si="9"/>
        <v/>
      </c>
      <c r="AA21" s="24">
        <f t="shared" si="23"/>
        <v>5.431453328448697</v>
      </c>
      <c r="AB21" s="41" t="str">
        <f t="shared" si="10"/>
        <v/>
      </c>
      <c r="AC21" s="24">
        <f t="shared" si="24"/>
        <v>5.1774399413843639</v>
      </c>
      <c r="AD21" s="41" t="str">
        <f t="shared" si="11"/>
        <v/>
      </c>
      <c r="AE21" s="24">
        <f t="shared" si="25"/>
        <v>2.129279296612367</v>
      </c>
      <c r="AF21" s="41" t="str">
        <f t="shared" si="12"/>
        <v/>
      </c>
      <c r="AG21" s="24">
        <f t="shared" si="26"/>
        <v>1.5513515593484044</v>
      </c>
      <c r="AH21" s="41" t="str">
        <f t="shared" si="13"/>
        <v/>
      </c>
      <c r="AI21" s="24">
        <f t="shared" si="27"/>
        <v>6.6162187121808529</v>
      </c>
      <c r="AJ21" s="41" t="str">
        <f t="shared" si="14"/>
        <v/>
      </c>
    </row>
    <row r="22" spans="1:36" x14ac:dyDescent="0.2">
      <c r="A22" s="314"/>
      <c r="B22" s="315"/>
      <c r="C22" s="316"/>
      <c r="D22" s="317"/>
      <c r="E22" s="316">
        <v>12</v>
      </c>
      <c r="F22" s="8">
        <v>12</v>
      </c>
      <c r="G22" s="21">
        <f t="shared" si="0"/>
        <v>12.016232908034507</v>
      </c>
      <c r="H22" s="37" t="str">
        <f t="shared" si="15"/>
        <v>1;0024073253E2</v>
      </c>
      <c r="I22" s="38">
        <v>1</v>
      </c>
      <c r="J22" s="128">
        <f t="shared" si="1"/>
        <v>1.001352742336209</v>
      </c>
      <c r="K22" s="39" t="str">
        <f>INDEX(powers!$H$2:$H$75,33+I22)</f>
        <v>dozen</v>
      </c>
      <c r="L22" s="40" t="str">
        <f t="shared" si="2"/>
        <v>1</v>
      </c>
      <c r="M22" s="24">
        <f t="shared" si="16"/>
        <v>1.6232908034507609E-2</v>
      </c>
      <c r="N22" s="41" t="str">
        <f t="shared" si="3"/>
        <v>0</v>
      </c>
      <c r="O22" s="24">
        <f t="shared" si="17"/>
        <v>0.19479489641409131</v>
      </c>
      <c r="P22" s="41" t="str">
        <f t="shared" si="4"/>
        <v>0</v>
      </c>
      <c r="Q22" s="24">
        <f t="shared" si="18"/>
        <v>2.3375387569690957</v>
      </c>
      <c r="R22" s="41" t="str">
        <f t="shared" si="5"/>
        <v>2</v>
      </c>
      <c r="S22" s="24">
        <f t="shared" si="19"/>
        <v>4.0504650836291489</v>
      </c>
      <c r="T22" s="41" t="str">
        <f t="shared" si="6"/>
        <v>4</v>
      </c>
      <c r="U22" s="24">
        <f t="shared" si="20"/>
        <v>0.60558100354978706</v>
      </c>
      <c r="V22" s="41" t="str">
        <f t="shared" si="7"/>
        <v>0</v>
      </c>
      <c r="W22" s="24">
        <f t="shared" si="21"/>
        <v>7.2669720425974447</v>
      </c>
      <c r="X22" s="41" t="str">
        <f t="shared" si="8"/>
        <v>7</v>
      </c>
      <c r="Y22" s="24">
        <f t="shared" si="22"/>
        <v>3.203664511169336</v>
      </c>
      <c r="Z22" s="41" t="str">
        <f t="shared" si="9"/>
        <v>3</v>
      </c>
      <c r="AA22" s="24">
        <f t="shared" si="23"/>
        <v>2.4439741340320325</v>
      </c>
      <c r="AB22" s="41" t="str">
        <f t="shared" si="10"/>
        <v>2</v>
      </c>
      <c r="AC22" s="24">
        <f t="shared" si="24"/>
        <v>5.3276896083843894</v>
      </c>
      <c r="AD22" s="41" t="str">
        <f t="shared" si="11"/>
        <v>5</v>
      </c>
      <c r="AE22" s="24">
        <f t="shared" si="25"/>
        <v>3.9322753006126732</v>
      </c>
      <c r="AF22" s="41" t="str">
        <f t="shared" si="12"/>
        <v>3</v>
      </c>
      <c r="AG22" s="24">
        <f t="shared" si="26"/>
        <v>11.187303607352078</v>
      </c>
      <c r="AH22" s="41" t="str">
        <f t="shared" si="13"/>
        <v>E</v>
      </c>
      <c r="AI22" s="24">
        <f t="shared" si="27"/>
        <v>2.2476432882249355</v>
      </c>
      <c r="AJ22" s="41" t="str">
        <f t="shared" si="14"/>
        <v>2</v>
      </c>
    </row>
    <row r="23" spans="1:36" x14ac:dyDescent="0.2">
      <c r="A23" s="314" t="s">
        <v>777</v>
      </c>
      <c r="B23" s="315"/>
      <c r="C23" s="316" t="s">
        <v>776</v>
      </c>
      <c r="D23" s="317"/>
      <c r="E23" s="316">
        <v>13.0033548</v>
      </c>
      <c r="F23" s="8">
        <v>9</v>
      </c>
      <c r="G23" s="21">
        <f t="shared" si="0"/>
        <v>13.020944988550696</v>
      </c>
      <c r="H23" s="37" t="str">
        <f t="shared" si="15"/>
        <v>1;10302394X</v>
      </c>
      <c r="I23" s="38">
        <v>1</v>
      </c>
      <c r="J23" s="128">
        <f t="shared" si="1"/>
        <v>1.0850787490458913</v>
      </c>
      <c r="K23" s="39" t="str">
        <f>INDEX(powers!$H$2:$H$75,33+I23)</f>
        <v>dozen</v>
      </c>
      <c r="L23" s="40" t="str">
        <f t="shared" si="2"/>
        <v>1</v>
      </c>
      <c r="M23" s="24">
        <f t="shared" si="16"/>
        <v>1.0209449885506956</v>
      </c>
      <c r="N23" s="41" t="str">
        <f t="shared" si="3"/>
        <v>1</v>
      </c>
      <c r="O23" s="24">
        <f t="shared" si="17"/>
        <v>0.25133986260834718</v>
      </c>
      <c r="P23" s="41" t="str">
        <f t="shared" si="4"/>
        <v>0</v>
      </c>
      <c r="Q23" s="24">
        <f t="shared" si="18"/>
        <v>3.0160783513001661</v>
      </c>
      <c r="R23" s="41" t="str">
        <f t="shared" si="5"/>
        <v>3</v>
      </c>
      <c r="S23" s="24">
        <f t="shared" si="19"/>
        <v>0.19294021560199326</v>
      </c>
      <c r="T23" s="41" t="str">
        <f t="shared" si="6"/>
        <v>0</v>
      </c>
      <c r="U23" s="24">
        <f t="shared" si="20"/>
        <v>2.3152825872239191</v>
      </c>
      <c r="V23" s="41" t="str">
        <f t="shared" si="7"/>
        <v>2</v>
      </c>
      <c r="W23" s="24">
        <f t="shared" si="21"/>
        <v>3.7833910466870293</v>
      </c>
      <c r="X23" s="41" t="str">
        <f t="shared" si="8"/>
        <v>3</v>
      </c>
      <c r="Y23" s="24">
        <f t="shared" si="22"/>
        <v>9.4006925602443516</v>
      </c>
      <c r="Z23" s="41" t="str">
        <f t="shared" si="9"/>
        <v>9</v>
      </c>
      <c r="AA23" s="24">
        <f t="shared" si="23"/>
        <v>4.8083107229322195</v>
      </c>
      <c r="AB23" s="41" t="str">
        <f t="shared" si="10"/>
        <v>4</v>
      </c>
      <c r="AC23" s="24">
        <f t="shared" si="24"/>
        <v>9.6997286751866341</v>
      </c>
      <c r="AD23" s="41" t="str">
        <f t="shared" si="11"/>
        <v>X</v>
      </c>
      <c r="AE23" s="24">
        <f t="shared" si="25"/>
        <v>8.3967441022396088</v>
      </c>
      <c r="AF23" s="41" t="str">
        <f t="shared" si="12"/>
        <v/>
      </c>
      <c r="AG23" s="24">
        <f t="shared" si="26"/>
        <v>4.7609292268753052</v>
      </c>
      <c r="AH23" s="41" t="str">
        <f t="shared" si="13"/>
        <v/>
      </c>
      <c r="AI23" s="24">
        <f t="shared" si="27"/>
        <v>9.1311507225036621</v>
      </c>
      <c r="AJ23" s="41" t="str">
        <f t="shared" si="14"/>
        <v/>
      </c>
    </row>
    <row r="24" spans="1:36" ht="13.5" customHeight="1" x14ac:dyDescent="0.2">
      <c r="A24" s="314" t="s">
        <v>779</v>
      </c>
      <c r="B24" s="315">
        <v>7</v>
      </c>
      <c r="C24" s="316" t="s">
        <v>778</v>
      </c>
      <c r="D24" s="317">
        <v>14.0067</v>
      </c>
      <c r="E24" s="318"/>
      <c r="F24" s="8">
        <v>6</v>
      </c>
      <c r="G24" s="21">
        <f t="shared" si="0"/>
        <v>14.025647456080559</v>
      </c>
      <c r="H24" s="37" t="str">
        <f t="shared" si="15"/>
        <v>1;20383X</v>
      </c>
      <c r="I24" s="38">
        <v>1</v>
      </c>
      <c r="J24" s="128">
        <f t="shared" si="1"/>
        <v>1.1688039546733799</v>
      </c>
      <c r="K24" s="39" t="str">
        <f>INDEX(powers!$H$2:$H$75,33+I24)</f>
        <v>dozen</v>
      </c>
      <c r="L24" s="40" t="str">
        <f t="shared" si="2"/>
        <v>1</v>
      </c>
      <c r="M24" s="24">
        <f t="shared" si="16"/>
        <v>2.0256474560805593</v>
      </c>
      <c r="N24" s="41" t="str">
        <f t="shared" si="3"/>
        <v>2</v>
      </c>
      <c r="O24" s="24">
        <f t="shared" si="17"/>
        <v>0.30776947296671153</v>
      </c>
      <c r="P24" s="41" t="str">
        <f t="shared" si="4"/>
        <v>0</v>
      </c>
      <c r="Q24" s="24">
        <f t="shared" si="18"/>
        <v>3.6932336756005384</v>
      </c>
      <c r="R24" s="41" t="str">
        <f t="shared" si="5"/>
        <v>3</v>
      </c>
      <c r="S24" s="24">
        <f t="shared" si="19"/>
        <v>8.3188041072064607</v>
      </c>
      <c r="T24" s="41" t="str">
        <f t="shared" si="6"/>
        <v>8</v>
      </c>
      <c r="U24" s="24">
        <f t="shared" si="20"/>
        <v>3.8256492864775282</v>
      </c>
      <c r="V24" s="41" t="str">
        <f t="shared" si="7"/>
        <v>3</v>
      </c>
      <c r="W24" s="24">
        <f t="shared" si="21"/>
        <v>9.9077914377303387</v>
      </c>
      <c r="X24" s="41" t="str">
        <f t="shared" si="8"/>
        <v>X</v>
      </c>
      <c r="Y24" s="24">
        <f t="shared" si="22"/>
        <v>10.893497252764064</v>
      </c>
      <c r="Z24" s="41" t="str">
        <f t="shared" si="9"/>
        <v/>
      </c>
      <c r="AA24" s="24">
        <f t="shared" si="23"/>
        <v>10.721967033168767</v>
      </c>
      <c r="AB24" s="41" t="str">
        <f t="shared" si="10"/>
        <v/>
      </c>
      <c r="AC24" s="24">
        <f t="shared" si="24"/>
        <v>8.6636043980251998</v>
      </c>
      <c r="AD24" s="41" t="str">
        <f t="shared" si="11"/>
        <v/>
      </c>
      <c r="AE24" s="24">
        <f t="shared" si="25"/>
        <v>7.9632527763023973</v>
      </c>
      <c r="AF24" s="41" t="str">
        <f t="shared" si="12"/>
        <v/>
      </c>
      <c r="AG24" s="24">
        <f t="shared" si="26"/>
        <v>11.559033315628767</v>
      </c>
      <c r="AH24" s="41" t="str">
        <f t="shared" si="13"/>
        <v/>
      </c>
      <c r="AI24" s="24">
        <f t="shared" si="27"/>
        <v>6.7083997875452042</v>
      </c>
      <c r="AJ24" s="41" t="str">
        <f t="shared" si="14"/>
        <v/>
      </c>
    </row>
    <row r="25" spans="1:36" ht="13.5" customHeight="1" x14ac:dyDescent="0.2">
      <c r="A25" s="314"/>
      <c r="B25" s="315"/>
      <c r="C25" s="316"/>
      <c r="D25" s="317"/>
      <c r="E25" s="316">
        <v>14.0030740052</v>
      </c>
      <c r="F25" s="8">
        <v>10</v>
      </c>
      <c r="G25" s="21">
        <f t="shared" si="0"/>
        <v>14.022016556243884</v>
      </c>
      <c r="H25" s="37" t="str">
        <f t="shared" si="15"/>
        <v>1;2032065102</v>
      </c>
      <c r="I25" s="38">
        <v>1</v>
      </c>
      <c r="J25" s="128">
        <f t="shared" si="1"/>
        <v>1.1685013796869903</v>
      </c>
      <c r="K25" s="39" t="str">
        <f>INDEX(powers!$H$2:$H$75,33+I25)</f>
        <v>dozen</v>
      </c>
      <c r="L25" s="40" t="str">
        <f t="shared" si="2"/>
        <v>1</v>
      </c>
      <c r="M25" s="24">
        <f t="shared" si="16"/>
        <v>2.0220165562438837</v>
      </c>
      <c r="N25" s="41" t="str">
        <f t="shared" si="3"/>
        <v>2</v>
      </c>
      <c r="O25" s="24">
        <f t="shared" si="17"/>
        <v>0.26419867492660387</v>
      </c>
      <c r="P25" s="41" t="str">
        <f t="shared" si="4"/>
        <v>0</v>
      </c>
      <c r="Q25" s="24">
        <f t="shared" si="18"/>
        <v>3.1703840991192465</v>
      </c>
      <c r="R25" s="41" t="str">
        <f t="shared" si="5"/>
        <v>3</v>
      </c>
      <c r="S25" s="24">
        <f t="shared" si="19"/>
        <v>2.0446091894309575</v>
      </c>
      <c r="T25" s="41" t="str">
        <f t="shared" si="6"/>
        <v>2</v>
      </c>
      <c r="U25" s="24">
        <f t="shared" si="20"/>
        <v>0.53531027317148983</v>
      </c>
      <c r="V25" s="41" t="str">
        <f t="shared" si="7"/>
        <v>0</v>
      </c>
      <c r="W25" s="24">
        <f t="shared" si="21"/>
        <v>6.4237232780578779</v>
      </c>
      <c r="X25" s="41" t="str">
        <f t="shared" si="8"/>
        <v>6</v>
      </c>
      <c r="Y25" s="24">
        <f t="shared" si="22"/>
        <v>5.0846793366945349</v>
      </c>
      <c r="Z25" s="41" t="str">
        <f t="shared" si="9"/>
        <v>5</v>
      </c>
      <c r="AA25" s="24">
        <f t="shared" si="23"/>
        <v>1.0161520403344184</v>
      </c>
      <c r="AB25" s="41" t="str">
        <f t="shared" si="10"/>
        <v>1</v>
      </c>
      <c r="AC25" s="24">
        <f t="shared" si="24"/>
        <v>0.19382448401302099</v>
      </c>
      <c r="AD25" s="41" t="str">
        <f t="shared" si="11"/>
        <v>0</v>
      </c>
      <c r="AE25" s="24">
        <f t="shared" si="25"/>
        <v>2.3258938081562519</v>
      </c>
      <c r="AF25" s="41" t="str">
        <f t="shared" si="12"/>
        <v>2</v>
      </c>
      <c r="AG25" s="24">
        <f t="shared" si="26"/>
        <v>3.9107256978750229</v>
      </c>
      <c r="AH25" s="41" t="str">
        <f t="shared" si="13"/>
        <v/>
      </c>
      <c r="AI25" s="24">
        <f t="shared" si="27"/>
        <v>10.928708374500275</v>
      </c>
      <c r="AJ25" s="41" t="str">
        <f t="shared" si="14"/>
        <v/>
      </c>
    </row>
    <row r="26" spans="1:36" ht="13.5" customHeight="1" x14ac:dyDescent="0.2">
      <c r="A26" s="314" t="s">
        <v>781</v>
      </c>
      <c r="B26" s="315"/>
      <c r="C26" s="316" t="s">
        <v>780</v>
      </c>
      <c r="D26" s="317"/>
      <c r="E26" s="316">
        <v>15.000109</v>
      </c>
      <c r="F26" s="8">
        <v>8</v>
      </c>
      <c r="G26" s="21">
        <f t="shared" si="0"/>
        <v>15.020400282492023</v>
      </c>
      <c r="H26" s="37" t="str">
        <f t="shared" si="15"/>
        <v>1;302E302E</v>
      </c>
      <c r="I26" s="38">
        <v>1</v>
      </c>
      <c r="J26" s="128">
        <f t="shared" si="1"/>
        <v>1.2517000235410018</v>
      </c>
      <c r="K26" s="39" t="str">
        <f>INDEX(powers!$H$2:$H$75,33+I26)</f>
        <v>dozen</v>
      </c>
      <c r="L26" s="40" t="str">
        <f t="shared" si="2"/>
        <v>1</v>
      </c>
      <c r="M26" s="24">
        <f t="shared" si="16"/>
        <v>3.0204002824920222</v>
      </c>
      <c r="N26" s="41" t="str">
        <f t="shared" si="3"/>
        <v>3</v>
      </c>
      <c r="O26" s="24">
        <f t="shared" si="17"/>
        <v>0.24480338990426631</v>
      </c>
      <c r="P26" s="41" t="str">
        <f t="shared" si="4"/>
        <v>0</v>
      </c>
      <c r="Q26" s="24">
        <f t="shared" si="18"/>
        <v>2.9376406788511957</v>
      </c>
      <c r="R26" s="41" t="str">
        <f t="shared" si="5"/>
        <v>2</v>
      </c>
      <c r="S26" s="24">
        <f t="shared" si="19"/>
        <v>11.251688146214349</v>
      </c>
      <c r="T26" s="41" t="str">
        <f t="shared" si="6"/>
        <v>E</v>
      </c>
      <c r="U26" s="24">
        <f t="shared" si="20"/>
        <v>3.0202577545721851</v>
      </c>
      <c r="V26" s="41" t="str">
        <f t="shared" si="7"/>
        <v>3</v>
      </c>
      <c r="W26" s="24">
        <f t="shared" si="21"/>
        <v>0.24309305486622179</v>
      </c>
      <c r="X26" s="41" t="str">
        <f t="shared" si="8"/>
        <v>0</v>
      </c>
      <c r="Y26" s="24">
        <f t="shared" si="22"/>
        <v>2.9171166583946615</v>
      </c>
      <c r="Z26" s="41" t="str">
        <f t="shared" si="9"/>
        <v>2</v>
      </c>
      <c r="AA26" s="24">
        <f t="shared" si="23"/>
        <v>11.005399900735938</v>
      </c>
      <c r="AB26" s="41" t="str">
        <f t="shared" si="10"/>
        <v>E</v>
      </c>
      <c r="AC26" s="24">
        <f t="shared" si="24"/>
        <v>6.4798808831255883E-2</v>
      </c>
      <c r="AD26" s="41" t="str">
        <f t="shared" si="11"/>
        <v/>
      </c>
      <c r="AE26" s="24">
        <f t="shared" si="25"/>
        <v>0.7775857059750706</v>
      </c>
      <c r="AF26" s="41" t="str">
        <f t="shared" si="12"/>
        <v/>
      </c>
      <c r="AG26" s="24">
        <f t="shared" si="26"/>
        <v>9.3310284717008471</v>
      </c>
      <c r="AH26" s="41" t="str">
        <f t="shared" si="13"/>
        <v/>
      </c>
      <c r="AI26" s="24">
        <f t="shared" si="27"/>
        <v>3.9723416604101658</v>
      </c>
      <c r="AJ26" s="41" t="str">
        <f t="shared" si="14"/>
        <v/>
      </c>
    </row>
    <row r="27" spans="1:36" ht="13.5" customHeight="1" x14ac:dyDescent="0.2">
      <c r="A27" s="314" t="s">
        <v>783</v>
      </c>
      <c r="B27" s="315">
        <v>8</v>
      </c>
      <c r="C27" s="316" t="s">
        <v>782</v>
      </c>
      <c r="D27" s="317">
        <v>15.9994</v>
      </c>
      <c r="E27" s="318"/>
      <c r="F27" s="8">
        <v>6</v>
      </c>
      <c r="G27" s="21">
        <f t="shared" si="0"/>
        <v>16.021043065733906</v>
      </c>
      <c r="H27" s="37" t="str">
        <f t="shared" si="15"/>
        <v>1;403044</v>
      </c>
      <c r="I27" s="38">
        <v>1</v>
      </c>
      <c r="J27" s="128">
        <f t="shared" si="1"/>
        <v>1.3350869221444921</v>
      </c>
      <c r="K27" s="39" t="str">
        <f>INDEX(powers!$H$2:$H$75,33+I27)</f>
        <v>dozen</v>
      </c>
      <c r="L27" s="40" t="str">
        <f t="shared" si="2"/>
        <v>1</v>
      </c>
      <c r="M27" s="24">
        <f t="shared" si="16"/>
        <v>4.0210430657339051</v>
      </c>
      <c r="N27" s="41" t="str">
        <f t="shared" si="3"/>
        <v>4</v>
      </c>
      <c r="O27" s="24">
        <f t="shared" si="17"/>
        <v>0.25251678880686157</v>
      </c>
      <c r="P27" s="41" t="str">
        <f t="shared" si="4"/>
        <v>0</v>
      </c>
      <c r="Q27" s="24">
        <f t="shared" si="18"/>
        <v>3.0302014656823388</v>
      </c>
      <c r="R27" s="41" t="str">
        <f t="shared" si="5"/>
        <v>3</v>
      </c>
      <c r="S27" s="24">
        <f t="shared" si="19"/>
        <v>0.36241758818806602</v>
      </c>
      <c r="T27" s="41" t="str">
        <f t="shared" si="6"/>
        <v>0</v>
      </c>
      <c r="U27" s="24">
        <f t="shared" si="20"/>
        <v>4.3490110582567922</v>
      </c>
      <c r="V27" s="41" t="str">
        <f t="shared" si="7"/>
        <v>4</v>
      </c>
      <c r="W27" s="24">
        <f t="shared" si="21"/>
        <v>4.1881326990815069</v>
      </c>
      <c r="X27" s="41" t="str">
        <f t="shared" si="8"/>
        <v>4</v>
      </c>
      <c r="Y27" s="24">
        <f t="shared" si="22"/>
        <v>2.2575923889780825</v>
      </c>
      <c r="Z27" s="41" t="str">
        <f t="shared" si="9"/>
        <v/>
      </c>
      <c r="AA27" s="24">
        <f t="shared" si="23"/>
        <v>3.0911086677369894</v>
      </c>
      <c r="AB27" s="41" t="str">
        <f t="shared" si="10"/>
        <v/>
      </c>
      <c r="AC27" s="24">
        <f t="shared" si="24"/>
        <v>1.0933040128438734</v>
      </c>
      <c r="AD27" s="41" t="str">
        <f t="shared" si="11"/>
        <v/>
      </c>
      <c r="AE27" s="24">
        <f t="shared" si="25"/>
        <v>1.1196481541264802</v>
      </c>
      <c r="AF27" s="41" t="str">
        <f t="shared" si="12"/>
        <v/>
      </c>
      <c r="AG27" s="24">
        <f t="shared" si="26"/>
        <v>1.4357778495177627</v>
      </c>
      <c r="AH27" s="41" t="str">
        <f t="shared" si="13"/>
        <v/>
      </c>
      <c r="AI27" s="24">
        <f t="shared" si="27"/>
        <v>5.2293341942131519</v>
      </c>
      <c r="AJ27" s="41" t="str">
        <f t="shared" si="14"/>
        <v/>
      </c>
    </row>
    <row r="28" spans="1:36" ht="13.5" customHeight="1" x14ac:dyDescent="0.2">
      <c r="A28" s="314"/>
      <c r="B28" s="315"/>
      <c r="C28" s="316"/>
      <c r="D28" s="317"/>
      <c r="E28" s="316">
        <v>15.9949146221</v>
      </c>
      <c r="F28" s="8">
        <v>10</v>
      </c>
      <c r="G28" s="21">
        <f t="shared" si="0"/>
        <v>16.016551620273326</v>
      </c>
      <c r="H28" s="37" t="str">
        <f t="shared" si="15"/>
        <v>1;4024726X59</v>
      </c>
      <c r="I28" s="38">
        <v>1</v>
      </c>
      <c r="J28" s="128">
        <f t="shared" si="1"/>
        <v>1.3347126350227771</v>
      </c>
      <c r="K28" s="39" t="str">
        <f>INDEX(powers!$H$2:$H$75,33+I28)</f>
        <v>dozen</v>
      </c>
      <c r="L28" s="40" t="str">
        <f t="shared" si="2"/>
        <v>1</v>
      </c>
      <c r="M28" s="24">
        <f t="shared" si="16"/>
        <v>4.0165516202733258</v>
      </c>
      <c r="N28" s="41" t="str">
        <f t="shared" si="3"/>
        <v>4</v>
      </c>
      <c r="O28" s="24">
        <f t="shared" si="17"/>
        <v>0.19861944327990955</v>
      </c>
      <c r="P28" s="41" t="str">
        <f t="shared" si="4"/>
        <v>0</v>
      </c>
      <c r="Q28" s="24">
        <f t="shared" si="18"/>
        <v>2.3834333193589146</v>
      </c>
      <c r="R28" s="41" t="str">
        <f t="shared" si="5"/>
        <v>2</v>
      </c>
      <c r="S28" s="24">
        <f t="shared" si="19"/>
        <v>4.6011998323069747</v>
      </c>
      <c r="T28" s="41" t="str">
        <f t="shared" si="6"/>
        <v>4</v>
      </c>
      <c r="U28" s="24">
        <f t="shared" si="20"/>
        <v>7.2143979876836966</v>
      </c>
      <c r="V28" s="41" t="str">
        <f t="shared" si="7"/>
        <v>7</v>
      </c>
      <c r="W28" s="24">
        <f t="shared" si="21"/>
        <v>2.5727758522043587</v>
      </c>
      <c r="X28" s="41" t="str">
        <f t="shared" si="8"/>
        <v>2</v>
      </c>
      <c r="Y28" s="24">
        <f t="shared" si="22"/>
        <v>6.8733102264523041</v>
      </c>
      <c r="Z28" s="41" t="str">
        <f t="shared" si="9"/>
        <v>6</v>
      </c>
      <c r="AA28" s="24">
        <f t="shared" si="23"/>
        <v>10.479722717427649</v>
      </c>
      <c r="AB28" s="41" t="str">
        <f t="shared" si="10"/>
        <v>X</v>
      </c>
      <c r="AC28" s="24">
        <f t="shared" si="24"/>
        <v>5.7566726091317832</v>
      </c>
      <c r="AD28" s="41" t="str">
        <f t="shared" si="11"/>
        <v>5</v>
      </c>
      <c r="AE28" s="24">
        <f t="shared" si="25"/>
        <v>9.080071309581399</v>
      </c>
      <c r="AF28" s="41" t="str">
        <f t="shared" si="12"/>
        <v>9</v>
      </c>
      <c r="AG28" s="24">
        <f t="shared" si="26"/>
        <v>0.96085571497678757</v>
      </c>
      <c r="AH28" s="41" t="str">
        <f t="shared" si="13"/>
        <v/>
      </c>
      <c r="AI28" s="24">
        <f t="shared" si="27"/>
        <v>11.530268579721451</v>
      </c>
      <c r="AJ28" s="41" t="str">
        <f t="shared" si="14"/>
        <v/>
      </c>
    </row>
    <row r="29" spans="1:36" ht="13.5" customHeight="1" x14ac:dyDescent="0.2">
      <c r="A29" s="314" t="s">
        <v>785</v>
      </c>
      <c r="B29" s="315">
        <v>9</v>
      </c>
      <c r="C29" s="316" t="s">
        <v>784</v>
      </c>
      <c r="D29" s="317">
        <v>18.998403199999998</v>
      </c>
      <c r="E29" s="316"/>
      <c r="F29" s="8">
        <v>9</v>
      </c>
      <c r="G29" s="21">
        <f t="shared" si="0"/>
        <v>19.024103144328947</v>
      </c>
      <c r="H29" s="37" t="str">
        <f t="shared" si="15"/>
        <v>1;703579773</v>
      </c>
      <c r="I29" s="38">
        <v>1</v>
      </c>
      <c r="J29" s="128">
        <f t="shared" si="1"/>
        <v>1.5853419286940789</v>
      </c>
      <c r="K29" s="39" t="str">
        <f>INDEX(powers!$H$2:$H$75,33+I29)</f>
        <v>dozen</v>
      </c>
      <c r="L29" s="40" t="str">
        <f t="shared" si="2"/>
        <v>1</v>
      </c>
      <c r="M29" s="24">
        <f t="shared" si="16"/>
        <v>7.0241031443289463</v>
      </c>
      <c r="N29" s="41" t="str">
        <f t="shared" si="3"/>
        <v>7</v>
      </c>
      <c r="O29" s="24">
        <f t="shared" si="17"/>
        <v>0.28923773194735602</v>
      </c>
      <c r="P29" s="41" t="str">
        <f t="shared" si="4"/>
        <v>0</v>
      </c>
      <c r="Q29" s="24">
        <f t="shared" si="18"/>
        <v>3.4708527833682723</v>
      </c>
      <c r="R29" s="41" t="str">
        <f t="shared" si="5"/>
        <v>3</v>
      </c>
      <c r="S29" s="24">
        <f t="shared" si="19"/>
        <v>5.6502334004192676</v>
      </c>
      <c r="T29" s="41" t="str">
        <f t="shared" si="6"/>
        <v>5</v>
      </c>
      <c r="U29" s="24">
        <f t="shared" si="20"/>
        <v>7.802800805031211</v>
      </c>
      <c r="V29" s="41" t="str">
        <f t="shared" si="7"/>
        <v>7</v>
      </c>
      <c r="W29" s="24">
        <f t="shared" si="21"/>
        <v>9.6336096603745318</v>
      </c>
      <c r="X29" s="41" t="str">
        <f t="shared" si="8"/>
        <v>9</v>
      </c>
      <c r="Y29" s="24">
        <f t="shared" si="22"/>
        <v>7.6033159244943818</v>
      </c>
      <c r="Z29" s="41" t="str">
        <f t="shared" si="9"/>
        <v>7</v>
      </c>
      <c r="AA29" s="24">
        <f t="shared" si="23"/>
        <v>7.2397910939325811</v>
      </c>
      <c r="AB29" s="41" t="str">
        <f t="shared" si="10"/>
        <v>7</v>
      </c>
      <c r="AC29" s="24">
        <f t="shared" si="24"/>
        <v>2.8774931271909736</v>
      </c>
      <c r="AD29" s="41" t="str">
        <f t="shared" si="11"/>
        <v>3</v>
      </c>
      <c r="AE29" s="24">
        <f t="shared" si="25"/>
        <v>10.529917526291683</v>
      </c>
      <c r="AF29" s="41" t="str">
        <f t="shared" si="12"/>
        <v/>
      </c>
      <c r="AG29" s="24">
        <f t="shared" si="26"/>
        <v>6.3590103155001998</v>
      </c>
      <c r="AH29" s="41" t="str">
        <f t="shared" si="13"/>
        <v/>
      </c>
      <c r="AI29" s="24">
        <f t="shared" si="27"/>
        <v>4.3081237860023975</v>
      </c>
      <c r="AJ29" s="41" t="str">
        <f t="shared" si="14"/>
        <v/>
      </c>
    </row>
    <row r="30" spans="1:36" ht="13.5" customHeight="1" x14ac:dyDescent="0.2">
      <c r="A30" s="314"/>
      <c r="B30" s="315"/>
      <c r="C30" s="316"/>
      <c r="D30" s="317"/>
      <c r="E30" s="316">
        <v>18.99840322</v>
      </c>
      <c r="F30" s="8">
        <v>10</v>
      </c>
      <c r="G30" s="21">
        <f t="shared" si="0"/>
        <v>19.024103164356003</v>
      </c>
      <c r="H30" s="37" t="str">
        <f t="shared" si="15"/>
        <v>1;70357977E6</v>
      </c>
      <c r="I30" s="38">
        <v>1</v>
      </c>
      <c r="J30" s="128">
        <f t="shared" si="1"/>
        <v>1.5853419303630003</v>
      </c>
      <c r="K30" s="39" t="str">
        <f>INDEX(powers!$H$2:$H$75,33+I30)</f>
        <v>dozen</v>
      </c>
      <c r="L30" s="40" t="str">
        <f t="shared" si="2"/>
        <v>1</v>
      </c>
      <c r="M30" s="24">
        <f t="shared" si="16"/>
        <v>7.0241031643560037</v>
      </c>
      <c r="N30" s="41" t="str">
        <f t="shared" si="3"/>
        <v>7</v>
      </c>
      <c r="O30" s="24">
        <f t="shared" si="17"/>
        <v>0.28923797227204417</v>
      </c>
      <c r="P30" s="41" t="str">
        <f t="shared" si="4"/>
        <v>0</v>
      </c>
      <c r="Q30" s="24">
        <f t="shared" si="18"/>
        <v>3.4708556672645301</v>
      </c>
      <c r="R30" s="41" t="str">
        <f t="shared" si="5"/>
        <v>3</v>
      </c>
      <c r="S30" s="24">
        <f t="shared" si="19"/>
        <v>5.6502680071743612</v>
      </c>
      <c r="T30" s="41" t="str">
        <f t="shared" si="6"/>
        <v>5</v>
      </c>
      <c r="U30" s="24">
        <f t="shared" si="20"/>
        <v>7.8032160860923341</v>
      </c>
      <c r="V30" s="41" t="str">
        <f t="shared" si="7"/>
        <v>7</v>
      </c>
      <c r="W30" s="24">
        <f t="shared" si="21"/>
        <v>9.638593033108009</v>
      </c>
      <c r="X30" s="41" t="str">
        <f t="shared" si="8"/>
        <v>9</v>
      </c>
      <c r="Y30" s="24">
        <f t="shared" si="22"/>
        <v>7.6631163972961076</v>
      </c>
      <c r="Z30" s="41" t="str">
        <f t="shared" si="9"/>
        <v>7</v>
      </c>
      <c r="AA30" s="24">
        <f t="shared" si="23"/>
        <v>7.9573967675532913</v>
      </c>
      <c r="AB30" s="41" t="str">
        <f t="shared" si="10"/>
        <v>7</v>
      </c>
      <c r="AC30" s="24">
        <f t="shared" si="24"/>
        <v>11.488761210639495</v>
      </c>
      <c r="AD30" s="41" t="str">
        <f t="shared" si="11"/>
        <v>E</v>
      </c>
      <c r="AE30" s="24">
        <f t="shared" si="25"/>
        <v>5.8651345276739448</v>
      </c>
      <c r="AF30" s="41" t="str">
        <f t="shared" si="12"/>
        <v>6</v>
      </c>
      <c r="AG30" s="24">
        <f t="shared" si="26"/>
        <v>10.381614332087338</v>
      </c>
      <c r="AH30" s="41" t="str">
        <f t="shared" si="13"/>
        <v/>
      </c>
      <c r="AI30" s="24">
        <f t="shared" si="27"/>
        <v>4.5793719850480556</v>
      </c>
      <c r="AJ30" s="41" t="str">
        <f t="shared" si="14"/>
        <v/>
      </c>
    </row>
    <row r="31" spans="1:36" ht="13.5" customHeight="1" x14ac:dyDescent="0.2">
      <c r="A31" s="314" t="s">
        <v>787</v>
      </c>
      <c r="B31" s="315">
        <v>10</v>
      </c>
      <c r="C31" s="316" t="s">
        <v>786</v>
      </c>
      <c r="D31" s="317">
        <v>20.1797</v>
      </c>
      <c r="E31" s="316"/>
      <c r="F31" s="8">
        <v>6</v>
      </c>
      <c r="G31" s="21">
        <f t="shared" si="0"/>
        <v>20.206997934521926</v>
      </c>
      <c r="H31" s="37" t="str">
        <f t="shared" si="15"/>
        <v>1;825984</v>
      </c>
      <c r="I31" s="38">
        <v>1</v>
      </c>
      <c r="J31" s="128">
        <f t="shared" si="1"/>
        <v>1.6839164945434939</v>
      </c>
      <c r="K31" s="39" t="str">
        <f>INDEX(powers!$H$2:$H$75,33+I31)</f>
        <v>dozen</v>
      </c>
      <c r="L31" s="40" t="str">
        <f t="shared" si="2"/>
        <v>1</v>
      </c>
      <c r="M31" s="24">
        <f t="shared" si="16"/>
        <v>8.2069979345219259</v>
      </c>
      <c r="N31" s="41" t="str">
        <f t="shared" si="3"/>
        <v>8</v>
      </c>
      <c r="O31" s="24">
        <f t="shared" si="17"/>
        <v>2.4839752142631113</v>
      </c>
      <c r="P31" s="41" t="str">
        <f t="shared" si="4"/>
        <v>2</v>
      </c>
      <c r="Q31" s="24">
        <f t="shared" si="18"/>
        <v>5.8077025711573356</v>
      </c>
      <c r="R31" s="41" t="str">
        <f t="shared" si="5"/>
        <v>5</v>
      </c>
      <c r="S31" s="24">
        <f t="shared" si="19"/>
        <v>9.6924308538880268</v>
      </c>
      <c r="T31" s="41" t="str">
        <f t="shared" si="6"/>
        <v>9</v>
      </c>
      <c r="U31" s="24">
        <f t="shared" si="20"/>
        <v>8.309170246656322</v>
      </c>
      <c r="V31" s="41" t="str">
        <f t="shared" si="7"/>
        <v>8</v>
      </c>
      <c r="W31" s="24">
        <f t="shared" si="21"/>
        <v>3.7100429598758637</v>
      </c>
      <c r="X31" s="41" t="str">
        <f t="shared" si="8"/>
        <v>4</v>
      </c>
      <c r="Y31" s="24">
        <f t="shared" si="22"/>
        <v>8.5205155185103649</v>
      </c>
      <c r="Z31" s="41" t="str">
        <f t="shared" si="9"/>
        <v/>
      </c>
      <c r="AA31" s="24">
        <f t="shared" si="23"/>
        <v>6.2461862221243791</v>
      </c>
      <c r="AB31" s="41" t="str">
        <f t="shared" si="10"/>
        <v/>
      </c>
      <c r="AC31" s="24">
        <f t="shared" si="24"/>
        <v>2.9542346654925495</v>
      </c>
      <c r="AD31" s="41" t="str">
        <f t="shared" si="11"/>
        <v/>
      </c>
      <c r="AE31" s="24">
        <f t="shared" si="25"/>
        <v>11.450815985910594</v>
      </c>
      <c r="AF31" s="41" t="str">
        <f t="shared" si="12"/>
        <v/>
      </c>
      <c r="AG31" s="24">
        <f t="shared" si="26"/>
        <v>5.4097918309271336</v>
      </c>
      <c r="AH31" s="41" t="str">
        <f t="shared" si="13"/>
        <v/>
      </c>
      <c r="AI31" s="24">
        <f t="shared" si="27"/>
        <v>4.9175019711256027</v>
      </c>
      <c r="AJ31" s="41" t="str">
        <f t="shared" si="14"/>
        <v/>
      </c>
    </row>
    <row r="32" spans="1:36" ht="13.5" customHeight="1" x14ac:dyDescent="0.2">
      <c r="A32" s="314"/>
      <c r="B32" s="315"/>
      <c r="C32" s="316"/>
      <c r="D32" s="317"/>
      <c r="E32" s="316">
        <v>19.9924356</v>
      </c>
      <c r="F32" s="8">
        <v>9</v>
      </c>
      <c r="G32" s="21">
        <f t="shared" si="0"/>
        <v>20.019480214039984</v>
      </c>
      <c r="H32" s="37" t="str">
        <f t="shared" si="15"/>
        <v>1;80297E373</v>
      </c>
      <c r="I32" s="38">
        <v>1</v>
      </c>
      <c r="J32" s="128">
        <f t="shared" si="1"/>
        <v>1.6682900178366653</v>
      </c>
      <c r="K32" s="39" t="str">
        <f>INDEX(powers!$H$2:$H$75,33+I32)</f>
        <v>dozen</v>
      </c>
      <c r="L32" s="40" t="str">
        <f t="shared" si="2"/>
        <v>1</v>
      </c>
      <c r="M32" s="24">
        <f t="shared" si="16"/>
        <v>8.0194802140399837</v>
      </c>
      <c r="N32" s="41" t="str">
        <f t="shared" si="3"/>
        <v>8</v>
      </c>
      <c r="O32" s="24">
        <f t="shared" si="17"/>
        <v>0.23376256847980414</v>
      </c>
      <c r="P32" s="41" t="str">
        <f t="shared" si="4"/>
        <v>0</v>
      </c>
      <c r="Q32" s="24">
        <f t="shared" si="18"/>
        <v>2.8051508217576497</v>
      </c>
      <c r="R32" s="41" t="str">
        <f t="shared" si="5"/>
        <v>2</v>
      </c>
      <c r="S32" s="24">
        <f t="shared" si="19"/>
        <v>9.6618098610917968</v>
      </c>
      <c r="T32" s="41" t="str">
        <f t="shared" si="6"/>
        <v>9</v>
      </c>
      <c r="U32" s="24">
        <f t="shared" si="20"/>
        <v>7.9417183331015622</v>
      </c>
      <c r="V32" s="41" t="str">
        <f t="shared" si="7"/>
        <v>7</v>
      </c>
      <c r="W32" s="24">
        <f t="shared" si="21"/>
        <v>11.300619997218746</v>
      </c>
      <c r="X32" s="41" t="str">
        <f t="shared" si="8"/>
        <v>E</v>
      </c>
      <c r="Y32" s="24">
        <f t="shared" si="22"/>
        <v>3.6074399666249519</v>
      </c>
      <c r="Z32" s="41" t="str">
        <f t="shared" si="9"/>
        <v>3</v>
      </c>
      <c r="AA32" s="24">
        <f t="shared" si="23"/>
        <v>7.2892795994994231</v>
      </c>
      <c r="AB32" s="41" t="str">
        <f t="shared" si="10"/>
        <v>7</v>
      </c>
      <c r="AC32" s="24">
        <f t="shared" si="24"/>
        <v>3.4713551939930767</v>
      </c>
      <c r="AD32" s="41" t="str">
        <f t="shared" si="11"/>
        <v>3</v>
      </c>
      <c r="AE32" s="24">
        <f t="shared" si="25"/>
        <v>5.6562623279169202</v>
      </c>
      <c r="AF32" s="41" t="str">
        <f t="shared" si="12"/>
        <v/>
      </c>
      <c r="AG32" s="24">
        <f t="shared" si="26"/>
        <v>7.8751479350030422</v>
      </c>
      <c r="AH32" s="41" t="str">
        <f t="shared" si="13"/>
        <v/>
      </c>
      <c r="AI32" s="24">
        <f t="shared" si="27"/>
        <v>10.501775220036507</v>
      </c>
      <c r="AJ32" s="41" t="str">
        <f t="shared" si="14"/>
        <v/>
      </c>
    </row>
    <row r="33" spans="1:36" ht="13.5" customHeight="1" x14ac:dyDescent="0.2">
      <c r="A33" s="314" t="s">
        <v>789</v>
      </c>
      <c r="B33" s="315">
        <v>11</v>
      </c>
      <c r="C33" s="316" t="s">
        <v>788</v>
      </c>
      <c r="D33" s="317">
        <v>22.989769280000001</v>
      </c>
      <c r="E33" s="316"/>
      <c r="F33" s="8">
        <v>10</v>
      </c>
      <c r="G33" s="21">
        <f t="shared" si="0"/>
        <v>23.02086851420464</v>
      </c>
      <c r="H33" s="37" t="str">
        <f t="shared" si="15"/>
        <v>1;E030089072</v>
      </c>
      <c r="I33" s="38">
        <v>1</v>
      </c>
      <c r="J33" s="128">
        <f t="shared" si="1"/>
        <v>1.9184057095170532</v>
      </c>
      <c r="K33" s="39" t="str">
        <f>INDEX(powers!$H$2:$H$75,33+I33)</f>
        <v>dozen</v>
      </c>
      <c r="L33" s="40" t="str">
        <f t="shared" si="2"/>
        <v>1</v>
      </c>
      <c r="M33" s="24">
        <f t="shared" si="16"/>
        <v>11.02086851420464</v>
      </c>
      <c r="N33" s="41" t="str">
        <f t="shared" si="3"/>
        <v>E</v>
      </c>
      <c r="O33" s="24">
        <f t="shared" si="17"/>
        <v>0.25042217045567838</v>
      </c>
      <c r="P33" s="41" t="str">
        <f t="shared" si="4"/>
        <v>0</v>
      </c>
      <c r="Q33" s="24">
        <f t="shared" si="18"/>
        <v>3.0050660454681406</v>
      </c>
      <c r="R33" s="41" t="str">
        <f t="shared" si="5"/>
        <v>3</v>
      </c>
      <c r="S33" s="24">
        <f t="shared" si="19"/>
        <v>6.079254561768721E-2</v>
      </c>
      <c r="T33" s="41" t="str">
        <f t="shared" si="6"/>
        <v>0</v>
      </c>
      <c r="U33" s="24">
        <f t="shared" si="20"/>
        <v>0.72951054741224652</v>
      </c>
      <c r="V33" s="41" t="str">
        <f t="shared" si="7"/>
        <v>0</v>
      </c>
      <c r="W33" s="24">
        <f t="shared" si="21"/>
        <v>8.7541265689469583</v>
      </c>
      <c r="X33" s="41" t="str">
        <f t="shared" si="8"/>
        <v>8</v>
      </c>
      <c r="Y33" s="24">
        <f t="shared" si="22"/>
        <v>9.0495188273634994</v>
      </c>
      <c r="Z33" s="41" t="str">
        <f t="shared" si="9"/>
        <v>9</v>
      </c>
      <c r="AA33" s="24">
        <f t="shared" si="23"/>
        <v>0.59422592836199328</v>
      </c>
      <c r="AB33" s="41" t="str">
        <f t="shared" si="10"/>
        <v>0</v>
      </c>
      <c r="AC33" s="24">
        <f t="shared" si="24"/>
        <v>7.1307111403439194</v>
      </c>
      <c r="AD33" s="41" t="str">
        <f t="shared" si="11"/>
        <v>7</v>
      </c>
      <c r="AE33" s="24">
        <f t="shared" si="25"/>
        <v>1.5685336841270328</v>
      </c>
      <c r="AF33" s="41" t="str">
        <f t="shared" si="12"/>
        <v>2</v>
      </c>
      <c r="AG33" s="24">
        <f t="shared" si="26"/>
        <v>6.8224042095243931</v>
      </c>
      <c r="AH33" s="41" t="str">
        <f t="shared" si="13"/>
        <v/>
      </c>
      <c r="AI33" s="24">
        <f t="shared" si="27"/>
        <v>9.868850514292717</v>
      </c>
      <c r="AJ33" s="41" t="str">
        <f t="shared" si="14"/>
        <v/>
      </c>
    </row>
    <row r="34" spans="1:36" ht="13.5" customHeight="1" x14ac:dyDescent="0.2">
      <c r="A34" s="314"/>
      <c r="B34" s="315"/>
      <c r="C34" s="316"/>
      <c r="D34" s="317"/>
      <c r="E34" s="316">
        <v>22.989767700000002</v>
      </c>
      <c r="F34" s="8">
        <v>9</v>
      </c>
      <c r="G34" s="21">
        <f t="shared" si="0"/>
        <v>23.020866932067307</v>
      </c>
      <c r="H34" s="37" t="str">
        <f t="shared" si="15"/>
        <v>1;E0300843E</v>
      </c>
      <c r="I34" s="38">
        <v>1</v>
      </c>
      <c r="J34" s="128">
        <f t="shared" si="1"/>
        <v>1.9184055776722755</v>
      </c>
      <c r="K34" s="39" t="str">
        <f>INDEX(powers!$H$2:$H$75,33+I34)</f>
        <v>dozen</v>
      </c>
      <c r="L34" s="40" t="str">
        <f t="shared" si="2"/>
        <v>1</v>
      </c>
      <c r="M34" s="24">
        <f t="shared" si="16"/>
        <v>11.020866932067307</v>
      </c>
      <c r="N34" s="41" t="str">
        <f t="shared" si="3"/>
        <v>E</v>
      </c>
      <c r="O34" s="24">
        <f t="shared" si="17"/>
        <v>0.25040318480768065</v>
      </c>
      <c r="P34" s="41" t="str">
        <f t="shared" si="4"/>
        <v>0</v>
      </c>
      <c r="Q34" s="24">
        <f t="shared" si="18"/>
        <v>3.0048382176921677</v>
      </c>
      <c r="R34" s="41" t="str">
        <f t="shared" si="5"/>
        <v>3</v>
      </c>
      <c r="S34" s="24">
        <f t="shared" si="19"/>
        <v>5.8058612306012947E-2</v>
      </c>
      <c r="T34" s="41" t="str">
        <f t="shared" si="6"/>
        <v>0</v>
      </c>
      <c r="U34" s="24">
        <f t="shared" si="20"/>
        <v>0.69670334767215536</v>
      </c>
      <c r="V34" s="41" t="str">
        <f t="shared" si="7"/>
        <v>0</v>
      </c>
      <c r="W34" s="24">
        <f t="shared" si="21"/>
        <v>8.3604401720658643</v>
      </c>
      <c r="X34" s="41" t="str">
        <f t="shared" si="8"/>
        <v>8</v>
      </c>
      <c r="Y34" s="24">
        <f t="shared" si="22"/>
        <v>4.3252820647903718</v>
      </c>
      <c r="Z34" s="41" t="str">
        <f t="shared" si="9"/>
        <v>4</v>
      </c>
      <c r="AA34" s="24">
        <f t="shared" si="23"/>
        <v>3.9033847774844617</v>
      </c>
      <c r="AB34" s="41" t="str">
        <f t="shared" si="10"/>
        <v>3</v>
      </c>
      <c r="AC34" s="24">
        <f t="shared" si="24"/>
        <v>10.84061732981354</v>
      </c>
      <c r="AD34" s="41" t="str">
        <f t="shared" si="11"/>
        <v>E</v>
      </c>
      <c r="AE34" s="24">
        <f t="shared" si="25"/>
        <v>10.08740795776248</v>
      </c>
      <c r="AF34" s="41" t="str">
        <f t="shared" si="12"/>
        <v/>
      </c>
      <c r="AG34" s="24">
        <f t="shared" si="26"/>
        <v>1.0488954931497574</v>
      </c>
      <c r="AH34" s="41" t="str">
        <f t="shared" si="13"/>
        <v/>
      </c>
      <c r="AI34" s="24">
        <f t="shared" si="27"/>
        <v>0.58674591779708862</v>
      </c>
      <c r="AJ34" s="41" t="str">
        <f t="shared" si="14"/>
        <v/>
      </c>
    </row>
    <row r="35" spans="1:36" ht="13.5" customHeight="1" x14ac:dyDescent="0.2">
      <c r="A35" s="314" t="s">
        <v>791</v>
      </c>
      <c r="B35" s="315">
        <v>12</v>
      </c>
      <c r="C35" s="316" t="s">
        <v>790</v>
      </c>
      <c r="D35" s="317">
        <v>24.305</v>
      </c>
      <c r="E35" s="316"/>
      <c r="F35" s="8">
        <v>5</v>
      </c>
      <c r="G35" s="21">
        <f t="shared" si="0"/>
        <v>24.337878402481454</v>
      </c>
      <c r="H35" s="37" t="str">
        <f t="shared" si="15"/>
        <v>2;0407X</v>
      </c>
      <c r="I35" s="38">
        <v>1</v>
      </c>
      <c r="J35" s="128">
        <f t="shared" si="1"/>
        <v>2.028156533540121</v>
      </c>
      <c r="K35" s="39" t="str">
        <f>INDEX(powers!$H$2:$H$75,33+I35)</f>
        <v>dozen</v>
      </c>
      <c r="L35" s="40" t="str">
        <f t="shared" si="2"/>
        <v>2</v>
      </c>
      <c r="M35" s="24">
        <f t="shared" si="16"/>
        <v>0.33787840248145251</v>
      </c>
      <c r="N35" s="41" t="str">
        <f t="shared" si="3"/>
        <v>0</v>
      </c>
      <c r="O35" s="24">
        <f t="shared" si="17"/>
        <v>4.0545408297774301</v>
      </c>
      <c r="P35" s="41" t="str">
        <f t="shared" si="4"/>
        <v>4</v>
      </c>
      <c r="Q35" s="24">
        <f t="shared" si="18"/>
        <v>0.6544899573291616</v>
      </c>
      <c r="R35" s="41" t="str">
        <f t="shared" si="5"/>
        <v>0</v>
      </c>
      <c r="S35" s="24">
        <f t="shared" si="19"/>
        <v>7.8538794879499392</v>
      </c>
      <c r="T35" s="41" t="str">
        <f t="shared" si="6"/>
        <v>7</v>
      </c>
      <c r="U35" s="24">
        <f t="shared" si="20"/>
        <v>10.24655385539927</v>
      </c>
      <c r="V35" s="41" t="str">
        <f t="shared" si="7"/>
        <v>X</v>
      </c>
      <c r="W35" s="24">
        <f t="shared" si="21"/>
        <v>2.9586462647912413</v>
      </c>
      <c r="X35" s="41" t="str">
        <f t="shared" si="8"/>
        <v/>
      </c>
      <c r="Y35" s="24">
        <f t="shared" si="22"/>
        <v>11.503755177494895</v>
      </c>
      <c r="Z35" s="41" t="str">
        <f t="shared" si="9"/>
        <v/>
      </c>
      <c r="AA35" s="24">
        <f t="shared" si="23"/>
        <v>6.0450621299387421</v>
      </c>
      <c r="AB35" s="41" t="str">
        <f t="shared" si="10"/>
        <v/>
      </c>
      <c r="AC35" s="24">
        <f t="shared" si="24"/>
        <v>0.54074555926490575</v>
      </c>
      <c r="AD35" s="41" t="str">
        <f t="shared" si="11"/>
        <v/>
      </c>
      <c r="AE35" s="24">
        <f t="shared" si="25"/>
        <v>6.488946711178869</v>
      </c>
      <c r="AF35" s="41" t="str">
        <f t="shared" si="12"/>
        <v/>
      </c>
      <c r="AG35" s="24">
        <f t="shared" si="26"/>
        <v>5.8673605341464281</v>
      </c>
      <c r="AH35" s="41" t="str">
        <f t="shared" si="13"/>
        <v/>
      </c>
      <c r="AI35" s="24">
        <f t="shared" si="27"/>
        <v>10.408326409757137</v>
      </c>
      <c r="AJ35" s="41" t="str">
        <f t="shared" si="14"/>
        <v/>
      </c>
    </row>
    <row r="36" spans="1:36" ht="13.5" customHeight="1" x14ac:dyDescent="0.2">
      <c r="A36" s="314"/>
      <c r="B36" s="315"/>
      <c r="C36" s="316"/>
      <c r="D36" s="317"/>
      <c r="E36" s="316">
        <v>23.9850423</v>
      </c>
      <c r="F36" s="8">
        <v>9</v>
      </c>
      <c r="G36" s="21">
        <f t="shared" si="0"/>
        <v>24.017487882154871</v>
      </c>
      <c r="H36" s="37" t="str">
        <f t="shared" si="15"/>
        <v>2;002627665</v>
      </c>
      <c r="I36" s="38">
        <v>1</v>
      </c>
      <c r="J36" s="128">
        <f t="shared" si="1"/>
        <v>2.0014573235129061</v>
      </c>
      <c r="K36" s="39" t="str">
        <f>INDEX(powers!$H$2:$H$75,33+I36)</f>
        <v>dozen</v>
      </c>
      <c r="L36" s="40" t="str">
        <f t="shared" si="2"/>
        <v>2</v>
      </c>
      <c r="M36" s="24">
        <f t="shared" si="16"/>
        <v>1.7487882154872736E-2</v>
      </c>
      <c r="N36" s="41" t="str">
        <f t="shared" si="3"/>
        <v>0</v>
      </c>
      <c r="O36" s="24">
        <f t="shared" si="17"/>
        <v>0.20985458585847283</v>
      </c>
      <c r="P36" s="41" t="str">
        <f t="shared" si="4"/>
        <v>0</v>
      </c>
      <c r="Q36" s="24">
        <f t="shared" si="18"/>
        <v>2.518255030301674</v>
      </c>
      <c r="R36" s="41" t="str">
        <f t="shared" si="5"/>
        <v>2</v>
      </c>
      <c r="S36" s="24">
        <f t="shared" si="19"/>
        <v>6.2190603636200876</v>
      </c>
      <c r="T36" s="41" t="str">
        <f t="shared" si="6"/>
        <v>6</v>
      </c>
      <c r="U36" s="24">
        <f t="shared" si="20"/>
        <v>2.6287243634410515</v>
      </c>
      <c r="V36" s="41" t="str">
        <f t="shared" si="7"/>
        <v>2</v>
      </c>
      <c r="W36" s="24">
        <f t="shared" si="21"/>
        <v>7.5446923612926184</v>
      </c>
      <c r="X36" s="41" t="str">
        <f t="shared" si="8"/>
        <v>7</v>
      </c>
      <c r="Y36" s="24">
        <f t="shared" si="22"/>
        <v>6.5363083355114213</v>
      </c>
      <c r="Z36" s="41" t="str">
        <f t="shared" si="9"/>
        <v>6</v>
      </c>
      <c r="AA36" s="24">
        <f t="shared" si="23"/>
        <v>6.4357000261370558</v>
      </c>
      <c r="AB36" s="41" t="str">
        <f t="shared" si="10"/>
        <v>6</v>
      </c>
      <c r="AC36" s="24">
        <f t="shared" si="24"/>
        <v>5.22840031364467</v>
      </c>
      <c r="AD36" s="41" t="str">
        <f t="shared" si="11"/>
        <v>5</v>
      </c>
      <c r="AE36" s="24">
        <f t="shared" si="25"/>
        <v>2.7408037637360394</v>
      </c>
      <c r="AF36" s="41" t="str">
        <f t="shared" si="12"/>
        <v/>
      </c>
      <c r="AG36" s="24">
        <f t="shared" si="26"/>
        <v>8.8896451648324728</v>
      </c>
      <c r="AH36" s="41" t="str">
        <f t="shared" si="13"/>
        <v/>
      </c>
      <c r="AI36" s="24">
        <f t="shared" si="27"/>
        <v>10.675741977989674</v>
      </c>
      <c r="AJ36" s="41" t="str">
        <f t="shared" si="14"/>
        <v/>
      </c>
    </row>
    <row r="37" spans="1:36" ht="13.5" customHeight="1" x14ac:dyDescent="0.2">
      <c r="A37" s="314" t="s">
        <v>793</v>
      </c>
      <c r="B37" s="315">
        <v>13</v>
      </c>
      <c r="C37" s="316" t="s">
        <v>792</v>
      </c>
      <c r="D37" s="317">
        <v>26.9815386</v>
      </c>
      <c r="E37" s="316"/>
      <c r="F37" s="8">
        <v>9</v>
      </c>
      <c r="G37" s="21">
        <f t="shared" si="0"/>
        <v>27.018037669560147</v>
      </c>
      <c r="H37" s="37" t="str">
        <f t="shared" si="15"/>
        <v>2;302720424</v>
      </c>
      <c r="I37" s="38">
        <v>1</v>
      </c>
      <c r="J37" s="128">
        <f t="shared" si="1"/>
        <v>2.2515031391300124</v>
      </c>
      <c r="K37" s="39" t="str">
        <f>INDEX(powers!$H$2:$H$75,33+I37)</f>
        <v>dozen</v>
      </c>
      <c r="L37" s="40" t="str">
        <f t="shared" si="2"/>
        <v>2</v>
      </c>
      <c r="M37" s="24">
        <f t="shared" si="16"/>
        <v>3.0180376695601492</v>
      </c>
      <c r="N37" s="41" t="str">
        <f t="shared" si="3"/>
        <v>3</v>
      </c>
      <c r="O37" s="24">
        <f t="shared" si="17"/>
        <v>0.2164520347217902</v>
      </c>
      <c r="P37" s="41" t="str">
        <f t="shared" si="4"/>
        <v>0</v>
      </c>
      <c r="Q37" s="24">
        <f t="shared" si="18"/>
        <v>2.5974244166614824</v>
      </c>
      <c r="R37" s="41" t="str">
        <f t="shared" si="5"/>
        <v>2</v>
      </c>
      <c r="S37" s="24">
        <f t="shared" si="19"/>
        <v>7.1690929999377886</v>
      </c>
      <c r="T37" s="41" t="str">
        <f t="shared" si="6"/>
        <v>7</v>
      </c>
      <c r="U37" s="24">
        <f t="shared" si="20"/>
        <v>2.0291159992534631</v>
      </c>
      <c r="V37" s="41" t="str">
        <f t="shared" si="7"/>
        <v>2</v>
      </c>
      <c r="W37" s="24">
        <f t="shared" si="21"/>
        <v>0.34939199104155705</v>
      </c>
      <c r="X37" s="41" t="str">
        <f t="shared" si="8"/>
        <v>0</v>
      </c>
      <c r="Y37" s="24">
        <f t="shared" si="22"/>
        <v>4.1927038924986846</v>
      </c>
      <c r="Z37" s="41" t="str">
        <f t="shared" si="9"/>
        <v>4</v>
      </c>
      <c r="AA37" s="24">
        <f t="shared" si="23"/>
        <v>2.312446709984215</v>
      </c>
      <c r="AB37" s="41" t="str">
        <f t="shared" si="10"/>
        <v>2</v>
      </c>
      <c r="AC37" s="24">
        <f t="shared" si="24"/>
        <v>3.7493605198105797</v>
      </c>
      <c r="AD37" s="41" t="str">
        <f t="shared" si="11"/>
        <v>4</v>
      </c>
      <c r="AE37" s="24">
        <f t="shared" si="25"/>
        <v>8.9923262377269566</v>
      </c>
      <c r="AF37" s="41" t="str">
        <f t="shared" si="12"/>
        <v/>
      </c>
      <c r="AG37" s="24">
        <f t="shared" si="26"/>
        <v>11.907914852723479</v>
      </c>
      <c r="AH37" s="41" t="str">
        <f t="shared" si="13"/>
        <v/>
      </c>
      <c r="AI37" s="24">
        <f t="shared" si="27"/>
        <v>10.894978232681751</v>
      </c>
      <c r="AJ37" s="41" t="str">
        <f t="shared" si="14"/>
        <v/>
      </c>
    </row>
    <row r="38" spans="1:36" ht="13.5" customHeight="1" x14ac:dyDescent="0.2">
      <c r="A38" s="314"/>
      <c r="B38" s="315"/>
      <c r="C38" s="316"/>
      <c r="D38" s="317"/>
      <c r="E38" s="316">
        <v>26.9815386</v>
      </c>
      <c r="F38" s="8">
        <v>9</v>
      </c>
      <c r="G38" s="21">
        <f t="shared" si="0"/>
        <v>27.018037669560147</v>
      </c>
      <c r="H38" s="37" t="str">
        <f t="shared" si="15"/>
        <v>2;302720424</v>
      </c>
      <c r="I38" s="38">
        <v>1</v>
      </c>
      <c r="J38" s="128">
        <f t="shared" si="1"/>
        <v>2.2515031391300124</v>
      </c>
      <c r="K38" s="39" t="str">
        <f>INDEX(powers!$H$2:$H$75,33+I38)</f>
        <v>dozen</v>
      </c>
      <c r="L38" s="40" t="str">
        <f t="shared" si="2"/>
        <v>2</v>
      </c>
      <c r="M38" s="24">
        <f t="shared" si="16"/>
        <v>3.0180376695601492</v>
      </c>
      <c r="N38" s="41" t="str">
        <f t="shared" si="3"/>
        <v>3</v>
      </c>
      <c r="O38" s="24">
        <f t="shared" si="17"/>
        <v>0.2164520347217902</v>
      </c>
      <c r="P38" s="41" t="str">
        <f t="shared" si="4"/>
        <v>0</v>
      </c>
      <c r="Q38" s="24">
        <f t="shared" si="18"/>
        <v>2.5974244166614824</v>
      </c>
      <c r="R38" s="41" t="str">
        <f t="shared" si="5"/>
        <v>2</v>
      </c>
      <c r="S38" s="24">
        <f t="shared" si="19"/>
        <v>7.1690929999377886</v>
      </c>
      <c r="T38" s="41" t="str">
        <f t="shared" si="6"/>
        <v>7</v>
      </c>
      <c r="U38" s="24">
        <f t="shared" si="20"/>
        <v>2.0291159992534631</v>
      </c>
      <c r="V38" s="41" t="str">
        <f t="shared" si="7"/>
        <v>2</v>
      </c>
      <c r="W38" s="24">
        <f t="shared" si="21"/>
        <v>0.34939199104155705</v>
      </c>
      <c r="X38" s="41" t="str">
        <f t="shared" si="8"/>
        <v>0</v>
      </c>
      <c r="Y38" s="24">
        <f t="shared" si="22"/>
        <v>4.1927038924986846</v>
      </c>
      <c r="Z38" s="41" t="str">
        <f t="shared" si="9"/>
        <v>4</v>
      </c>
      <c r="AA38" s="24">
        <f t="shared" si="23"/>
        <v>2.312446709984215</v>
      </c>
      <c r="AB38" s="41" t="str">
        <f t="shared" si="10"/>
        <v>2</v>
      </c>
      <c r="AC38" s="24">
        <f t="shared" si="24"/>
        <v>3.7493605198105797</v>
      </c>
      <c r="AD38" s="41" t="str">
        <f t="shared" si="11"/>
        <v>4</v>
      </c>
      <c r="AE38" s="24">
        <f t="shared" si="25"/>
        <v>8.9923262377269566</v>
      </c>
      <c r="AF38" s="41" t="str">
        <f t="shared" si="12"/>
        <v/>
      </c>
      <c r="AG38" s="24">
        <f t="shared" si="26"/>
        <v>11.907914852723479</v>
      </c>
      <c r="AH38" s="41" t="str">
        <f t="shared" si="13"/>
        <v/>
      </c>
      <c r="AI38" s="24">
        <f t="shared" si="27"/>
        <v>10.894978232681751</v>
      </c>
      <c r="AJ38" s="41" t="str">
        <f t="shared" si="14"/>
        <v/>
      </c>
    </row>
    <row r="39" spans="1:36" ht="13.5" customHeight="1" x14ac:dyDescent="0.2">
      <c r="A39" s="314" t="s">
        <v>795</v>
      </c>
      <c r="B39" s="315">
        <v>14</v>
      </c>
      <c r="C39" s="316" t="s">
        <v>794</v>
      </c>
      <c r="D39" s="317">
        <v>28.0855</v>
      </c>
      <c r="E39" s="316"/>
      <c r="F39" s="8">
        <v>6</v>
      </c>
      <c r="G39" s="21">
        <f t="shared" si="0"/>
        <v>28.12349244488346</v>
      </c>
      <c r="H39" s="37" t="str">
        <f t="shared" si="15"/>
        <v>2;415949</v>
      </c>
      <c r="I39" s="38">
        <v>1</v>
      </c>
      <c r="J39" s="128">
        <f t="shared" si="1"/>
        <v>2.343624370406955</v>
      </c>
      <c r="K39" s="39" t="str">
        <f>INDEX(powers!$H$2:$H$75,33+I39)</f>
        <v>dozen</v>
      </c>
      <c r="L39" s="40" t="str">
        <f t="shared" si="2"/>
        <v>2</v>
      </c>
      <c r="M39" s="24">
        <f t="shared" si="16"/>
        <v>4.1234924448834605</v>
      </c>
      <c r="N39" s="41" t="str">
        <f t="shared" si="3"/>
        <v>4</v>
      </c>
      <c r="O39" s="24">
        <f t="shared" si="17"/>
        <v>1.4819093386015254</v>
      </c>
      <c r="P39" s="41" t="str">
        <f t="shared" si="4"/>
        <v>1</v>
      </c>
      <c r="Q39" s="24">
        <f t="shared" si="18"/>
        <v>5.7829120632183049</v>
      </c>
      <c r="R39" s="41" t="str">
        <f t="shared" si="5"/>
        <v>5</v>
      </c>
      <c r="S39" s="24">
        <f t="shared" si="19"/>
        <v>9.3949447586196584</v>
      </c>
      <c r="T39" s="41" t="str">
        <f t="shared" si="6"/>
        <v>9</v>
      </c>
      <c r="U39" s="24">
        <f t="shared" si="20"/>
        <v>4.7393371034359006</v>
      </c>
      <c r="V39" s="41" t="str">
        <f t="shared" si="7"/>
        <v>4</v>
      </c>
      <c r="W39" s="24">
        <f t="shared" si="21"/>
        <v>8.8720452412308077</v>
      </c>
      <c r="X39" s="41" t="str">
        <f t="shared" si="8"/>
        <v>9</v>
      </c>
      <c r="Y39" s="24">
        <f t="shared" si="22"/>
        <v>10.464542894769693</v>
      </c>
      <c r="Z39" s="41" t="str">
        <f t="shared" si="9"/>
        <v/>
      </c>
      <c r="AA39" s="24">
        <f t="shared" si="23"/>
        <v>5.5745147372363135</v>
      </c>
      <c r="AB39" s="41" t="str">
        <f t="shared" si="10"/>
        <v/>
      </c>
      <c r="AC39" s="24">
        <f t="shared" si="24"/>
        <v>6.8941768468357623</v>
      </c>
      <c r="AD39" s="41" t="str">
        <f t="shared" si="11"/>
        <v/>
      </c>
      <c r="AE39" s="24">
        <f t="shared" si="25"/>
        <v>10.730122162029147</v>
      </c>
      <c r="AF39" s="41" t="str">
        <f t="shared" si="12"/>
        <v/>
      </c>
      <c r="AG39" s="24">
        <f t="shared" si="26"/>
        <v>8.7614659443497658</v>
      </c>
      <c r="AH39" s="41" t="str">
        <f t="shared" si="13"/>
        <v/>
      </c>
      <c r="AI39" s="24">
        <f t="shared" si="27"/>
        <v>9.1375913321971893</v>
      </c>
      <c r="AJ39" s="41" t="str">
        <f t="shared" si="14"/>
        <v/>
      </c>
    </row>
    <row r="40" spans="1:36" ht="13.5" customHeight="1" x14ac:dyDescent="0.2">
      <c r="A40" s="314"/>
      <c r="B40" s="315"/>
      <c r="C40" s="316"/>
      <c r="D40" s="317"/>
      <c r="E40" s="316">
        <v>27.976927100000001</v>
      </c>
      <c r="F40" s="8">
        <v>9</v>
      </c>
      <c r="G40" s="21">
        <f t="shared" si="0"/>
        <v>28.014772673725066</v>
      </c>
      <c r="H40" s="37" t="str">
        <f t="shared" si="15"/>
        <v>2;402163XE7</v>
      </c>
      <c r="I40" s="38">
        <v>1</v>
      </c>
      <c r="J40" s="128">
        <f t="shared" si="1"/>
        <v>2.3345643894770887</v>
      </c>
      <c r="K40" s="39" t="str">
        <f>INDEX(powers!$H$2:$H$75,33+I40)</f>
        <v>dozen</v>
      </c>
      <c r="L40" s="40" t="str">
        <f t="shared" si="2"/>
        <v>2</v>
      </c>
      <c r="M40" s="24">
        <f t="shared" si="16"/>
        <v>4.014772673725064</v>
      </c>
      <c r="N40" s="41" t="str">
        <f t="shared" si="3"/>
        <v>4</v>
      </c>
      <c r="O40" s="24">
        <f t="shared" si="17"/>
        <v>0.17727208470076761</v>
      </c>
      <c r="P40" s="41" t="str">
        <f t="shared" si="4"/>
        <v>0</v>
      </c>
      <c r="Q40" s="24">
        <f t="shared" si="18"/>
        <v>2.1272650164092113</v>
      </c>
      <c r="R40" s="41" t="str">
        <f t="shared" si="5"/>
        <v>2</v>
      </c>
      <c r="S40" s="24">
        <f t="shared" si="19"/>
        <v>1.5271801969105354</v>
      </c>
      <c r="T40" s="41" t="str">
        <f t="shared" si="6"/>
        <v>1</v>
      </c>
      <c r="U40" s="24">
        <f t="shared" si="20"/>
        <v>6.326162362926425</v>
      </c>
      <c r="V40" s="41" t="str">
        <f t="shared" si="7"/>
        <v>6</v>
      </c>
      <c r="W40" s="24">
        <f t="shared" si="21"/>
        <v>3.9139483551170997</v>
      </c>
      <c r="X40" s="41" t="str">
        <f t="shared" si="8"/>
        <v>3</v>
      </c>
      <c r="Y40" s="24">
        <f t="shared" si="22"/>
        <v>10.967380261405197</v>
      </c>
      <c r="Z40" s="41" t="str">
        <f t="shared" si="9"/>
        <v>X</v>
      </c>
      <c r="AA40" s="24">
        <f t="shared" si="23"/>
        <v>11.608563136862358</v>
      </c>
      <c r="AB40" s="41" t="str">
        <f t="shared" si="10"/>
        <v>E</v>
      </c>
      <c r="AC40" s="24">
        <f t="shared" si="24"/>
        <v>7.3027576423482969</v>
      </c>
      <c r="AD40" s="41" t="str">
        <f t="shared" si="11"/>
        <v>7</v>
      </c>
      <c r="AE40" s="24">
        <f t="shared" si="25"/>
        <v>3.6330917081795633</v>
      </c>
      <c r="AF40" s="41" t="str">
        <f t="shared" si="12"/>
        <v/>
      </c>
      <c r="AG40" s="24">
        <f t="shared" si="26"/>
        <v>7.5971004981547594</v>
      </c>
      <c r="AH40" s="41" t="str">
        <f t="shared" si="13"/>
        <v/>
      </c>
      <c r="AI40" s="24">
        <f t="shared" si="27"/>
        <v>7.1652059778571129</v>
      </c>
      <c r="AJ40" s="41" t="str">
        <f t="shared" si="14"/>
        <v/>
      </c>
    </row>
    <row r="41" spans="1:36" ht="13.5" customHeight="1" x14ac:dyDescent="0.2">
      <c r="A41" s="314" t="s">
        <v>797</v>
      </c>
      <c r="B41" s="315">
        <v>15</v>
      </c>
      <c r="C41" s="316" t="s">
        <v>796</v>
      </c>
      <c r="D41" s="317">
        <v>30.973762000000001</v>
      </c>
      <c r="E41" s="316"/>
      <c r="F41" s="8">
        <v>8</v>
      </c>
      <c r="G41" s="21">
        <f t="shared" si="0"/>
        <v>31.015661519168898</v>
      </c>
      <c r="H41" s="37" t="str">
        <f t="shared" si="15"/>
        <v>2;70230911</v>
      </c>
      <c r="I41" s="38">
        <v>1</v>
      </c>
      <c r="J41" s="128">
        <f t="shared" si="1"/>
        <v>2.5846384599307415</v>
      </c>
      <c r="K41" s="39" t="str">
        <f>INDEX(powers!$H$2:$H$75,33+I41)</f>
        <v>dozen</v>
      </c>
      <c r="L41" s="40" t="str">
        <f t="shared" si="2"/>
        <v>2</v>
      </c>
      <c r="M41" s="24">
        <f t="shared" si="16"/>
        <v>7.0156615191688978</v>
      </c>
      <c r="N41" s="41" t="str">
        <f t="shared" si="3"/>
        <v>7</v>
      </c>
      <c r="O41" s="24">
        <f t="shared" si="17"/>
        <v>0.18793823002677357</v>
      </c>
      <c r="P41" s="41" t="str">
        <f t="shared" si="4"/>
        <v>0</v>
      </c>
      <c r="Q41" s="24">
        <f t="shared" si="18"/>
        <v>2.2552587603212828</v>
      </c>
      <c r="R41" s="41" t="str">
        <f t="shared" si="5"/>
        <v>2</v>
      </c>
      <c r="S41" s="24">
        <f t="shared" si="19"/>
        <v>3.0631051238553937</v>
      </c>
      <c r="T41" s="41" t="str">
        <f t="shared" si="6"/>
        <v>3</v>
      </c>
      <c r="U41" s="24">
        <f t="shared" si="20"/>
        <v>0.75726148626472423</v>
      </c>
      <c r="V41" s="41" t="str">
        <f t="shared" si="7"/>
        <v>0</v>
      </c>
      <c r="W41" s="24">
        <f t="shared" si="21"/>
        <v>9.0871378351766907</v>
      </c>
      <c r="X41" s="41" t="str">
        <f t="shared" si="8"/>
        <v>9</v>
      </c>
      <c r="Y41" s="24">
        <f t="shared" si="22"/>
        <v>1.0456540221202886</v>
      </c>
      <c r="Z41" s="41" t="str">
        <f t="shared" si="9"/>
        <v>1</v>
      </c>
      <c r="AA41" s="24">
        <f t="shared" si="23"/>
        <v>0.54784826544346288</v>
      </c>
      <c r="AB41" s="41" t="str">
        <f t="shared" si="10"/>
        <v>1</v>
      </c>
      <c r="AC41" s="24">
        <f t="shared" si="24"/>
        <v>6.5741791853215545</v>
      </c>
      <c r="AD41" s="41" t="str">
        <f t="shared" si="11"/>
        <v/>
      </c>
      <c r="AE41" s="24">
        <f t="shared" si="25"/>
        <v>6.8901502238586545</v>
      </c>
      <c r="AF41" s="41" t="str">
        <f t="shared" si="12"/>
        <v/>
      </c>
      <c r="AG41" s="24">
        <f t="shared" si="26"/>
        <v>10.681802686303854</v>
      </c>
      <c r="AH41" s="41" t="str">
        <f t="shared" si="13"/>
        <v/>
      </c>
      <c r="AI41" s="24">
        <f t="shared" si="27"/>
        <v>8.1816322356462479</v>
      </c>
      <c r="AJ41" s="41" t="str">
        <f t="shared" si="14"/>
        <v/>
      </c>
    </row>
    <row r="42" spans="1:36" ht="13.5" customHeight="1" x14ac:dyDescent="0.2">
      <c r="A42" s="314"/>
      <c r="B42" s="315"/>
      <c r="C42" s="316"/>
      <c r="D42" s="317"/>
      <c r="E42" s="316">
        <v>30.973762000000001</v>
      </c>
      <c r="F42" s="8">
        <v>8</v>
      </c>
      <c r="G42" s="21">
        <f t="shared" si="0"/>
        <v>31.015661519168898</v>
      </c>
      <c r="H42" s="37" t="str">
        <f t="shared" si="15"/>
        <v>2;70230911</v>
      </c>
      <c r="I42" s="38">
        <v>1</v>
      </c>
      <c r="J42" s="128">
        <f t="shared" si="1"/>
        <v>2.5846384599307415</v>
      </c>
      <c r="K42" s="39" t="str">
        <f>INDEX(powers!$H$2:$H$75,33+I42)</f>
        <v>dozen</v>
      </c>
      <c r="L42" s="40" t="str">
        <f t="shared" si="2"/>
        <v>2</v>
      </c>
      <c r="M42" s="24">
        <f t="shared" si="16"/>
        <v>7.0156615191688978</v>
      </c>
      <c r="N42" s="41" t="str">
        <f t="shared" si="3"/>
        <v>7</v>
      </c>
      <c r="O42" s="24">
        <f t="shared" si="17"/>
        <v>0.18793823002677357</v>
      </c>
      <c r="P42" s="41" t="str">
        <f t="shared" si="4"/>
        <v>0</v>
      </c>
      <c r="Q42" s="24">
        <f t="shared" si="18"/>
        <v>2.2552587603212828</v>
      </c>
      <c r="R42" s="41" t="str">
        <f t="shared" si="5"/>
        <v>2</v>
      </c>
      <c r="S42" s="24">
        <f t="shared" si="19"/>
        <v>3.0631051238553937</v>
      </c>
      <c r="T42" s="41" t="str">
        <f t="shared" si="6"/>
        <v>3</v>
      </c>
      <c r="U42" s="24">
        <f t="shared" si="20"/>
        <v>0.75726148626472423</v>
      </c>
      <c r="V42" s="41" t="str">
        <f t="shared" si="7"/>
        <v>0</v>
      </c>
      <c r="W42" s="24">
        <f t="shared" si="21"/>
        <v>9.0871378351766907</v>
      </c>
      <c r="X42" s="41" t="str">
        <f t="shared" si="8"/>
        <v>9</v>
      </c>
      <c r="Y42" s="24">
        <f t="shared" si="22"/>
        <v>1.0456540221202886</v>
      </c>
      <c r="Z42" s="41" t="str">
        <f t="shared" si="9"/>
        <v>1</v>
      </c>
      <c r="AA42" s="24">
        <f t="shared" si="23"/>
        <v>0.54784826544346288</v>
      </c>
      <c r="AB42" s="41" t="str">
        <f t="shared" si="10"/>
        <v>1</v>
      </c>
      <c r="AC42" s="24">
        <f t="shared" si="24"/>
        <v>6.5741791853215545</v>
      </c>
      <c r="AD42" s="41" t="str">
        <f t="shared" si="11"/>
        <v/>
      </c>
      <c r="AE42" s="24">
        <f t="shared" si="25"/>
        <v>6.8901502238586545</v>
      </c>
      <c r="AF42" s="41" t="str">
        <f t="shared" si="12"/>
        <v/>
      </c>
      <c r="AG42" s="24">
        <f t="shared" si="26"/>
        <v>10.681802686303854</v>
      </c>
      <c r="AH42" s="41" t="str">
        <f t="shared" si="13"/>
        <v/>
      </c>
      <c r="AI42" s="24">
        <f t="shared" si="27"/>
        <v>8.1816322356462479</v>
      </c>
      <c r="AJ42" s="41" t="str">
        <f t="shared" si="14"/>
        <v/>
      </c>
    </row>
    <row r="43" spans="1:36" ht="13.5" customHeight="1" x14ac:dyDescent="0.2">
      <c r="A43" s="314" t="s">
        <v>799</v>
      </c>
      <c r="B43" s="315">
        <v>16</v>
      </c>
      <c r="C43" s="316" t="s">
        <v>798</v>
      </c>
      <c r="D43" s="317">
        <v>32.064999999999998</v>
      </c>
      <c r="E43" s="316"/>
      <c r="F43" s="8">
        <v>5</v>
      </c>
      <c r="G43" s="21">
        <f t="shared" si="0"/>
        <v>32.108375683010365</v>
      </c>
      <c r="H43" s="37" t="str">
        <f t="shared" si="15"/>
        <v>2;81373</v>
      </c>
      <c r="I43" s="38">
        <v>1</v>
      </c>
      <c r="J43" s="128">
        <f t="shared" si="1"/>
        <v>2.6756979735841973</v>
      </c>
      <c r="K43" s="39" t="str">
        <f>INDEX(powers!$H$2:$H$75,33+I43)</f>
        <v>dozen</v>
      </c>
      <c r="L43" s="40" t="str">
        <f t="shared" si="2"/>
        <v>2</v>
      </c>
      <c r="M43" s="24">
        <f t="shared" si="16"/>
        <v>8.108375683010367</v>
      </c>
      <c r="N43" s="41" t="str">
        <f t="shared" si="3"/>
        <v>8</v>
      </c>
      <c r="O43" s="24">
        <f t="shared" si="17"/>
        <v>1.3005081961244045</v>
      </c>
      <c r="P43" s="41" t="str">
        <f t="shared" si="4"/>
        <v>1</v>
      </c>
      <c r="Q43" s="24">
        <f t="shared" si="18"/>
        <v>3.6060983534928539</v>
      </c>
      <c r="R43" s="41" t="str">
        <f t="shared" si="5"/>
        <v>3</v>
      </c>
      <c r="S43" s="24">
        <f t="shared" si="19"/>
        <v>7.2731802419142468</v>
      </c>
      <c r="T43" s="41" t="str">
        <f t="shared" si="6"/>
        <v>7</v>
      </c>
      <c r="U43" s="24">
        <f t="shared" si="20"/>
        <v>3.278162902970962</v>
      </c>
      <c r="V43" s="41" t="str">
        <f t="shared" si="7"/>
        <v>3</v>
      </c>
      <c r="W43" s="24">
        <f t="shared" si="21"/>
        <v>3.3379548356515443</v>
      </c>
      <c r="X43" s="41" t="str">
        <f t="shared" si="8"/>
        <v/>
      </c>
      <c r="Y43" s="24">
        <f t="shared" si="22"/>
        <v>4.0554580278185313</v>
      </c>
      <c r="Z43" s="41" t="str">
        <f t="shared" si="9"/>
        <v/>
      </c>
      <c r="AA43" s="24">
        <f t="shared" si="23"/>
        <v>0.66549633382237516</v>
      </c>
      <c r="AB43" s="41" t="str">
        <f t="shared" si="10"/>
        <v/>
      </c>
      <c r="AC43" s="24">
        <f t="shared" si="24"/>
        <v>7.985956005868502</v>
      </c>
      <c r="AD43" s="41" t="str">
        <f t="shared" si="11"/>
        <v/>
      </c>
      <c r="AE43" s="24">
        <f t="shared" si="25"/>
        <v>11.831472070422024</v>
      </c>
      <c r="AF43" s="41" t="str">
        <f t="shared" si="12"/>
        <v/>
      </c>
      <c r="AG43" s="24">
        <f t="shared" si="26"/>
        <v>9.9776648450642824</v>
      </c>
      <c r="AH43" s="41" t="str">
        <f t="shared" si="13"/>
        <v/>
      </c>
      <c r="AI43" s="24">
        <f t="shared" si="27"/>
        <v>11.731978140771389</v>
      </c>
      <c r="AJ43" s="41" t="str">
        <f t="shared" si="14"/>
        <v/>
      </c>
    </row>
    <row r="44" spans="1:36" ht="13.5" customHeight="1" x14ac:dyDescent="0.2">
      <c r="A44" s="314"/>
      <c r="B44" s="315"/>
      <c r="C44" s="316"/>
      <c r="D44" s="317"/>
      <c r="E44" s="316">
        <v>31.972070689999999</v>
      </c>
      <c r="F44" s="8">
        <v>10</v>
      </c>
      <c r="G44" s="21">
        <f t="shared" si="0"/>
        <v>32.015320663598459</v>
      </c>
      <c r="H44" s="37" t="str">
        <f t="shared" si="15"/>
        <v>2;802258330E</v>
      </c>
      <c r="I44" s="38">
        <v>1</v>
      </c>
      <c r="J44" s="128">
        <f t="shared" si="1"/>
        <v>2.6679433886332049</v>
      </c>
      <c r="K44" s="39" t="str">
        <f>INDEX(powers!$H$2:$H$75,33+I44)</f>
        <v>dozen</v>
      </c>
      <c r="L44" s="40" t="str">
        <f t="shared" si="2"/>
        <v>2</v>
      </c>
      <c r="M44" s="24">
        <f t="shared" si="16"/>
        <v>8.0153206635984589</v>
      </c>
      <c r="N44" s="41" t="str">
        <f t="shared" si="3"/>
        <v>8</v>
      </c>
      <c r="O44" s="24">
        <f t="shared" si="17"/>
        <v>0.1838479631815062</v>
      </c>
      <c r="P44" s="41" t="str">
        <f t="shared" si="4"/>
        <v>0</v>
      </c>
      <c r="Q44" s="24">
        <f t="shared" si="18"/>
        <v>2.2061755581780744</v>
      </c>
      <c r="R44" s="41" t="str">
        <f t="shared" si="5"/>
        <v>2</v>
      </c>
      <c r="S44" s="24">
        <f t="shared" si="19"/>
        <v>2.4741066981368931</v>
      </c>
      <c r="T44" s="41" t="str">
        <f t="shared" si="6"/>
        <v>2</v>
      </c>
      <c r="U44" s="24">
        <f t="shared" si="20"/>
        <v>5.6892803776427172</v>
      </c>
      <c r="V44" s="41" t="str">
        <f t="shared" si="7"/>
        <v>5</v>
      </c>
      <c r="W44" s="24">
        <f t="shared" si="21"/>
        <v>8.2713645317126065</v>
      </c>
      <c r="X44" s="41" t="str">
        <f t="shared" si="8"/>
        <v>8</v>
      </c>
      <c r="Y44" s="24">
        <f t="shared" si="22"/>
        <v>3.2563743805512786</v>
      </c>
      <c r="Z44" s="41" t="str">
        <f t="shared" si="9"/>
        <v>3</v>
      </c>
      <c r="AA44" s="24">
        <f t="shared" si="23"/>
        <v>3.0764925666153431</v>
      </c>
      <c r="AB44" s="41" t="str">
        <f t="shared" si="10"/>
        <v>3</v>
      </c>
      <c r="AC44" s="24">
        <f t="shared" si="24"/>
        <v>0.91791079938411713</v>
      </c>
      <c r="AD44" s="41" t="str">
        <f t="shared" si="11"/>
        <v>0</v>
      </c>
      <c r="AE44" s="24">
        <f t="shared" si="25"/>
        <v>11.014929592609406</v>
      </c>
      <c r="AF44" s="41" t="str">
        <f t="shared" si="12"/>
        <v>E</v>
      </c>
      <c r="AG44" s="24">
        <f t="shared" si="26"/>
        <v>0.17915511131286621</v>
      </c>
      <c r="AH44" s="41" t="str">
        <f t="shared" si="13"/>
        <v/>
      </c>
      <c r="AI44" s="24">
        <f t="shared" si="27"/>
        <v>2.1498613357543945</v>
      </c>
      <c r="AJ44" s="41" t="str">
        <f t="shared" si="14"/>
        <v/>
      </c>
    </row>
    <row r="45" spans="1:36" ht="13.5" customHeight="1" x14ac:dyDescent="0.2">
      <c r="A45" s="314" t="s">
        <v>801</v>
      </c>
      <c r="B45" s="315">
        <v>17</v>
      </c>
      <c r="C45" s="316" t="s">
        <v>800</v>
      </c>
      <c r="D45" s="317">
        <v>35.453000000000003</v>
      </c>
      <c r="E45" s="316"/>
      <c r="F45" s="8">
        <v>5</v>
      </c>
      <c r="G45" s="21">
        <f t="shared" si="0"/>
        <v>35.500958774045422</v>
      </c>
      <c r="H45" s="37" t="str">
        <f t="shared" si="15"/>
        <v>2;E6018</v>
      </c>
      <c r="I45" s="38">
        <v>1</v>
      </c>
      <c r="J45" s="128">
        <f t="shared" si="1"/>
        <v>2.9584132311704519</v>
      </c>
      <c r="K45" s="39" t="str">
        <f>INDEX(powers!$H$2:$H$75,33+I45)</f>
        <v>dozen</v>
      </c>
      <c r="L45" s="40" t="str">
        <f t="shared" si="2"/>
        <v>2</v>
      </c>
      <c r="M45" s="24">
        <f t="shared" si="16"/>
        <v>11.500958774045422</v>
      </c>
      <c r="N45" s="41" t="str">
        <f t="shared" si="3"/>
        <v>E</v>
      </c>
      <c r="O45" s="24">
        <f t="shared" si="17"/>
        <v>6.0115052885450666</v>
      </c>
      <c r="P45" s="41" t="str">
        <f t="shared" si="4"/>
        <v>6</v>
      </c>
      <c r="Q45" s="24">
        <f t="shared" si="18"/>
        <v>0.13806346254079926</v>
      </c>
      <c r="R45" s="41" t="str">
        <f t="shared" si="5"/>
        <v>0</v>
      </c>
      <c r="S45" s="24">
        <f t="shared" si="19"/>
        <v>1.6567615504895912</v>
      </c>
      <c r="T45" s="41" t="str">
        <f t="shared" si="6"/>
        <v>1</v>
      </c>
      <c r="U45" s="24">
        <f t="shared" si="20"/>
        <v>7.8811386058750941</v>
      </c>
      <c r="V45" s="41" t="str">
        <f t="shared" si="7"/>
        <v>8</v>
      </c>
      <c r="W45" s="24">
        <f t="shared" si="21"/>
        <v>10.573663270501129</v>
      </c>
      <c r="X45" s="41" t="str">
        <f t="shared" si="8"/>
        <v/>
      </c>
      <c r="Y45" s="24">
        <f t="shared" si="22"/>
        <v>6.8839592460135464</v>
      </c>
      <c r="Z45" s="41" t="str">
        <f t="shared" si="9"/>
        <v/>
      </c>
      <c r="AA45" s="24">
        <f t="shared" si="23"/>
        <v>10.607510952162556</v>
      </c>
      <c r="AB45" s="41" t="str">
        <f t="shared" si="10"/>
        <v/>
      </c>
      <c r="AC45" s="24">
        <f t="shared" si="24"/>
        <v>7.2901314259506762</v>
      </c>
      <c r="AD45" s="41" t="str">
        <f t="shared" si="11"/>
        <v/>
      </c>
      <c r="AE45" s="24">
        <f t="shared" si="25"/>
        <v>3.4815771114081144</v>
      </c>
      <c r="AF45" s="41" t="str">
        <f t="shared" si="12"/>
        <v/>
      </c>
      <c r="AG45" s="24">
        <f t="shared" si="26"/>
        <v>5.7789253368973732</v>
      </c>
      <c r="AH45" s="41" t="str">
        <f t="shared" si="13"/>
        <v/>
      </c>
      <c r="AI45" s="24">
        <f t="shared" si="27"/>
        <v>9.3471040427684784</v>
      </c>
      <c r="AJ45" s="41" t="str">
        <f t="shared" si="14"/>
        <v/>
      </c>
    </row>
    <row r="46" spans="1:36" ht="13.5" customHeight="1" x14ac:dyDescent="0.2">
      <c r="A46" s="314"/>
      <c r="B46" s="315"/>
      <c r="C46" s="316"/>
      <c r="D46" s="317"/>
      <c r="E46" s="316">
        <v>34.96885271</v>
      </c>
      <c r="F46" s="8">
        <v>10</v>
      </c>
      <c r="G46" s="21">
        <f t="shared" si="0"/>
        <v>35.016156557509277</v>
      </c>
      <c r="H46" s="37" t="str">
        <f t="shared" si="15"/>
        <v>2;E023E0327</v>
      </c>
      <c r="I46" s="38">
        <v>1</v>
      </c>
      <c r="J46" s="128">
        <f t="shared" si="1"/>
        <v>2.9180130464591065</v>
      </c>
      <c r="K46" s="39" t="str">
        <f>INDEX(powers!$H$2:$H$75,33+I46)</f>
        <v>dozen</v>
      </c>
      <c r="L46" s="40" t="str">
        <f t="shared" si="2"/>
        <v>2</v>
      </c>
      <c r="M46" s="24">
        <f t="shared" si="16"/>
        <v>11.016156557509278</v>
      </c>
      <c r="N46" s="41" t="str">
        <f t="shared" si="3"/>
        <v>E</v>
      </c>
      <c r="O46" s="24">
        <f t="shared" si="17"/>
        <v>0.19387869011134029</v>
      </c>
      <c r="P46" s="41" t="str">
        <f t="shared" si="4"/>
        <v>0</v>
      </c>
      <c r="Q46" s="24">
        <f t="shared" si="18"/>
        <v>2.3265442813360835</v>
      </c>
      <c r="R46" s="41" t="str">
        <f t="shared" si="5"/>
        <v>2</v>
      </c>
      <c r="S46" s="24">
        <f t="shared" si="19"/>
        <v>3.9185313760330018</v>
      </c>
      <c r="T46" s="41" t="str">
        <f t="shared" si="6"/>
        <v>3</v>
      </c>
      <c r="U46" s="24">
        <f t="shared" si="20"/>
        <v>11.022376512396022</v>
      </c>
      <c r="V46" s="41" t="str">
        <f t="shared" si="7"/>
        <v>E</v>
      </c>
      <c r="W46" s="24">
        <f t="shared" si="21"/>
        <v>0.2685181487522641</v>
      </c>
      <c r="X46" s="41" t="str">
        <f t="shared" si="8"/>
        <v>0</v>
      </c>
      <c r="Y46" s="24">
        <f t="shared" si="22"/>
        <v>3.2222177850271692</v>
      </c>
      <c r="Z46" s="41" t="str">
        <f t="shared" si="9"/>
        <v>3</v>
      </c>
      <c r="AA46" s="24">
        <f t="shared" si="23"/>
        <v>2.6666134203260299</v>
      </c>
      <c r="AB46" s="41" t="str">
        <f t="shared" si="10"/>
        <v>2</v>
      </c>
      <c r="AC46" s="24">
        <f t="shared" si="24"/>
        <v>7.9993610439123586</v>
      </c>
      <c r="AD46" s="41" t="str">
        <f t="shared" si="11"/>
        <v>7</v>
      </c>
      <c r="AE46" s="24">
        <f t="shared" si="25"/>
        <v>11.992332526948303</v>
      </c>
      <c r="AF46" s="41" t="str">
        <f t="shared" si="12"/>
        <v/>
      </c>
      <c r="AG46" s="24">
        <f t="shared" si="26"/>
        <v>11.907990323379636</v>
      </c>
      <c r="AH46" s="41" t="str">
        <f t="shared" si="13"/>
        <v/>
      </c>
      <c r="AI46" s="24">
        <f t="shared" si="27"/>
        <v>10.89588388055563</v>
      </c>
      <c r="AJ46" s="41" t="str">
        <f t="shared" si="14"/>
        <v/>
      </c>
    </row>
    <row r="47" spans="1:36" ht="13.5" customHeight="1" x14ac:dyDescent="0.2">
      <c r="A47" s="314" t="s">
        <v>803</v>
      </c>
      <c r="B47" s="315">
        <v>18</v>
      </c>
      <c r="C47" s="316" t="s">
        <v>802</v>
      </c>
      <c r="D47" s="317">
        <v>39.948</v>
      </c>
      <c r="E47" s="316"/>
      <c r="F47" s="8">
        <v>5</v>
      </c>
      <c r="G47" s="21">
        <f t="shared" si="0"/>
        <v>40.002039350846637</v>
      </c>
      <c r="H47" s="37" t="str">
        <f t="shared" si="15"/>
        <v>3;40036</v>
      </c>
      <c r="I47" s="38">
        <v>1</v>
      </c>
      <c r="J47" s="128">
        <f t="shared" si="1"/>
        <v>3.3335032792372199</v>
      </c>
      <c r="K47" s="39" t="str">
        <f>INDEX(powers!$H$2:$H$75,33+I47)</f>
        <v>dozen</v>
      </c>
      <c r="L47" s="40" t="str">
        <f t="shared" si="2"/>
        <v>3</v>
      </c>
      <c r="M47" s="24">
        <f t="shared" si="16"/>
        <v>4.0020393508466388</v>
      </c>
      <c r="N47" s="41" t="str">
        <f t="shared" si="3"/>
        <v>4</v>
      </c>
      <c r="O47" s="24">
        <f t="shared" si="17"/>
        <v>2.4472210159665053E-2</v>
      </c>
      <c r="P47" s="41" t="str">
        <f t="shared" si="4"/>
        <v>0</v>
      </c>
      <c r="Q47" s="24">
        <f t="shared" si="18"/>
        <v>0.29366652191598064</v>
      </c>
      <c r="R47" s="41" t="str">
        <f t="shared" si="5"/>
        <v>0</v>
      </c>
      <c r="S47" s="24">
        <f t="shared" si="19"/>
        <v>3.5239982629917677</v>
      </c>
      <c r="T47" s="41" t="str">
        <f t="shared" si="6"/>
        <v>3</v>
      </c>
      <c r="U47" s="24">
        <f t="shared" si="20"/>
        <v>6.2879791559012119</v>
      </c>
      <c r="V47" s="41" t="str">
        <f t="shared" si="7"/>
        <v>6</v>
      </c>
      <c r="W47" s="24">
        <f t="shared" si="21"/>
        <v>3.4557498708145431</v>
      </c>
      <c r="X47" s="41" t="str">
        <f t="shared" si="8"/>
        <v/>
      </c>
      <c r="Y47" s="24">
        <f t="shared" si="22"/>
        <v>5.4689984497745172</v>
      </c>
      <c r="Z47" s="41" t="str">
        <f t="shared" si="9"/>
        <v/>
      </c>
      <c r="AA47" s="24">
        <f t="shared" si="23"/>
        <v>5.6279813972942065</v>
      </c>
      <c r="AB47" s="41" t="str">
        <f t="shared" si="10"/>
        <v/>
      </c>
      <c r="AC47" s="24">
        <f t="shared" si="24"/>
        <v>7.5357767675304785</v>
      </c>
      <c r="AD47" s="41" t="str">
        <f t="shared" si="11"/>
        <v/>
      </c>
      <c r="AE47" s="24">
        <f t="shared" si="25"/>
        <v>6.4293212103657424</v>
      </c>
      <c r="AF47" s="41" t="str">
        <f t="shared" si="12"/>
        <v/>
      </c>
      <c r="AG47" s="24">
        <f t="shared" si="26"/>
        <v>5.1518545243889093</v>
      </c>
      <c r="AH47" s="41" t="str">
        <f t="shared" si="13"/>
        <v/>
      </c>
      <c r="AI47" s="24">
        <f t="shared" si="27"/>
        <v>1.8222542926669121</v>
      </c>
      <c r="AJ47" s="41" t="str">
        <f t="shared" si="14"/>
        <v/>
      </c>
    </row>
    <row r="48" spans="1:36" ht="13.5" customHeight="1" x14ac:dyDescent="0.2">
      <c r="A48" s="314"/>
      <c r="B48" s="315"/>
      <c r="C48" s="316"/>
      <c r="D48" s="317"/>
      <c r="E48" s="316">
        <v>39.962383699999997</v>
      </c>
      <c r="F48" s="8">
        <v>9</v>
      </c>
      <c r="G48" s="21">
        <f t="shared" si="0"/>
        <v>40.016442508286573</v>
      </c>
      <c r="H48" s="37" t="str">
        <f t="shared" si="15"/>
        <v>3;40244E50X</v>
      </c>
      <c r="I48" s="38">
        <v>1</v>
      </c>
      <c r="J48" s="128">
        <f t="shared" si="1"/>
        <v>3.3347035423572144</v>
      </c>
      <c r="K48" s="39" t="str">
        <f>INDEX(powers!$H$2:$H$75,33+I48)</f>
        <v>dozen</v>
      </c>
      <c r="L48" s="40" t="str">
        <f t="shared" si="2"/>
        <v>3</v>
      </c>
      <c r="M48" s="24">
        <f t="shared" si="16"/>
        <v>4.0164425082865733</v>
      </c>
      <c r="N48" s="41" t="str">
        <f t="shared" si="3"/>
        <v>4</v>
      </c>
      <c r="O48" s="24">
        <f t="shared" si="17"/>
        <v>0.19731009943888012</v>
      </c>
      <c r="P48" s="41" t="str">
        <f t="shared" si="4"/>
        <v>0</v>
      </c>
      <c r="Q48" s="24">
        <f t="shared" si="18"/>
        <v>2.3677211932665614</v>
      </c>
      <c r="R48" s="41" t="str">
        <f t="shared" si="5"/>
        <v>2</v>
      </c>
      <c r="S48" s="24">
        <f t="shared" si="19"/>
        <v>4.4126543191987366</v>
      </c>
      <c r="T48" s="41" t="str">
        <f t="shared" si="6"/>
        <v>4</v>
      </c>
      <c r="U48" s="24">
        <f t="shared" si="20"/>
        <v>4.9518518303848396</v>
      </c>
      <c r="V48" s="41" t="str">
        <f t="shared" si="7"/>
        <v>4</v>
      </c>
      <c r="W48" s="24">
        <f t="shared" si="21"/>
        <v>11.422221964618075</v>
      </c>
      <c r="X48" s="41" t="str">
        <f t="shared" si="8"/>
        <v>E</v>
      </c>
      <c r="Y48" s="24">
        <f t="shared" si="22"/>
        <v>5.0666635754168965</v>
      </c>
      <c r="Z48" s="41" t="str">
        <f t="shared" si="9"/>
        <v>5</v>
      </c>
      <c r="AA48" s="24">
        <f t="shared" si="23"/>
        <v>0.79996290500275791</v>
      </c>
      <c r="AB48" s="41" t="str">
        <f t="shared" si="10"/>
        <v>0</v>
      </c>
      <c r="AC48" s="24">
        <f t="shared" si="24"/>
        <v>9.5995548600330949</v>
      </c>
      <c r="AD48" s="41" t="str">
        <f t="shared" si="11"/>
        <v>X</v>
      </c>
      <c r="AE48" s="24">
        <f t="shared" si="25"/>
        <v>7.1946583203971386</v>
      </c>
      <c r="AF48" s="41" t="str">
        <f t="shared" si="12"/>
        <v/>
      </c>
      <c r="AG48" s="24">
        <f t="shared" si="26"/>
        <v>2.3358998447656631</v>
      </c>
      <c r="AH48" s="41" t="str">
        <f t="shared" si="13"/>
        <v/>
      </c>
      <c r="AI48" s="24">
        <f t="shared" si="27"/>
        <v>4.0307981371879578</v>
      </c>
      <c r="AJ48" s="41" t="str">
        <f t="shared" si="14"/>
        <v/>
      </c>
    </row>
    <row r="49" spans="1:36" ht="13.5" customHeight="1" x14ac:dyDescent="0.2">
      <c r="A49" s="314" t="s">
        <v>804</v>
      </c>
      <c r="B49" s="315">
        <v>19</v>
      </c>
      <c r="C49" s="316" t="s">
        <v>556</v>
      </c>
      <c r="D49" s="317">
        <v>39.098300000000002</v>
      </c>
      <c r="E49" s="316"/>
      <c r="F49" s="8">
        <v>6</v>
      </c>
      <c r="G49" s="21">
        <f t="shared" si="0"/>
        <v>39.151189925683568</v>
      </c>
      <c r="H49" s="37" t="str">
        <f t="shared" si="15"/>
        <v>3;319931</v>
      </c>
      <c r="I49" s="38">
        <v>1</v>
      </c>
      <c r="J49" s="128">
        <f t="shared" si="1"/>
        <v>3.2625991604736306</v>
      </c>
      <c r="K49" s="39" t="str">
        <f>INDEX(powers!$H$2:$H$75,33+I49)</f>
        <v>dozen</v>
      </c>
      <c r="L49" s="40" t="str">
        <f t="shared" si="2"/>
        <v>3</v>
      </c>
      <c r="M49" s="24">
        <f t="shared" si="16"/>
        <v>3.1511899256835676</v>
      </c>
      <c r="N49" s="41" t="str">
        <f t="shared" si="3"/>
        <v>3</v>
      </c>
      <c r="O49" s="24">
        <f t="shared" si="17"/>
        <v>1.8142791082028111</v>
      </c>
      <c r="P49" s="41" t="str">
        <f t="shared" si="4"/>
        <v>1</v>
      </c>
      <c r="Q49" s="24">
        <f t="shared" si="18"/>
        <v>9.7713492984337336</v>
      </c>
      <c r="R49" s="41" t="str">
        <f t="shared" si="5"/>
        <v>9</v>
      </c>
      <c r="S49" s="24">
        <f t="shared" si="19"/>
        <v>9.2561915812048028</v>
      </c>
      <c r="T49" s="41" t="str">
        <f t="shared" si="6"/>
        <v>9</v>
      </c>
      <c r="U49" s="24">
        <f t="shared" si="20"/>
        <v>3.0742989744576334</v>
      </c>
      <c r="V49" s="41" t="str">
        <f t="shared" si="7"/>
        <v>3</v>
      </c>
      <c r="W49" s="24">
        <f t="shared" si="21"/>
        <v>0.89158769349160139</v>
      </c>
      <c r="X49" s="41" t="str">
        <f t="shared" si="8"/>
        <v>1</v>
      </c>
      <c r="Y49" s="24">
        <f t="shared" si="22"/>
        <v>10.699052321899217</v>
      </c>
      <c r="Z49" s="41" t="str">
        <f t="shared" si="9"/>
        <v/>
      </c>
      <c r="AA49" s="24">
        <f t="shared" si="23"/>
        <v>8.3886278627905995</v>
      </c>
      <c r="AB49" s="41" t="str">
        <f t="shared" si="10"/>
        <v/>
      </c>
      <c r="AC49" s="24">
        <f t="shared" si="24"/>
        <v>4.6635343534871936</v>
      </c>
      <c r="AD49" s="41" t="str">
        <f t="shared" si="11"/>
        <v/>
      </c>
      <c r="AE49" s="24">
        <f t="shared" si="25"/>
        <v>7.962412241846323</v>
      </c>
      <c r="AF49" s="41" t="str">
        <f t="shared" si="12"/>
        <v/>
      </c>
      <c r="AG49" s="24">
        <f t="shared" si="26"/>
        <v>11.548946902155876</v>
      </c>
      <c r="AH49" s="41" t="str">
        <f t="shared" si="13"/>
        <v/>
      </c>
      <c r="AI49" s="24">
        <f t="shared" si="27"/>
        <v>6.5873628258705139</v>
      </c>
      <c r="AJ49" s="41" t="str">
        <f t="shared" si="14"/>
        <v/>
      </c>
    </row>
    <row r="50" spans="1:36" ht="13.5" customHeight="1" x14ac:dyDescent="0.2">
      <c r="A50" s="314"/>
      <c r="B50" s="315"/>
      <c r="C50" s="316"/>
      <c r="D50" s="317"/>
      <c r="E50" s="316">
        <v>38.963707399999997</v>
      </c>
      <c r="F50" s="8">
        <v>9</v>
      </c>
      <c r="G50" s="21">
        <f t="shared" si="0"/>
        <v>39.016415256575407</v>
      </c>
      <c r="H50" s="37" t="str">
        <f t="shared" si="15"/>
        <v>3;302444784</v>
      </c>
      <c r="I50" s="38">
        <v>1</v>
      </c>
      <c r="J50" s="128">
        <f t="shared" si="1"/>
        <v>3.2513679380479505</v>
      </c>
      <c r="K50" s="39" t="str">
        <f>INDEX(powers!$H$2:$H$75,33+I50)</f>
        <v>dozen</v>
      </c>
      <c r="L50" s="40" t="str">
        <f t="shared" si="2"/>
        <v>3</v>
      </c>
      <c r="M50" s="24">
        <f t="shared" si="16"/>
        <v>3.0164152565754065</v>
      </c>
      <c r="N50" s="41" t="str">
        <f t="shared" si="3"/>
        <v>3</v>
      </c>
      <c r="O50" s="24">
        <f t="shared" si="17"/>
        <v>0.19698307890487854</v>
      </c>
      <c r="P50" s="41" t="str">
        <f t="shared" si="4"/>
        <v>0</v>
      </c>
      <c r="Q50" s="24">
        <f t="shared" si="18"/>
        <v>2.3637969468585425</v>
      </c>
      <c r="R50" s="41" t="str">
        <f t="shared" si="5"/>
        <v>2</v>
      </c>
      <c r="S50" s="24">
        <f t="shared" si="19"/>
        <v>4.3655633623025096</v>
      </c>
      <c r="T50" s="41" t="str">
        <f t="shared" si="6"/>
        <v>4</v>
      </c>
      <c r="U50" s="24">
        <f t="shared" si="20"/>
        <v>4.3867603476301156</v>
      </c>
      <c r="V50" s="41" t="str">
        <f t="shared" si="7"/>
        <v>4</v>
      </c>
      <c r="W50" s="24">
        <f t="shared" si="21"/>
        <v>4.6411241715613869</v>
      </c>
      <c r="X50" s="41" t="str">
        <f t="shared" si="8"/>
        <v>4</v>
      </c>
      <c r="Y50" s="24">
        <f t="shared" si="22"/>
        <v>7.6934900587366428</v>
      </c>
      <c r="Z50" s="41" t="str">
        <f t="shared" si="9"/>
        <v>7</v>
      </c>
      <c r="AA50" s="24">
        <f t="shared" si="23"/>
        <v>8.3218807048397139</v>
      </c>
      <c r="AB50" s="41" t="str">
        <f t="shared" si="10"/>
        <v>8</v>
      </c>
      <c r="AC50" s="24">
        <f t="shared" si="24"/>
        <v>3.8625684580765665</v>
      </c>
      <c r="AD50" s="41" t="str">
        <f t="shared" si="11"/>
        <v>4</v>
      </c>
      <c r="AE50" s="24">
        <f t="shared" si="25"/>
        <v>10.350821496918797</v>
      </c>
      <c r="AF50" s="41" t="str">
        <f t="shared" si="12"/>
        <v/>
      </c>
      <c r="AG50" s="24">
        <f t="shared" si="26"/>
        <v>4.2098579630255699</v>
      </c>
      <c r="AH50" s="41" t="str">
        <f t="shared" si="13"/>
        <v/>
      </c>
      <c r="AI50" s="24">
        <f t="shared" si="27"/>
        <v>2.518295556306839</v>
      </c>
      <c r="AJ50" s="41" t="str">
        <f t="shared" si="14"/>
        <v/>
      </c>
    </row>
    <row r="51" spans="1:36" ht="13.5" customHeight="1" x14ac:dyDescent="0.2">
      <c r="A51" s="314" t="s">
        <v>806</v>
      </c>
      <c r="B51" s="315">
        <v>20</v>
      </c>
      <c r="C51" s="316" t="s">
        <v>805</v>
      </c>
      <c r="D51" s="317">
        <v>40.078000000000003</v>
      </c>
      <c r="E51" s="316"/>
      <c r="F51" s="8">
        <v>5</v>
      </c>
      <c r="G51" s="21">
        <f t="shared" si="0"/>
        <v>40.132215207350349</v>
      </c>
      <c r="H51" s="37" t="str">
        <f t="shared" si="15"/>
        <v>3;41706</v>
      </c>
      <c r="I51" s="38">
        <v>1</v>
      </c>
      <c r="J51" s="128">
        <f t="shared" si="1"/>
        <v>3.3443512672791957</v>
      </c>
      <c r="K51" s="39" t="str">
        <f>INDEX(powers!$H$2:$H$75,33+I51)</f>
        <v>dozen</v>
      </c>
      <c r="L51" s="40" t="str">
        <f t="shared" si="2"/>
        <v>3</v>
      </c>
      <c r="M51" s="24">
        <f t="shared" si="16"/>
        <v>4.1322152073503489</v>
      </c>
      <c r="N51" s="41" t="str">
        <f t="shared" si="3"/>
        <v>4</v>
      </c>
      <c r="O51" s="24">
        <f t="shared" si="17"/>
        <v>1.5865824882041863</v>
      </c>
      <c r="P51" s="41" t="str">
        <f t="shared" si="4"/>
        <v>1</v>
      </c>
      <c r="Q51" s="24">
        <f t="shared" si="18"/>
        <v>7.0389898584502362</v>
      </c>
      <c r="R51" s="41" t="str">
        <f t="shared" si="5"/>
        <v>7</v>
      </c>
      <c r="S51" s="24">
        <f t="shared" si="19"/>
        <v>0.46787830140283404</v>
      </c>
      <c r="T51" s="41" t="str">
        <f t="shared" si="6"/>
        <v>0</v>
      </c>
      <c r="U51" s="24">
        <f t="shared" si="20"/>
        <v>5.6145396168340085</v>
      </c>
      <c r="V51" s="41" t="str">
        <f t="shared" si="7"/>
        <v>6</v>
      </c>
      <c r="W51" s="24">
        <f t="shared" si="21"/>
        <v>7.3744754020081018</v>
      </c>
      <c r="X51" s="41" t="str">
        <f t="shared" si="8"/>
        <v/>
      </c>
      <c r="Y51" s="24">
        <f t="shared" si="22"/>
        <v>4.4937048240972217</v>
      </c>
      <c r="Z51" s="41" t="str">
        <f t="shared" si="9"/>
        <v/>
      </c>
      <c r="AA51" s="24">
        <f t="shared" si="23"/>
        <v>5.9244578891666606</v>
      </c>
      <c r="AB51" s="41" t="str">
        <f t="shared" si="10"/>
        <v/>
      </c>
      <c r="AC51" s="24">
        <f t="shared" si="24"/>
        <v>11.093494669999927</v>
      </c>
      <c r="AD51" s="41" t="str">
        <f t="shared" si="11"/>
        <v/>
      </c>
      <c r="AE51" s="24">
        <f t="shared" si="25"/>
        <v>1.1219360399991274</v>
      </c>
      <c r="AF51" s="41" t="str">
        <f t="shared" si="12"/>
        <v/>
      </c>
      <c r="AG51" s="24">
        <f t="shared" si="26"/>
        <v>1.4632324799895287</v>
      </c>
      <c r="AH51" s="41" t="str">
        <f t="shared" si="13"/>
        <v/>
      </c>
      <c r="AI51" s="24">
        <f t="shared" si="27"/>
        <v>5.5587897598743439</v>
      </c>
      <c r="AJ51" s="41" t="str">
        <f t="shared" si="14"/>
        <v/>
      </c>
    </row>
    <row r="52" spans="1:36" ht="13.5" customHeight="1" x14ac:dyDescent="0.2">
      <c r="A52" s="314"/>
      <c r="B52" s="315"/>
      <c r="C52" s="316"/>
      <c r="D52" s="317"/>
      <c r="E52" s="316">
        <v>39.962590599999999</v>
      </c>
      <c r="F52" s="8">
        <v>9</v>
      </c>
      <c r="G52" s="21">
        <f t="shared" si="0"/>
        <v>40.016649688168968</v>
      </c>
      <c r="H52" s="37" t="str">
        <f t="shared" si="15"/>
        <v>3;402492E85</v>
      </c>
      <c r="I52" s="38">
        <v>1</v>
      </c>
      <c r="J52" s="128">
        <f t="shared" si="1"/>
        <v>3.3347208073474142</v>
      </c>
      <c r="K52" s="39" t="str">
        <f>INDEX(powers!$H$2:$H$75,33+I52)</f>
        <v>dozen</v>
      </c>
      <c r="L52" s="40" t="str">
        <f t="shared" si="2"/>
        <v>3</v>
      </c>
      <c r="M52" s="24">
        <f t="shared" si="16"/>
        <v>4.0166496881689699</v>
      </c>
      <c r="N52" s="41" t="str">
        <f t="shared" si="3"/>
        <v>4</v>
      </c>
      <c r="O52" s="24">
        <f t="shared" si="17"/>
        <v>0.19979625802763934</v>
      </c>
      <c r="P52" s="41" t="str">
        <f t="shared" si="4"/>
        <v>0</v>
      </c>
      <c r="Q52" s="24">
        <f t="shared" si="18"/>
        <v>2.3975550963316721</v>
      </c>
      <c r="R52" s="41" t="str">
        <f t="shared" si="5"/>
        <v>2</v>
      </c>
      <c r="S52" s="24">
        <f t="shared" si="19"/>
        <v>4.7706611559800649</v>
      </c>
      <c r="T52" s="41" t="str">
        <f t="shared" si="6"/>
        <v>4</v>
      </c>
      <c r="U52" s="24">
        <f t="shared" si="20"/>
        <v>9.2479338717607789</v>
      </c>
      <c r="V52" s="41" t="str">
        <f t="shared" si="7"/>
        <v>9</v>
      </c>
      <c r="W52" s="24">
        <f t="shared" si="21"/>
        <v>2.9752064611293463</v>
      </c>
      <c r="X52" s="41" t="str">
        <f t="shared" si="8"/>
        <v>2</v>
      </c>
      <c r="Y52" s="24">
        <f t="shared" si="22"/>
        <v>11.702477533552155</v>
      </c>
      <c r="Z52" s="41" t="str">
        <f t="shared" si="9"/>
        <v>E</v>
      </c>
      <c r="AA52" s="24">
        <f t="shared" si="23"/>
        <v>8.4297304026258644</v>
      </c>
      <c r="AB52" s="41" t="str">
        <f t="shared" si="10"/>
        <v>8</v>
      </c>
      <c r="AC52" s="24">
        <f t="shared" si="24"/>
        <v>5.1567648315103725</v>
      </c>
      <c r="AD52" s="41" t="str">
        <f t="shared" si="11"/>
        <v>5</v>
      </c>
      <c r="AE52" s="24">
        <f t="shared" si="25"/>
        <v>1.8811779781244695</v>
      </c>
      <c r="AF52" s="41" t="str">
        <f t="shared" si="12"/>
        <v/>
      </c>
      <c r="AG52" s="24">
        <f t="shared" si="26"/>
        <v>10.574135737493634</v>
      </c>
      <c r="AH52" s="41" t="str">
        <f t="shared" si="13"/>
        <v/>
      </c>
      <c r="AI52" s="24">
        <f t="shared" si="27"/>
        <v>6.8896288499236107</v>
      </c>
      <c r="AJ52" s="41" t="str">
        <f t="shared" si="14"/>
        <v/>
      </c>
    </row>
    <row r="53" spans="1:36" ht="13.5" customHeight="1" x14ac:dyDescent="0.2">
      <c r="A53" s="314" t="s">
        <v>808</v>
      </c>
      <c r="B53" s="315">
        <v>21</v>
      </c>
      <c r="C53" s="316" t="s">
        <v>807</v>
      </c>
      <c r="D53" s="317">
        <v>44.955910000000003</v>
      </c>
      <c r="E53" s="316"/>
      <c r="F53" s="8">
        <v>7</v>
      </c>
      <c r="G53" s="21">
        <f t="shared" si="0"/>
        <v>45.016723762719522</v>
      </c>
      <c r="H53" s="37" t="str">
        <f t="shared" si="15"/>
        <v>3;9024X95</v>
      </c>
      <c r="I53" s="38">
        <v>1</v>
      </c>
      <c r="J53" s="128">
        <f t="shared" si="1"/>
        <v>3.7513936468932934</v>
      </c>
      <c r="K53" s="39" t="str">
        <f>INDEX(powers!$H$2:$H$75,33+I53)</f>
        <v>dozen</v>
      </c>
      <c r="L53" s="40" t="str">
        <f t="shared" si="2"/>
        <v>3</v>
      </c>
      <c r="M53" s="24">
        <f t="shared" si="16"/>
        <v>9.0167237627195203</v>
      </c>
      <c r="N53" s="41" t="str">
        <f t="shared" si="3"/>
        <v>9</v>
      </c>
      <c r="O53" s="24">
        <f t="shared" si="17"/>
        <v>0.20068515263424302</v>
      </c>
      <c r="P53" s="41" t="str">
        <f t="shared" si="4"/>
        <v>0</v>
      </c>
      <c r="Q53" s="24">
        <f t="shared" si="18"/>
        <v>2.4082218316109163</v>
      </c>
      <c r="R53" s="41" t="str">
        <f t="shared" si="5"/>
        <v>2</v>
      </c>
      <c r="S53" s="24">
        <f t="shared" si="19"/>
        <v>4.8986619793309956</v>
      </c>
      <c r="T53" s="41" t="str">
        <f t="shared" si="6"/>
        <v>4</v>
      </c>
      <c r="U53" s="24">
        <f t="shared" si="20"/>
        <v>10.783943751971947</v>
      </c>
      <c r="V53" s="41" t="str">
        <f t="shared" si="7"/>
        <v>X</v>
      </c>
      <c r="W53" s="24">
        <f t="shared" si="21"/>
        <v>9.4073250236633612</v>
      </c>
      <c r="X53" s="41" t="str">
        <f t="shared" si="8"/>
        <v>9</v>
      </c>
      <c r="Y53" s="24">
        <f t="shared" si="22"/>
        <v>4.8879002839603345</v>
      </c>
      <c r="Z53" s="41" t="str">
        <f t="shared" si="9"/>
        <v>5</v>
      </c>
      <c r="AA53" s="24">
        <f t="shared" si="23"/>
        <v>10.654803407524014</v>
      </c>
      <c r="AB53" s="41" t="str">
        <f t="shared" si="10"/>
        <v/>
      </c>
      <c r="AC53" s="24">
        <f t="shared" si="24"/>
        <v>7.8576408902881667</v>
      </c>
      <c r="AD53" s="41" t="str">
        <f t="shared" si="11"/>
        <v/>
      </c>
      <c r="AE53" s="24">
        <f t="shared" si="25"/>
        <v>10.291690683458</v>
      </c>
      <c r="AF53" s="41" t="str">
        <f t="shared" si="12"/>
        <v/>
      </c>
      <c r="AG53" s="24">
        <f t="shared" si="26"/>
        <v>3.5002882014960051</v>
      </c>
      <c r="AH53" s="41" t="str">
        <f t="shared" si="13"/>
        <v/>
      </c>
      <c r="AI53" s="24">
        <f t="shared" si="27"/>
        <v>6.0034584179520607</v>
      </c>
      <c r="AJ53" s="41" t="str">
        <f t="shared" si="14"/>
        <v/>
      </c>
    </row>
    <row r="54" spans="1:36" ht="13.5" customHeight="1" x14ac:dyDescent="0.2">
      <c r="A54" s="314"/>
      <c r="B54" s="315"/>
      <c r="C54" s="316"/>
      <c r="D54" s="317"/>
      <c r="E54" s="316">
        <v>44.955910000000003</v>
      </c>
      <c r="F54" s="8">
        <v>7</v>
      </c>
      <c r="G54" s="21">
        <f t="shared" si="0"/>
        <v>45.016723762719522</v>
      </c>
      <c r="H54" s="37" t="str">
        <f t="shared" si="15"/>
        <v>3;9024X95</v>
      </c>
      <c r="I54" s="38">
        <v>1</v>
      </c>
      <c r="J54" s="128">
        <f t="shared" si="1"/>
        <v>3.7513936468932934</v>
      </c>
      <c r="K54" s="39" t="str">
        <f>INDEX(powers!$H$2:$H$75,33+I54)</f>
        <v>dozen</v>
      </c>
      <c r="L54" s="40" t="str">
        <f t="shared" si="2"/>
        <v>3</v>
      </c>
      <c r="M54" s="24">
        <f t="shared" si="16"/>
        <v>9.0167237627195203</v>
      </c>
      <c r="N54" s="41" t="str">
        <f t="shared" si="3"/>
        <v>9</v>
      </c>
      <c r="O54" s="24">
        <f t="shared" si="17"/>
        <v>0.20068515263424302</v>
      </c>
      <c r="P54" s="41" t="str">
        <f t="shared" si="4"/>
        <v>0</v>
      </c>
      <c r="Q54" s="24">
        <f t="shared" si="18"/>
        <v>2.4082218316109163</v>
      </c>
      <c r="R54" s="41" t="str">
        <f t="shared" si="5"/>
        <v>2</v>
      </c>
      <c r="S54" s="24">
        <f t="shared" si="19"/>
        <v>4.8986619793309956</v>
      </c>
      <c r="T54" s="41" t="str">
        <f t="shared" si="6"/>
        <v>4</v>
      </c>
      <c r="U54" s="24">
        <f t="shared" si="20"/>
        <v>10.783943751971947</v>
      </c>
      <c r="V54" s="41" t="str">
        <f t="shared" si="7"/>
        <v>X</v>
      </c>
      <c r="W54" s="24">
        <f t="shared" si="21"/>
        <v>9.4073250236633612</v>
      </c>
      <c r="X54" s="41" t="str">
        <f t="shared" si="8"/>
        <v>9</v>
      </c>
      <c r="Y54" s="24">
        <f t="shared" si="22"/>
        <v>4.8879002839603345</v>
      </c>
      <c r="Z54" s="41" t="str">
        <f t="shared" si="9"/>
        <v>5</v>
      </c>
      <c r="AA54" s="24">
        <f t="shared" si="23"/>
        <v>10.654803407524014</v>
      </c>
      <c r="AB54" s="41" t="str">
        <f t="shared" si="10"/>
        <v/>
      </c>
      <c r="AC54" s="24">
        <f t="shared" si="24"/>
        <v>7.8576408902881667</v>
      </c>
      <c r="AD54" s="41" t="str">
        <f t="shared" si="11"/>
        <v/>
      </c>
      <c r="AE54" s="24">
        <f t="shared" si="25"/>
        <v>10.291690683458</v>
      </c>
      <c r="AF54" s="41" t="str">
        <f t="shared" si="12"/>
        <v/>
      </c>
      <c r="AG54" s="24">
        <f t="shared" si="26"/>
        <v>3.5002882014960051</v>
      </c>
      <c r="AH54" s="41" t="str">
        <f t="shared" si="13"/>
        <v/>
      </c>
      <c r="AI54" s="24">
        <f t="shared" si="27"/>
        <v>6.0034584179520607</v>
      </c>
      <c r="AJ54" s="41" t="str">
        <f t="shared" si="14"/>
        <v/>
      </c>
    </row>
    <row r="55" spans="1:36" ht="13.5" customHeight="1" x14ac:dyDescent="0.2">
      <c r="A55" s="314" t="s">
        <v>810</v>
      </c>
      <c r="B55" s="315">
        <v>22</v>
      </c>
      <c r="C55" s="316" t="s">
        <v>809</v>
      </c>
      <c r="D55" s="317">
        <v>47.866999999999997</v>
      </c>
      <c r="E55" s="316"/>
      <c r="F55" s="8">
        <v>5</v>
      </c>
      <c r="G55" s="21">
        <f t="shared" si="0"/>
        <v>47.93175171740701</v>
      </c>
      <c r="H55" s="37" t="str">
        <f t="shared" si="15"/>
        <v>3;EE221</v>
      </c>
      <c r="I55" s="38">
        <v>1</v>
      </c>
      <c r="J55" s="128">
        <f t="shared" si="1"/>
        <v>3.9943126431172509</v>
      </c>
      <c r="K55" s="39" t="str">
        <f>INDEX(powers!$H$2:$H$75,33+I55)</f>
        <v>dozen</v>
      </c>
      <c r="L55" s="40" t="str">
        <f t="shared" si="2"/>
        <v>3</v>
      </c>
      <c r="M55" s="24">
        <f t="shared" si="16"/>
        <v>11.93175171740701</v>
      </c>
      <c r="N55" s="41" t="str">
        <f t="shared" si="3"/>
        <v>E</v>
      </c>
      <c r="O55" s="24">
        <f t="shared" si="17"/>
        <v>11.181020608884126</v>
      </c>
      <c r="P55" s="41" t="str">
        <f t="shared" si="4"/>
        <v>E</v>
      </c>
      <c r="Q55" s="24">
        <f t="shared" si="18"/>
        <v>2.1722473066095063</v>
      </c>
      <c r="R55" s="41" t="str">
        <f t="shared" si="5"/>
        <v>2</v>
      </c>
      <c r="S55" s="24">
        <f t="shared" si="19"/>
        <v>2.0669676793140752</v>
      </c>
      <c r="T55" s="41" t="str">
        <f t="shared" si="6"/>
        <v>2</v>
      </c>
      <c r="U55" s="24">
        <f t="shared" si="20"/>
        <v>0.80361215176890255</v>
      </c>
      <c r="V55" s="41" t="str">
        <f t="shared" si="7"/>
        <v>1</v>
      </c>
      <c r="W55" s="24">
        <f t="shared" si="21"/>
        <v>9.6433458212268306</v>
      </c>
      <c r="X55" s="41" t="str">
        <f t="shared" si="8"/>
        <v/>
      </c>
      <c r="Y55" s="24">
        <f t="shared" si="22"/>
        <v>7.7201498547219671</v>
      </c>
      <c r="Z55" s="41" t="str">
        <f t="shared" si="9"/>
        <v/>
      </c>
      <c r="AA55" s="24">
        <f t="shared" si="23"/>
        <v>8.6417982566636056</v>
      </c>
      <c r="AB55" s="41" t="str">
        <f t="shared" si="10"/>
        <v/>
      </c>
      <c r="AC55" s="24">
        <f t="shared" si="24"/>
        <v>7.7015790799632668</v>
      </c>
      <c r="AD55" s="41" t="str">
        <f t="shared" si="11"/>
        <v/>
      </c>
      <c r="AE55" s="24">
        <f t="shared" si="25"/>
        <v>8.4189489595592022</v>
      </c>
      <c r="AF55" s="41" t="str">
        <f t="shared" si="12"/>
        <v/>
      </c>
      <c r="AG55" s="24">
        <f t="shared" si="26"/>
        <v>5.0273875147104263</v>
      </c>
      <c r="AH55" s="41" t="str">
        <f t="shared" si="13"/>
        <v/>
      </c>
      <c r="AI55" s="24">
        <f t="shared" si="27"/>
        <v>0.32865017652511597</v>
      </c>
      <c r="AJ55" s="41" t="str">
        <f t="shared" si="14"/>
        <v/>
      </c>
    </row>
    <row r="56" spans="1:36" ht="13.5" customHeight="1" x14ac:dyDescent="0.2">
      <c r="A56" s="314"/>
      <c r="B56" s="315"/>
      <c r="C56" s="316"/>
      <c r="D56" s="317"/>
      <c r="E56" s="316">
        <v>47.9478711</v>
      </c>
      <c r="F56" s="8">
        <v>9</v>
      </c>
      <c r="G56" s="21">
        <f t="shared" si="0"/>
        <v>48.012732215167759</v>
      </c>
      <c r="H56" s="37" t="str">
        <f t="shared" si="15"/>
        <v>4;001X00223</v>
      </c>
      <c r="I56" s="38">
        <v>1</v>
      </c>
      <c r="J56" s="128">
        <f t="shared" si="1"/>
        <v>4.0010610179306463</v>
      </c>
      <c r="K56" s="39" t="str">
        <f>INDEX(powers!$H$2:$H$75,33+I56)</f>
        <v>dozen</v>
      </c>
      <c r="L56" s="40" t="str">
        <f t="shared" si="2"/>
        <v>4</v>
      </c>
      <c r="M56" s="24">
        <f t="shared" si="16"/>
        <v>1.2732215167755356E-2</v>
      </c>
      <c r="N56" s="41" t="str">
        <f t="shared" si="3"/>
        <v>0</v>
      </c>
      <c r="O56" s="24">
        <f t="shared" si="17"/>
        <v>0.15278658201306428</v>
      </c>
      <c r="P56" s="41" t="str">
        <f t="shared" si="4"/>
        <v>0</v>
      </c>
      <c r="Q56" s="24">
        <f t="shared" si="18"/>
        <v>1.8334389841567713</v>
      </c>
      <c r="R56" s="41" t="str">
        <f t="shared" si="5"/>
        <v>1</v>
      </c>
      <c r="S56" s="24">
        <f t="shared" si="19"/>
        <v>10.001267809881256</v>
      </c>
      <c r="T56" s="41" t="str">
        <f t="shared" si="6"/>
        <v>X</v>
      </c>
      <c r="U56" s="24">
        <f t="shared" si="20"/>
        <v>1.5213718575068924E-2</v>
      </c>
      <c r="V56" s="41" t="str">
        <f t="shared" si="7"/>
        <v>0</v>
      </c>
      <c r="W56" s="24">
        <f t="shared" si="21"/>
        <v>0.18256462290082709</v>
      </c>
      <c r="X56" s="41" t="str">
        <f t="shared" si="8"/>
        <v>0</v>
      </c>
      <c r="Y56" s="24">
        <f t="shared" si="22"/>
        <v>2.1907754748099251</v>
      </c>
      <c r="Z56" s="41" t="str">
        <f t="shared" si="9"/>
        <v>2</v>
      </c>
      <c r="AA56" s="24">
        <f t="shared" si="23"/>
        <v>2.2893056977191009</v>
      </c>
      <c r="AB56" s="41" t="str">
        <f t="shared" si="10"/>
        <v>2</v>
      </c>
      <c r="AC56" s="24">
        <f t="shared" si="24"/>
        <v>3.4716683726292104</v>
      </c>
      <c r="AD56" s="41" t="str">
        <f t="shared" si="11"/>
        <v>3</v>
      </c>
      <c r="AE56" s="24">
        <f t="shared" si="25"/>
        <v>5.6600204715505242</v>
      </c>
      <c r="AF56" s="41" t="str">
        <f t="shared" si="12"/>
        <v/>
      </c>
      <c r="AG56" s="24">
        <f t="shared" si="26"/>
        <v>7.9202456586062908</v>
      </c>
      <c r="AH56" s="41" t="str">
        <f t="shared" si="13"/>
        <v/>
      </c>
      <c r="AI56" s="24">
        <f t="shared" si="27"/>
        <v>11.04294790327549</v>
      </c>
      <c r="AJ56" s="41" t="str">
        <f t="shared" si="14"/>
        <v/>
      </c>
    </row>
    <row r="57" spans="1:36" ht="13.5" customHeight="1" x14ac:dyDescent="0.2">
      <c r="A57" s="314" t="s">
        <v>812</v>
      </c>
      <c r="B57" s="315">
        <v>23</v>
      </c>
      <c r="C57" s="316" t="s">
        <v>811</v>
      </c>
      <c r="D57" s="317">
        <v>50.941499999999998</v>
      </c>
      <c r="E57" s="316"/>
      <c r="F57" s="8">
        <v>6</v>
      </c>
      <c r="G57" s="21">
        <f t="shared" si="0"/>
        <v>51.010410723719659</v>
      </c>
      <c r="H57" s="37" t="str">
        <f t="shared" si="15"/>
        <v>4;3015EE</v>
      </c>
      <c r="I57" s="38">
        <v>1</v>
      </c>
      <c r="J57" s="128">
        <f t="shared" si="1"/>
        <v>4.2508675603099713</v>
      </c>
      <c r="K57" s="39" t="str">
        <f>INDEX(powers!$H$2:$H$75,33+I57)</f>
        <v>dozen</v>
      </c>
      <c r="L57" s="40" t="str">
        <f t="shared" si="2"/>
        <v>4</v>
      </c>
      <c r="M57" s="24">
        <f t="shared" si="16"/>
        <v>3.0104107237196551</v>
      </c>
      <c r="N57" s="41" t="str">
        <f t="shared" si="3"/>
        <v>3</v>
      </c>
      <c r="O57" s="24">
        <f t="shared" si="17"/>
        <v>0.12492868463586149</v>
      </c>
      <c r="P57" s="41" t="str">
        <f t="shared" si="4"/>
        <v>0</v>
      </c>
      <c r="Q57" s="24">
        <f t="shared" si="18"/>
        <v>1.4991442156303378</v>
      </c>
      <c r="R57" s="41" t="str">
        <f t="shared" si="5"/>
        <v>1</v>
      </c>
      <c r="S57" s="24">
        <f t="shared" si="19"/>
        <v>5.9897305875640541</v>
      </c>
      <c r="T57" s="41" t="str">
        <f t="shared" si="6"/>
        <v>5</v>
      </c>
      <c r="U57" s="24">
        <f t="shared" si="20"/>
        <v>11.876767050768649</v>
      </c>
      <c r="V57" s="41" t="str">
        <f t="shared" si="7"/>
        <v>E</v>
      </c>
      <c r="W57" s="24">
        <f t="shared" si="21"/>
        <v>10.521204609223787</v>
      </c>
      <c r="X57" s="41" t="str">
        <f t="shared" si="8"/>
        <v>E</v>
      </c>
      <c r="Y57" s="24">
        <f t="shared" si="22"/>
        <v>6.2544553106854437</v>
      </c>
      <c r="Z57" s="41" t="str">
        <f t="shared" si="9"/>
        <v/>
      </c>
      <c r="AA57" s="24">
        <f t="shared" si="23"/>
        <v>3.0534637282253243</v>
      </c>
      <c r="AB57" s="41" t="str">
        <f t="shared" si="10"/>
        <v/>
      </c>
      <c r="AC57" s="24">
        <f t="shared" si="24"/>
        <v>0.64156473870389163</v>
      </c>
      <c r="AD57" s="41" t="str">
        <f t="shared" si="11"/>
        <v/>
      </c>
      <c r="AE57" s="24">
        <f t="shared" si="25"/>
        <v>7.6987768644466996</v>
      </c>
      <c r="AF57" s="41" t="str">
        <f t="shared" si="12"/>
        <v/>
      </c>
      <c r="AG57" s="24">
        <f t="shared" si="26"/>
        <v>8.3853223733603954</v>
      </c>
      <c r="AH57" s="41" t="str">
        <f t="shared" si="13"/>
        <v/>
      </c>
      <c r="AI57" s="24">
        <f t="shared" si="27"/>
        <v>4.6238684803247452</v>
      </c>
      <c r="AJ57" s="41" t="str">
        <f t="shared" si="14"/>
        <v/>
      </c>
    </row>
    <row r="58" spans="1:36" ht="13.5" customHeight="1" x14ac:dyDescent="0.2">
      <c r="A58" s="314"/>
      <c r="B58" s="315"/>
      <c r="C58" s="316"/>
      <c r="D58" s="317"/>
      <c r="E58" s="316">
        <v>50.943961700000003</v>
      </c>
      <c r="F58" s="8">
        <v>9</v>
      </c>
      <c r="G58" s="21">
        <f t="shared" si="0"/>
        <v>51.012875753765471</v>
      </c>
      <c r="H58" s="37" t="str">
        <f t="shared" si="15"/>
        <v>4;301X2EX96</v>
      </c>
      <c r="I58" s="38">
        <v>1</v>
      </c>
      <c r="J58" s="128">
        <f t="shared" si="1"/>
        <v>4.2510729794804556</v>
      </c>
      <c r="K58" s="39" t="str">
        <f>INDEX(powers!$H$2:$H$75,33+I58)</f>
        <v>dozen</v>
      </c>
      <c r="L58" s="40" t="str">
        <f t="shared" si="2"/>
        <v>4</v>
      </c>
      <c r="M58" s="24">
        <f t="shared" si="16"/>
        <v>3.0128757537654671</v>
      </c>
      <c r="N58" s="41" t="str">
        <f t="shared" si="3"/>
        <v>3</v>
      </c>
      <c r="O58" s="24">
        <f t="shared" si="17"/>
        <v>0.15450904518560549</v>
      </c>
      <c r="P58" s="41" t="str">
        <f t="shared" si="4"/>
        <v>0</v>
      </c>
      <c r="Q58" s="24">
        <f t="shared" si="18"/>
        <v>1.8541085422272658</v>
      </c>
      <c r="R58" s="41" t="str">
        <f t="shared" si="5"/>
        <v>1</v>
      </c>
      <c r="S58" s="24">
        <f t="shared" si="19"/>
        <v>10.24930250672719</v>
      </c>
      <c r="T58" s="41" t="str">
        <f t="shared" si="6"/>
        <v>X</v>
      </c>
      <c r="U58" s="24">
        <f t="shared" si="20"/>
        <v>2.9916300807262814</v>
      </c>
      <c r="V58" s="41" t="str">
        <f t="shared" si="7"/>
        <v>2</v>
      </c>
      <c r="W58" s="24">
        <f t="shared" si="21"/>
        <v>11.899560968715377</v>
      </c>
      <c r="X58" s="41" t="str">
        <f t="shared" si="8"/>
        <v>E</v>
      </c>
      <c r="Y58" s="24">
        <f t="shared" si="22"/>
        <v>10.794731624584529</v>
      </c>
      <c r="Z58" s="41" t="str">
        <f t="shared" si="9"/>
        <v>X</v>
      </c>
      <c r="AA58" s="24">
        <f t="shared" si="23"/>
        <v>9.5367794950143434</v>
      </c>
      <c r="AB58" s="41" t="str">
        <f t="shared" si="10"/>
        <v>9</v>
      </c>
      <c r="AC58" s="24">
        <f t="shared" si="24"/>
        <v>6.4413539401721209</v>
      </c>
      <c r="AD58" s="41" t="str">
        <f t="shared" si="11"/>
        <v>6</v>
      </c>
      <c r="AE58" s="24">
        <f t="shared" si="25"/>
        <v>5.2962472820654511</v>
      </c>
      <c r="AF58" s="41" t="str">
        <f t="shared" si="12"/>
        <v/>
      </c>
      <c r="AG58" s="24">
        <f t="shared" si="26"/>
        <v>3.5549673847854137</v>
      </c>
      <c r="AH58" s="41" t="str">
        <f t="shared" si="13"/>
        <v/>
      </c>
      <c r="AI58" s="24">
        <f t="shared" si="27"/>
        <v>6.6596086174249649</v>
      </c>
      <c r="AJ58" s="41" t="str">
        <f t="shared" si="14"/>
        <v/>
      </c>
    </row>
    <row r="59" spans="1:36" ht="13.5" customHeight="1" x14ac:dyDescent="0.2">
      <c r="A59" s="314" t="s">
        <v>814</v>
      </c>
      <c r="B59" s="315">
        <v>24</v>
      </c>
      <c r="C59" s="316" t="s">
        <v>813</v>
      </c>
      <c r="D59" s="317">
        <v>51.996099999999998</v>
      </c>
      <c r="E59" s="316"/>
      <c r="F59" s="8">
        <v>6</v>
      </c>
      <c r="G59" s="21">
        <f t="shared" si="0"/>
        <v>52.066437325787412</v>
      </c>
      <c r="H59" s="37" t="str">
        <f t="shared" si="15"/>
        <v>4;409698</v>
      </c>
      <c r="I59" s="38">
        <v>1</v>
      </c>
      <c r="J59" s="128">
        <f t="shared" si="1"/>
        <v>4.3388697771489513</v>
      </c>
      <c r="K59" s="39" t="str">
        <f>INDEX(powers!$H$2:$H$75,33+I59)</f>
        <v>dozen</v>
      </c>
      <c r="L59" s="40" t="str">
        <f t="shared" si="2"/>
        <v>4</v>
      </c>
      <c r="M59" s="24">
        <f t="shared" si="16"/>
        <v>4.0664373257874153</v>
      </c>
      <c r="N59" s="41" t="str">
        <f t="shared" si="3"/>
        <v>4</v>
      </c>
      <c r="O59" s="24">
        <f t="shared" si="17"/>
        <v>0.79724790944898416</v>
      </c>
      <c r="P59" s="41" t="str">
        <f t="shared" si="4"/>
        <v>0</v>
      </c>
      <c r="Q59" s="24">
        <f t="shared" si="18"/>
        <v>9.5669749133878099</v>
      </c>
      <c r="R59" s="41" t="str">
        <f t="shared" si="5"/>
        <v>9</v>
      </c>
      <c r="S59" s="24">
        <f t="shared" si="19"/>
        <v>6.803698960653719</v>
      </c>
      <c r="T59" s="41" t="str">
        <f t="shared" si="6"/>
        <v>6</v>
      </c>
      <c r="U59" s="24">
        <f t="shared" si="20"/>
        <v>9.6443875278446285</v>
      </c>
      <c r="V59" s="41" t="str">
        <f t="shared" si="7"/>
        <v>9</v>
      </c>
      <c r="W59" s="24">
        <f t="shared" si="21"/>
        <v>7.7326503341355419</v>
      </c>
      <c r="X59" s="41" t="str">
        <f t="shared" si="8"/>
        <v>8</v>
      </c>
      <c r="Y59" s="24">
        <f t="shared" si="22"/>
        <v>8.7918040096265031</v>
      </c>
      <c r="Z59" s="41" t="str">
        <f t="shared" si="9"/>
        <v/>
      </c>
      <c r="AA59" s="24">
        <f t="shared" si="23"/>
        <v>9.5016481155180372</v>
      </c>
      <c r="AB59" s="41" t="str">
        <f t="shared" si="10"/>
        <v/>
      </c>
      <c r="AC59" s="24">
        <f t="shared" si="24"/>
        <v>6.0197773862164468</v>
      </c>
      <c r="AD59" s="41" t="str">
        <f t="shared" si="11"/>
        <v/>
      </c>
      <c r="AE59" s="24">
        <f t="shared" si="25"/>
        <v>0.23732863459736109</v>
      </c>
      <c r="AF59" s="41" t="str">
        <f t="shared" si="12"/>
        <v/>
      </c>
      <c r="AG59" s="24">
        <f t="shared" si="26"/>
        <v>2.8479436151683331</v>
      </c>
      <c r="AH59" s="41" t="str">
        <f t="shared" si="13"/>
        <v/>
      </c>
      <c r="AI59" s="24">
        <f t="shared" si="27"/>
        <v>10.175323382019997</v>
      </c>
      <c r="AJ59" s="41" t="str">
        <f t="shared" si="14"/>
        <v/>
      </c>
    </row>
    <row r="60" spans="1:36" ht="13.5" customHeight="1" x14ac:dyDescent="0.2">
      <c r="A60" s="314"/>
      <c r="B60" s="315"/>
      <c r="C60" s="316"/>
      <c r="D60" s="317"/>
      <c r="E60" s="316">
        <v>51.940511899999997</v>
      </c>
      <c r="F60" s="8">
        <v>9</v>
      </c>
      <c r="G60" s="21">
        <f t="shared" si="0"/>
        <v>52.010774029411152</v>
      </c>
      <c r="H60" s="37" t="str">
        <f t="shared" si="15"/>
        <v>4;401674E0E</v>
      </c>
      <c r="I60" s="38">
        <v>1</v>
      </c>
      <c r="J60" s="128">
        <f t="shared" si="1"/>
        <v>4.3342311691175963</v>
      </c>
      <c r="K60" s="39" t="str">
        <f>INDEX(powers!$H$2:$H$75,33+I60)</f>
        <v>dozen</v>
      </c>
      <c r="L60" s="40" t="str">
        <f t="shared" si="2"/>
        <v>4</v>
      </c>
      <c r="M60" s="24">
        <f t="shared" si="16"/>
        <v>4.0107740294111558</v>
      </c>
      <c r="N60" s="41" t="str">
        <f t="shared" si="3"/>
        <v>4</v>
      </c>
      <c r="O60" s="24">
        <f t="shared" si="17"/>
        <v>0.12928835293386953</v>
      </c>
      <c r="P60" s="41" t="str">
        <f t="shared" si="4"/>
        <v>0</v>
      </c>
      <c r="Q60" s="24">
        <f t="shared" si="18"/>
        <v>1.5514602352064344</v>
      </c>
      <c r="R60" s="41" t="str">
        <f t="shared" si="5"/>
        <v>1</v>
      </c>
      <c r="S60" s="24">
        <f t="shared" si="19"/>
        <v>6.6175228224772127</v>
      </c>
      <c r="T60" s="41" t="str">
        <f t="shared" si="6"/>
        <v>6</v>
      </c>
      <c r="U60" s="24">
        <f t="shared" si="20"/>
        <v>7.4102738697265522</v>
      </c>
      <c r="V60" s="41" t="str">
        <f t="shared" si="7"/>
        <v>7</v>
      </c>
      <c r="W60" s="24">
        <f t="shared" si="21"/>
        <v>4.9232864367186266</v>
      </c>
      <c r="X60" s="41" t="str">
        <f t="shared" si="8"/>
        <v>4</v>
      </c>
      <c r="Y60" s="24">
        <f t="shared" si="22"/>
        <v>11.07943724062352</v>
      </c>
      <c r="Z60" s="41" t="str">
        <f t="shared" si="9"/>
        <v>E</v>
      </c>
      <c r="AA60" s="24">
        <f t="shared" si="23"/>
        <v>0.95324688748223707</v>
      </c>
      <c r="AB60" s="41" t="str">
        <f t="shared" si="10"/>
        <v>0</v>
      </c>
      <c r="AC60" s="24">
        <f t="shared" si="24"/>
        <v>11.438962649786845</v>
      </c>
      <c r="AD60" s="41" t="str">
        <f t="shared" si="11"/>
        <v>E</v>
      </c>
      <c r="AE60" s="24">
        <f t="shared" si="25"/>
        <v>5.2675517974421382</v>
      </c>
      <c r="AF60" s="41" t="str">
        <f t="shared" si="12"/>
        <v/>
      </c>
      <c r="AG60" s="24">
        <f t="shared" si="26"/>
        <v>3.2106215693056583</v>
      </c>
      <c r="AH60" s="41" t="str">
        <f t="shared" si="13"/>
        <v/>
      </c>
      <c r="AI60" s="24">
        <f t="shared" si="27"/>
        <v>2.5274588316679001</v>
      </c>
      <c r="AJ60" s="41" t="str">
        <f t="shared" si="14"/>
        <v/>
      </c>
    </row>
    <row r="61" spans="1:36" ht="13.5" customHeight="1" x14ac:dyDescent="0.2">
      <c r="A61" s="314" t="s">
        <v>816</v>
      </c>
      <c r="B61" s="315">
        <v>25</v>
      </c>
      <c r="C61" s="316" t="s">
        <v>815</v>
      </c>
      <c r="D61" s="317">
        <v>54.938045000000002</v>
      </c>
      <c r="E61" s="316"/>
      <c r="F61" s="8">
        <v>8</v>
      </c>
      <c r="G61" s="21">
        <f t="shared" si="0"/>
        <v>55.01236201933969</v>
      </c>
      <c r="H61" s="37" t="str">
        <f t="shared" si="15"/>
        <v>4;7019440X</v>
      </c>
      <c r="I61" s="38">
        <v>1</v>
      </c>
      <c r="J61" s="128">
        <f t="shared" si="1"/>
        <v>4.5843635016116409</v>
      </c>
      <c r="K61" s="39" t="str">
        <f>INDEX(powers!$H$2:$H$75,33+I61)</f>
        <v>dozen</v>
      </c>
      <c r="L61" s="40" t="str">
        <f t="shared" si="2"/>
        <v>4</v>
      </c>
      <c r="M61" s="24">
        <f t="shared" si="16"/>
        <v>7.0123620193396903</v>
      </c>
      <c r="N61" s="41" t="str">
        <f t="shared" si="3"/>
        <v>7</v>
      </c>
      <c r="O61" s="24">
        <f t="shared" si="17"/>
        <v>0.14834423207628333</v>
      </c>
      <c r="P61" s="41" t="str">
        <f t="shared" si="4"/>
        <v>0</v>
      </c>
      <c r="Q61" s="24">
        <f t="shared" si="18"/>
        <v>1.7801307849154</v>
      </c>
      <c r="R61" s="41" t="str">
        <f t="shared" si="5"/>
        <v>1</v>
      </c>
      <c r="S61" s="24">
        <f t="shared" si="19"/>
        <v>9.3615694189848</v>
      </c>
      <c r="T61" s="41" t="str">
        <f t="shared" si="6"/>
        <v>9</v>
      </c>
      <c r="U61" s="24">
        <f t="shared" si="20"/>
        <v>4.3388330278175999</v>
      </c>
      <c r="V61" s="41" t="str">
        <f t="shared" si="7"/>
        <v>4</v>
      </c>
      <c r="W61" s="24">
        <f t="shared" si="21"/>
        <v>4.0659963338111993</v>
      </c>
      <c r="X61" s="41" t="str">
        <f t="shared" si="8"/>
        <v>4</v>
      </c>
      <c r="Y61" s="24">
        <f t="shared" si="22"/>
        <v>0.79195600573439151</v>
      </c>
      <c r="Z61" s="41" t="str">
        <f t="shared" si="9"/>
        <v>0</v>
      </c>
      <c r="AA61" s="24">
        <f t="shared" si="23"/>
        <v>9.5034720688126981</v>
      </c>
      <c r="AB61" s="41" t="str">
        <f t="shared" si="10"/>
        <v>X</v>
      </c>
      <c r="AC61" s="24">
        <f t="shared" si="24"/>
        <v>6.0416648257523775</v>
      </c>
      <c r="AD61" s="41" t="str">
        <f t="shared" si="11"/>
        <v/>
      </c>
      <c r="AE61" s="24">
        <f t="shared" si="25"/>
        <v>0.49997790902853012</v>
      </c>
      <c r="AF61" s="41" t="str">
        <f t="shared" si="12"/>
        <v/>
      </c>
      <c r="AG61" s="24">
        <f t="shared" si="26"/>
        <v>5.9997349083423615</v>
      </c>
      <c r="AH61" s="41" t="str">
        <f t="shared" si="13"/>
        <v/>
      </c>
      <c r="AI61" s="24">
        <f t="shared" si="27"/>
        <v>11.996818900108337</v>
      </c>
      <c r="AJ61" s="41" t="str">
        <f t="shared" si="14"/>
        <v/>
      </c>
    </row>
    <row r="62" spans="1:36" ht="13.5" customHeight="1" x14ac:dyDescent="0.2">
      <c r="A62" s="314"/>
      <c r="B62" s="315"/>
      <c r="C62" s="316"/>
      <c r="D62" s="317"/>
      <c r="E62" s="316">
        <v>54.938048999999999</v>
      </c>
      <c r="F62" s="8">
        <v>8</v>
      </c>
      <c r="G62" s="21">
        <f t="shared" si="0"/>
        <v>55.012366024750655</v>
      </c>
      <c r="H62" s="37" t="str">
        <f t="shared" si="15"/>
        <v>4;70194509</v>
      </c>
      <c r="I62" s="38">
        <v>1</v>
      </c>
      <c r="J62" s="128">
        <f t="shared" si="1"/>
        <v>4.5843638353958882</v>
      </c>
      <c r="K62" s="39" t="str">
        <f>INDEX(powers!$H$2:$H$75,33+I62)</f>
        <v>dozen</v>
      </c>
      <c r="L62" s="40" t="str">
        <f t="shared" si="2"/>
        <v>4</v>
      </c>
      <c r="M62" s="24">
        <f t="shared" si="16"/>
        <v>7.0123660247506585</v>
      </c>
      <c r="N62" s="41" t="str">
        <f t="shared" si="3"/>
        <v>7</v>
      </c>
      <c r="O62" s="24">
        <f t="shared" si="17"/>
        <v>0.14839229700790213</v>
      </c>
      <c r="P62" s="41" t="str">
        <f t="shared" si="4"/>
        <v>0</v>
      </c>
      <c r="Q62" s="24">
        <f t="shared" si="18"/>
        <v>1.7807075640948256</v>
      </c>
      <c r="R62" s="41" t="str">
        <f t="shared" si="5"/>
        <v>1</v>
      </c>
      <c r="S62" s="24">
        <f t="shared" si="19"/>
        <v>9.3684907691379067</v>
      </c>
      <c r="T62" s="41" t="str">
        <f t="shared" si="6"/>
        <v>9</v>
      </c>
      <c r="U62" s="24">
        <f t="shared" si="20"/>
        <v>4.4218892296548802</v>
      </c>
      <c r="V62" s="41" t="str">
        <f t="shared" si="7"/>
        <v>4</v>
      </c>
      <c r="W62" s="24">
        <f t="shared" si="21"/>
        <v>5.0626707558585622</v>
      </c>
      <c r="X62" s="41" t="str">
        <f t="shared" si="8"/>
        <v>5</v>
      </c>
      <c r="Y62" s="24">
        <f t="shared" si="22"/>
        <v>0.75204907030274626</v>
      </c>
      <c r="Z62" s="41" t="str">
        <f t="shared" si="9"/>
        <v>0</v>
      </c>
      <c r="AA62" s="24">
        <f t="shared" si="23"/>
        <v>9.0245888436329551</v>
      </c>
      <c r="AB62" s="41" t="str">
        <f t="shared" si="10"/>
        <v>9</v>
      </c>
      <c r="AC62" s="24">
        <f t="shared" si="24"/>
        <v>0.29506612359546125</v>
      </c>
      <c r="AD62" s="41" t="str">
        <f t="shared" si="11"/>
        <v/>
      </c>
      <c r="AE62" s="24">
        <f t="shared" si="25"/>
        <v>3.540793483145535</v>
      </c>
      <c r="AF62" s="41" t="str">
        <f t="shared" si="12"/>
        <v/>
      </c>
      <c r="AG62" s="24">
        <f t="shared" si="26"/>
        <v>6.4895217977464199</v>
      </c>
      <c r="AH62" s="41" t="str">
        <f t="shared" si="13"/>
        <v/>
      </c>
      <c r="AI62" s="24">
        <f t="shared" si="27"/>
        <v>5.8742615729570389</v>
      </c>
      <c r="AJ62" s="41" t="str">
        <f t="shared" si="14"/>
        <v/>
      </c>
    </row>
    <row r="63" spans="1:36" ht="13.5" customHeight="1" x14ac:dyDescent="0.2">
      <c r="A63" s="314" t="s">
        <v>818</v>
      </c>
      <c r="B63" s="315">
        <v>26</v>
      </c>
      <c r="C63" s="316" t="s">
        <v>817</v>
      </c>
      <c r="D63" s="317">
        <v>55.844999999999999</v>
      </c>
      <c r="E63" s="316"/>
      <c r="F63" s="8">
        <v>5</v>
      </c>
      <c r="G63" s="21">
        <f t="shared" si="0"/>
        <v>55.920543895765213</v>
      </c>
      <c r="H63" s="37" t="str">
        <f t="shared" si="15"/>
        <v>4;7E068</v>
      </c>
      <c r="I63" s="38">
        <v>1</v>
      </c>
      <c r="J63" s="128">
        <f t="shared" si="1"/>
        <v>4.6600453246471014</v>
      </c>
      <c r="K63" s="39" t="str">
        <f>INDEX(powers!$H$2:$H$75,33+I63)</f>
        <v>dozen</v>
      </c>
      <c r="L63" s="40" t="str">
        <f t="shared" si="2"/>
        <v>4</v>
      </c>
      <c r="M63" s="24">
        <f t="shared" si="16"/>
        <v>7.920543895765217</v>
      </c>
      <c r="N63" s="41" t="str">
        <f t="shared" si="3"/>
        <v>7</v>
      </c>
      <c r="O63" s="24">
        <f t="shared" si="17"/>
        <v>11.046526749182604</v>
      </c>
      <c r="P63" s="41" t="str">
        <f t="shared" si="4"/>
        <v>E</v>
      </c>
      <c r="Q63" s="24">
        <f t="shared" si="18"/>
        <v>0.55832099019124826</v>
      </c>
      <c r="R63" s="41" t="str">
        <f t="shared" si="5"/>
        <v>0</v>
      </c>
      <c r="S63" s="24">
        <f t="shared" si="19"/>
        <v>6.6998518822949791</v>
      </c>
      <c r="T63" s="41" t="str">
        <f t="shared" si="6"/>
        <v>6</v>
      </c>
      <c r="U63" s="24">
        <f t="shared" si="20"/>
        <v>8.3982225875397489</v>
      </c>
      <c r="V63" s="41" t="str">
        <f t="shared" si="7"/>
        <v>8</v>
      </c>
      <c r="W63" s="24">
        <f t="shared" si="21"/>
        <v>4.7786710504769871</v>
      </c>
      <c r="X63" s="41" t="str">
        <f t="shared" si="8"/>
        <v/>
      </c>
      <c r="Y63" s="24">
        <f t="shared" si="22"/>
        <v>9.3440526057238458</v>
      </c>
      <c r="Z63" s="41" t="str">
        <f t="shared" si="9"/>
        <v/>
      </c>
      <c r="AA63" s="24">
        <f t="shared" si="23"/>
        <v>4.1286312686861493</v>
      </c>
      <c r="AB63" s="41" t="str">
        <f t="shared" si="10"/>
        <v/>
      </c>
      <c r="AC63" s="24">
        <f t="shared" si="24"/>
        <v>1.5435752242337912</v>
      </c>
      <c r="AD63" s="41" t="str">
        <f t="shared" si="11"/>
        <v/>
      </c>
      <c r="AE63" s="24">
        <f t="shared" si="25"/>
        <v>6.5229026908054948</v>
      </c>
      <c r="AF63" s="41" t="str">
        <f t="shared" si="12"/>
        <v/>
      </c>
      <c r="AG63" s="24">
        <f t="shared" si="26"/>
        <v>6.2748322896659374</v>
      </c>
      <c r="AH63" s="41" t="str">
        <f t="shared" si="13"/>
        <v/>
      </c>
      <c r="AI63" s="24">
        <f t="shared" si="27"/>
        <v>3.2979874759912491</v>
      </c>
      <c r="AJ63" s="41" t="str">
        <f t="shared" si="14"/>
        <v/>
      </c>
    </row>
    <row r="64" spans="1:36" ht="13.5" customHeight="1" x14ac:dyDescent="0.2">
      <c r="A64" s="314"/>
      <c r="B64" s="315"/>
      <c r="C64" s="316"/>
      <c r="D64" s="317"/>
      <c r="E64" s="316">
        <v>55.934939300000003</v>
      </c>
      <c r="F64" s="8">
        <v>9</v>
      </c>
      <c r="G64" s="21">
        <f t="shared" si="0"/>
        <v>56.010604860464021</v>
      </c>
      <c r="H64" s="37" t="str">
        <f t="shared" si="15"/>
        <v>4;80163X9E4</v>
      </c>
      <c r="I64" s="38">
        <v>1</v>
      </c>
      <c r="J64" s="128">
        <f t="shared" si="1"/>
        <v>4.6675504050386687</v>
      </c>
      <c r="K64" s="39" t="str">
        <f>INDEX(powers!$H$2:$H$75,33+I64)</f>
        <v>dozen</v>
      </c>
      <c r="L64" s="40" t="str">
        <f t="shared" si="2"/>
        <v>4</v>
      </c>
      <c r="M64" s="24">
        <f t="shared" si="16"/>
        <v>8.0106048604640243</v>
      </c>
      <c r="N64" s="41" t="str">
        <f t="shared" si="3"/>
        <v>8</v>
      </c>
      <c r="O64" s="24">
        <f t="shared" si="17"/>
        <v>0.12725832556829175</v>
      </c>
      <c r="P64" s="41" t="str">
        <f t="shared" si="4"/>
        <v>0</v>
      </c>
      <c r="Q64" s="24">
        <f t="shared" si="18"/>
        <v>1.527099906819501</v>
      </c>
      <c r="R64" s="41" t="str">
        <f t="shared" si="5"/>
        <v>1</v>
      </c>
      <c r="S64" s="24">
        <f t="shared" si="19"/>
        <v>6.3251988818340124</v>
      </c>
      <c r="T64" s="41" t="str">
        <f t="shared" si="6"/>
        <v>6</v>
      </c>
      <c r="U64" s="24">
        <f t="shared" si="20"/>
        <v>3.9023865820081483</v>
      </c>
      <c r="V64" s="41" t="str">
        <f t="shared" si="7"/>
        <v>3</v>
      </c>
      <c r="W64" s="24">
        <f t="shared" si="21"/>
        <v>10.828638984097779</v>
      </c>
      <c r="X64" s="41" t="str">
        <f t="shared" si="8"/>
        <v>X</v>
      </c>
      <c r="Y64" s="24">
        <f t="shared" si="22"/>
        <v>9.9436678091733484</v>
      </c>
      <c r="Z64" s="41" t="str">
        <f t="shared" si="9"/>
        <v>9</v>
      </c>
      <c r="AA64" s="24">
        <f t="shared" si="23"/>
        <v>11.32401371008018</v>
      </c>
      <c r="AB64" s="41" t="str">
        <f t="shared" si="10"/>
        <v>E</v>
      </c>
      <c r="AC64" s="24">
        <f t="shared" si="24"/>
        <v>3.8881645209621638</v>
      </c>
      <c r="AD64" s="41" t="str">
        <f t="shared" si="11"/>
        <v>4</v>
      </c>
      <c r="AE64" s="24">
        <f t="shared" si="25"/>
        <v>10.657974251545966</v>
      </c>
      <c r="AF64" s="41" t="str">
        <f t="shared" si="12"/>
        <v/>
      </c>
      <c r="AG64" s="24">
        <f t="shared" si="26"/>
        <v>7.8956910185515881</v>
      </c>
      <c r="AH64" s="41" t="str">
        <f t="shared" si="13"/>
        <v/>
      </c>
      <c r="AI64" s="24">
        <f t="shared" si="27"/>
        <v>10.748292222619057</v>
      </c>
      <c r="AJ64" s="41" t="str">
        <f t="shared" si="14"/>
        <v/>
      </c>
    </row>
    <row r="65" spans="1:36" ht="13.5" customHeight="1" x14ac:dyDescent="0.2">
      <c r="A65" s="314" t="s">
        <v>820</v>
      </c>
      <c r="B65" s="315">
        <v>27</v>
      </c>
      <c r="C65" s="316" t="s">
        <v>819</v>
      </c>
      <c r="D65" s="317">
        <v>58.933194999999998</v>
      </c>
      <c r="E65" s="316"/>
      <c r="F65" s="8">
        <v>8</v>
      </c>
      <c r="G65" s="21">
        <f t="shared" si="0"/>
        <v>59.012916427884157</v>
      </c>
      <c r="H65" s="37" t="str">
        <f t="shared" si="15"/>
        <v>4;E01X3X03</v>
      </c>
      <c r="I65" s="38">
        <v>1</v>
      </c>
      <c r="J65" s="128">
        <f t="shared" si="1"/>
        <v>4.9177430356570131</v>
      </c>
      <c r="K65" s="39" t="str">
        <f>INDEX(powers!$H$2:$H$75,33+I65)</f>
        <v>dozen</v>
      </c>
      <c r="L65" s="40" t="str">
        <f t="shared" si="2"/>
        <v>4</v>
      </c>
      <c r="M65" s="24">
        <f t="shared" si="16"/>
        <v>11.012916427884157</v>
      </c>
      <c r="N65" s="41" t="str">
        <f t="shared" si="3"/>
        <v>E</v>
      </c>
      <c r="O65" s="24">
        <f t="shared" si="17"/>
        <v>0.15499713460988573</v>
      </c>
      <c r="P65" s="41" t="str">
        <f t="shared" si="4"/>
        <v>0</v>
      </c>
      <c r="Q65" s="24">
        <f t="shared" si="18"/>
        <v>1.8599656153186288</v>
      </c>
      <c r="R65" s="41" t="str">
        <f t="shared" si="5"/>
        <v>1</v>
      </c>
      <c r="S65" s="24">
        <f t="shared" si="19"/>
        <v>10.319587383823546</v>
      </c>
      <c r="T65" s="41" t="str">
        <f t="shared" si="6"/>
        <v>X</v>
      </c>
      <c r="U65" s="24">
        <f t="shared" si="20"/>
        <v>3.8350486058825481</v>
      </c>
      <c r="V65" s="41" t="str">
        <f t="shared" si="7"/>
        <v>3</v>
      </c>
      <c r="W65" s="24">
        <f t="shared" si="21"/>
        <v>10.020583270590578</v>
      </c>
      <c r="X65" s="41" t="str">
        <f t="shared" si="8"/>
        <v>X</v>
      </c>
      <c r="Y65" s="24">
        <f t="shared" si="22"/>
        <v>0.24699924708693288</v>
      </c>
      <c r="Z65" s="41" t="str">
        <f t="shared" si="9"/>
        <v>0</v>
      </c>
      <c r="AA65" s="24">
        <f t="shared" si="23"/>
        <v>2.9639909650431946</v>
      </c>
      <c r="AB65" s="41" t="str">
        <f t="shared" si="10"/>
        <v>3</v>
      </c>
      <c r="AC65" s="24">
        <f t="shared" si="24"/>
        <v>11.567891580518335</v>
      </c>
      <c r="AD65" s="41" t="str">
        <f t="shared" si="11"/>
        <v/>
      </c>
      <c r="AE65" s="24">
        <f t="shared" si="25"/>
        <v>6.8146989662200212</v>
      </c>
      <c r="AF65" s="41" t="str">
        <f t="shared" si="12"/>
        <v/>
      </c>
      <c r="AG65" s="24">
        <f t="shared" si="26"/>
        <v>9.776387594640255</v>
      </c>
      <c r="AH65" s="41" t="str">
        <f t="shared" si="13"/>
        <v/>
      </c>
      <c r="AI65" s="24">
        <f t="shared" si="27"/>
        <v>9.3166511356830597</v>
      </c>
      <c r="AJ65" s="41" t="str">
        <f t="shared" si="14"/>
        <v/>
      </c>
    </row>
    <row r="66" spans="1:36" ht="13.5" customHeight="1" x14ac:dyDescent="0.2">
      <c r="A66" s="314"/>
      <c r="B66" s="315"/>
      <c r="C66" s="316"/>
      <c r="D66" s="317"/>
      <c r="E66" s="316">
        <v>58.933199999999999</v>
      </c>
      <c r="F66" s="8">
        <v>6</v>
      </c>
      <c r="G66" s="21">
        <f t="shared" si="0"/>
        <v>59.012921434647872</v>
      </c>
      <c r="H66" s="37" t="str">
        <f t="shared" si="15"/>
        <v>4;E01X3E</v>
      </c>
      <c r="I66" s="38">
        <v>1</v>
      </c>
      <c r="J66" s="128">
        <f t="shared" si="1"/>
        <v>4.917743452887323</v>
      </c>
      <c r="K66" s="39" t="str">
        <f>INDEX(powers!$H$2:$H$75,33+I66)</f>
        <v>dozen</v>
      </c>
      <c r="L66" s="40" t="str">
        <f t="shared" si="2"/>
        <v>4</v>
      </c>
      <c r="M66" s="24">
        <f t="shared" si="16"/>
        <v>11.012921434647875</v>
      </c>
      <c r="N66" s="41" t="str">
        <f t="shared" si="3"/>
        <v>E</v>
      </c>
      <c r="O66" s="24">
        <f t="shared" si="17"/>
        <v>0.15505721577450515</v>
      </c>
      <c r="P66" s="41" t="str">
        <f t="shared" si="4"/>
        <v>0</v>
      </c>
      <c r="Q66" s="24">
        <f t="shared" si="18"/>
        <v>1.8606865892940618</v>
      </c>
      <c r="R66" s="41" t="str">
        <f t="shared" si="5"/>
        <v>1</v>
      </c>
      <c r="S66" s="24">
        <f t="shared" si="19"/>
        <v>10.328239071528742</v>
      </c>
      <c r="T66" s="41" t="str">
        <f t="shared" si="6"/>
        <v>X</v>
      </c>
      <c r="U66" s="24">
        <f t="shared" si="20"/>
        <v>3.9388688583449039</v>
      </c>
      <c r="V66" s="41" t="str">
        <f t="shared" si="7"/>
        <v>3</v>
      </c>
      <c r="W66" s="24">
        <f t="shared" si="21"/>
        <v>11.266426300138846</v>
      </c>
      <c r="X66" s="41" t="str">
        <f t="shared" si="8"/>
        <v>E</v>
      </c>
      <c r="Y66" s="24">
        <f t="shared" si="22"/>
        <v>3.1971156016661553</v>
      </c>
      <c r="Z66" s="41" t="str">
        <f t="shared" si="9"/>
        <v/>
      </c>
      <c r="AA66" s="24">
        <f t="shared" si="23"/>
        <v>2.3653872199938633</v>
      </c>
      <c r="AB66" s="41" t="str">
        <f t="shared" si="10"/>
        <v/>
      </c>
      <c r="AC66" s="24">
        <f t="shared" si="24"/>
        <v>4.3846466399263591</v>
      </c>
      <c r="AD66" s="41" t="str">
        <f t="shared" si="11"/>
        <v/>
      </c>
      <c r="AE66" s="24">
        <f t="shared" si="25"/>
        <v>4.6157596791163087</v>
      </c>
      <c r="AF66" s="41" t="str">
        <f t="shared" si="12"/>
        <v/>
      </c>
      <c r="AG66" s="24">
        <f t="shared" si="26"/>
        <v>7.3891161493957043</v>
      </c>
      <c r="AH66" s="41" t="str">
        <f t="shared" si="13"/>
        <v/>
      </c>
      <c r="AI66" s="24">
        <f t="shared" si="27"/>
        <v>4.6693937927484512</v>
      </c>
      <c r="AJ66" s="41" t="str">
        <f t="shared" si="14"/>
        <v/>
      </c>
    </row>
    <row r="67" spans="1:36" ht="13.5" customHeight="1" x14ac:dyDescent="0.2">
      <c r="A67" s="314" t="s">
        <v>822</v>
      </c>
      <c r="B67" s="315">
        <v>28</v>
      </c>
      <c r="C67" s="316" t="s">
        <v>821</v>
      </c>
      <c r="D67" s="317">
        <v>58.693399999999997</v>
      </c>
      <c r="E67" s="316"/>
      <c r="F67" s="8">
        <v>6</v>
      </c>
      <c r="G67" s="21">
        <f t="shared" si="0"/>
        <v>58.772797047035645</v>
      </c>
      <c r="H67" s="37" t="str">
        <f t="shared" si="15"/>
        <v>4;X93349</v>
      </c>
      <c r="I67" s="38">
        <v>1</v>
      </c>
      <c r="J67" s="128">
        <f t="shared" si="1"/>
        <v>4.8977330872529707</v>
      </c>
      <c r="K67" s="39" t="str">
        <f>INDEX(powers!$H$2:$H$75,33+I67)</f>
        <v>dozen</v>
      </c>
      <c r="L67" s="40" t="str">
        <f t="shared" si="2"/>
        <v>4</v>
      </c>
      <c r="M67" s="24">
        <f t="shared" si="16"/>
        <v>10.772797047035649</v>
      </c>
      <c r="N67" s="41" t="str">
        <f t="shared" si="3"/>
        <v>X</v>
      </c>
      <c r="O67" s="24">
        <f t="shared" si="17"/>
        <v>9.2735645644277866</v>
      </c>
      <c r="P67" s="41" t="str">
        <f t="shared" si="4"/>
        <v>9</v>
      </c>
      <c r="Q67" s="24">
        <f t="shared" si="18"/>
        <v>3.2827747731334398</v>
      </c>
      <c r="R67" s="41" t="str">
        <f t="shared" si="5"/>
        <v>3</v>
      </c>
      <c r="S67" s="24">
        <f t="shared" si="19"/>
        <v>3.3932972776012775</v>
      </c>
      <c r="T67" s="41" t="str">
        <f t="shared" si="6"/>
        <v>3</v>
      </c>
      <c r="U67" s="24">
        <f t="shared" si="20"/>
        <v>4.7195673312153303</v>
      </c>
      <c r="V67" s="41" t="str">
        <f t="shared" si="7"/>
        <v>4</v>
      </c>
      <c r="W67" s="24">
        <f t="shared" si="21"/>
        <v>8.6348079745839641</v>
      </c>
      <c r="X67" s="41" t="str">
        <f t="shared" si="8"/>
        <v>9</v>
      </c>
      <c r="Y67" s="24">
        <f t="shared" si="22"/>
        <v>7.6176956950075692</v>
      </c>
      <c r="Z67" s="41" t="str">
        <f t="shared" si="9"/>
        <v/>
      </c>
      <c r="AA67" s="24">
        <f t="shared" si="23"/>
        <v>7.4123483400908299</v>
      </c>
      <c r="AB67" s="41" t="str">
        <f t="shared" si="10"/>
        <v/>
      </c>
      <c r="AC67" s="24">
        <f t="shared" si="24"/>
        <v>4.9481800810899585</v>
      </c>
      <c r="AD67" s="41" t="str">
        <f t="shared" si="11"/>
        <v/>
      </c>
      <c r="AE67" s="24">
        <f t="shared" si="25"/>
        <v>11.378160973079503</v>
      </c>
      <c r="AF67" s="41" t="str">
        <f t="shared" si="12"/>
        <v/>
      </c>
      <c r="AG67" s="24">
        <f t="shared" si="26"/>
        <v>4.537931676954031</v>
      </c>
      <c r="AH67" s="41" t="str">
        <f t="shared" si="13"/>
        <v/>
      </c>
      <c r="AI67" s="24">
        <f t="shared" si="27"/>
        <v>6.4551801234483719</v>
      </c>
      <c r="AJ67" s="41" t="str">
        <f t="shared" si="14"/>
        <v/>
      </c>
    </row>
    <row r="68" spans="1:36" ht="13.5" customHeight="1" x14ac:dyDescent="0.2">
      <c r="A68" s="314"/>
      <c r="B68" s="315"/>
      <c r="C68" s="316"/>
      <c r="D68" s="317"/>
      <c r="E68" s="316">
        <v>57.935346199999998</v>
      </c>
      <c r="F68" s="8">
        <v>9</v>
      </c>
      <c r="G68" s="21">
        <f t="shared" si="0"/>
        <v>58.013717795567274</v>
      </c>
      <c r="H68" s="37" t="str">
        <f t="shared" si="15"/>
        <v>4;X01E85515</v>
      </c>
      <c r="I68" s="38">
        <v>1</v>
      </c>
      <c r="J68" s="128">
        <f t="shared" si="1"/>
        <v>4.8344764829639395</v>
      </c>
      <c r="K68" s="39" t="str">
        <f>INDEX(powers!$H$2:$H$75,33+I68)</f>
        <v>dozen</v>
      </c>
      <c r="L68" s="40" t="str">
        <f t="shared" si="2"/>
        <v>4</v>
      </c>
      <c r="M68" s="24">
        <f t="shared" si="16"/>
        <v>10.013717795567274</v>
      </c>
      <c r="N68" s="41" t="str">
        <f t="shared" si="3"/>
        <v>X</v>
      </c>
      <c r="O68" s="24">
        <f t="shared" si="17"/>
        <v>0.16461354680728846</v>
      </c>
      <c r="P68" s="41" t="str">
        <f t="shared" si="4"/>
        <v>0</v>
      </c>
      <c r="Q68" s="24">
        <f t="shared" si="18"/>
        <v>1.9753625616874615</v>
      </c>
      <c r="R68" s="41" t="str">
        <f t="shared" si="5"/>
        <v>1</v>
      </c>
      <c r="S68" s="24">
        <f t="shared" si="19"/>
        <v>11.704350740249538</v>
      </c>
      <c r="T68" s="41" t="str">
        <f t="shared" si="6"/>
        <v>E</v>
      </c>
      <c r="U68" s="24">
        <f t="shared" si="20"/>
        <v>8.4522088829944551</v>
      </c>
      <c r="V68" s="41" t="str">
        <f t="shared" si="7"/>
        <v>8</v>
      </c>
      <c r="W68" s="24">
        <f t="shared" si="21"/>
        <v>5.4265065959334606</v>
      </c>
      <c r="X68" s="41" t="str">
        <f t="shared" si="8"/>
        <v>5</v>
      </c>
      <c r="Y68" s="24">
        <f t="shared" si="22"/>
        <v>5.1180791512015276</v>
      </c>
      <c r="Z68" s="41" t="str">
        <f t="shared" si="9"/>
        <v>5</v>
      </c>
      <c r="AA68" s="24">
        <f t="shared" si="23"/>
        <v>1.4169498144183308</v>
      </c>
      <c r="AB68" s="41" t="str">
        <f t="shared" si="10"/>
        <v>1</v>
      </c>
      <c r="AC68" s="24">
        <f t="shared" si="24"/>
        <v>5.0033977730199695</v>
      </c>
      <c r="AD68" s="41" t="str">
        <f t="shared" si="11"/>
        <v>5</v>
      </c>
      <c r="AE68" s="24">
        <f t="shared" si="25"/>
        <v>4.077327623963356E-2</v>
      </c>
      <c r="AF68" s="41" t="str">
        <f t="shared" si="12"/>
        <v/>
      </c>
      <c r="AG68" s="24">
        <f t="shared" si="26"/>
        <v>0.48927931487560272</v>
      </c>
      <c r="AH68" s="41" t="str">
        <f t="shared" si="13"/>
        <v/>
      </c>
      <c r="AI68" s="24">
        <f t="shared" si="27"/>
        <v>5.8713517785072327</v>
      </c>
      <c r="AJ68" s="41" t="str">
        <f t="shared" si="14"/>
        <v/>
      </c>
    </row>
    <row r="69" spans="1:36" ht="13.5" customHeight="1" x14ac:dyDescent="0.2">
      <c r="A69" s="314" t="s">
        <v>824</v>
      </c>
      <c r="B69" s="315">
        <v>29</v>
      </c>
      <c r="C69" s="316" t="s">
        <v>823</v>
      </c>
      <c r="D69" s="317">
        <v>63.545999999999999</v>
      </c>
      <c r="E69" s="316"/>
      <c r="F69" s="8">
        <v>5</v>
      </c>
      <c r="G69" s="21">
        <f t="shared" si="0"/>
        <v>63.631961364496298</v>
      </c>
      <c r="H69" s="37" t="str">
        <f t="shared" si="15"/>
        <v>5;37700</v>
      </c>
      <c r="I69" s="38">
        <v>1</v>
      </c>
      <c r="J69" s="128">
        <f t="shared" si="1"/>
        <v>5.3026634470413585</v>
      </c>
      <c r="K69" s="39" t="str">
        <f>INDEX(powers!$H$2:$H$75,33+I69)</f>
        <v>dozen</v>
      </c>
      <c r="L69" s="40" t="str">
        <f t="shared" si="2"/>
        <v>5</v>
      </c>
      <c r="M69" s="24">
        <f t="shared" si="16"/>
        <v>3.631961364496302</v>
      </c>
      <c r="N69" s="41" t="str">
        <f t="shared" si="3"/>
        <v>3</v>
      </c>
      <c r="O69" s="24">
        <f t="shared" si="17"/>
        <v>7.5835363739556243</v>
      </c>
      <c r="P69" s="41" t="str">
        <f t="shared" si="4"/>
        <v>7</v>
      </c>
      <c r="Q69" s="24">
        <f t="shared" si="18"/>
        <v>7.0024364874674916</v>
      </c>
      <c r="R69" s="41" t="str">
        <f t="shared" si="5"/>
        <v>7</v>
      </c>
      <c r="S69" s="24">
        <f t="shared" si="19"/>
        <v>2.9237849609899058E-2</v>
      </c>
      <c r="T69" s="41" t="str">
        <f t="shared" si="6"/>
        <v>0</v>
      </c>
      <c r="U69" s="24">
        <f t="shared" si="20"/>
        <v>0.3508541953187887</v>
      </c>
      <c r="V69" s="41" t="str">
        <f t="shared" si="7"/>
        <v>0</v>
      </c>
      <c r="W69" s="24">
        <f t="shared" si="21"/>
        <v>4.2102503438254644</v>
      </c>
      <c r="X69" s="41" t="str">
        <f t="shared" si="8"/>
        <v/>
      </c>
      <c r="Y69" s="24">
        <f t="shared" si="22"/>
        <v>2.5230041259055724</v>
      </c>
      <c r="Z69" s="41" t="str">
        <f t="shared" si="9"/>
        <v/>
      </c>
      <c r="AA69" s="24">
        <f t="shared" si="23"/>
        <v>6.2760495108668692</v>
      </c>
      <c r="AB69" s="41" t="str">
        <f t="shared" si="10"/>
        <v/>
      </c>
      <c r="AC69" s="24">
        <f t="shared" si="24"/>
        <v>3.3125941304024309</v>
      </c>
      <c r="AD69" s="41" t="str">
        <f t="shared" si="11"/>
        <v/>
      </c>
      <c r="AE69" s="24">
        <f t="shared" si="25"/>
        <v>3.7511295648291707</v>
      </c>
      <c r="AF69" s="41" t="str">
        <f t="shared" si="12"/>
        <v/>
      </c>
      <c r="AG69" s="24">
        <f t="shared" si="26"/>
        <v>9.0135547779500484</v>
      </c>
      <c r="AH69" s="41" t="str">
        <f t="shared" si="13"/>
        <v/>
      </c>
      <c r="AI69" s="24">
        <f t="shared" si="27"/>
        <v>0.16265733540058136</v>
      </c>
      <c r="AJ69" s="41" t="str">
        <f t="shared" si="14"/>
        <v/>
      </c>
    </row>
    <row r="70" spans="1:36" ht="13.5" customHeight="1" x14ac:dyDescent="0.2">
      <c r="A70" s="314"/>
      <c r="B70" s="315"/>
      <c r="C70" s="316"/>
      <c r="D70" s="317"/>
      <c r="E70" s="316">
        <v>62.929598900000002</v>
      </c>
      <c r="F70" s="8">
        <v>9</v>
      </c>
      <c r="G70" s="21">
        <f t="shared" si="0"/>
        <v>63.014726432632251</v>
      </c>
      <c r="H70" s="37" t="str">
        <f t="shared" si="15"/>
        <v>5;3021544X8</v>
      </c>
      <c r="I70" s="38">
        <v>1</v>
      </c>
      <c r="J70" s="128">
        <f t="shared" si="1"/>
        <v>5.2512272027193543</v>
      </c>
      <c r="K70" s="39" t="str">
        <f>INDEX(powers!$H$2:$H$75,33+I70)</f>
        <v>dozen</v>
      </c>
      <c r="L70" s="40" t="str">
        <f t="shared" si="2"/>
        <v>5</v>
      </c>
      <c r="M70" s="24">
        <f t="shared" si="16"/>
        <v>3.0147264326322514</v>
      </c>
      <c r="N70" s="41" t="str">
        <f t="shared" si="3"/>
        <v>3</v>
      </c>
      <c r="O70" s="24">
        <f t="shared" si="17"/>
        <v>0.17671719158701649</v>
      </c>
      <c r="P70" s="41" t="str">
        <f t="shared" si="4"/>
        <v>0</v>
      </c>
      <c r="Q70" s="24">
        <f t="shared" si="18"/>
        <v>2.1206062990441978</v>
      </c>
      <c r="R70" s="41" t="str">
        <f t="shared" si="5"/>
        <v>2</v>
      </c>
      <c r="S70" s="24">
        <f t="shared" si="19"/>
        <v>1.4472755885303741</v>
      </c>
      <c r="T70" s="41" t="str">
        <f t="shared" si="6"/>
        <v>1</v>
      </c>
      <c r="U70" s="24">
        <f t="shared" si="20"/>
        <v>5.367307062364489</v>
      </c>
      <c r="V70" s="41" t="str">
        <f t="shared" si="7"/>
        <v>5</v>
      </c>
      <c r="W70" s="24">
        <f t="shared" si="21"/>
        <v>4.4076847483738675</v>
      </c>
      <c r="X70" s="41" t="str">
        <f t="shared" si="8"/>
        <v>4</v>
      </c>
      <c r="Y70" s="24">
        <f t="shared" si="22"/>
        <v>4.8922169804864097</v>
      </c>
      <c r="Z70" s="41" t="str">
        <f t="shared" si="9"/>
        <v>4</v>
      </c>
      <c r="AA70" s="24">
        <f t="shared" si="23"/>
        <v>10.706603765836917</v>
      </c>
      <c r="AB70" s="41" t="str">
        <f t="shared" si="10"/>
        <v>X</v>
      </c>
      <c r="AC70" s="24">
        <f t="shared" si="24"/>
        <v>8.4792451900430024</v>
      </c>
      <c r="AD70" s="41" t="str">
        <f t="shared" si="11"/>
        <v>8</v>
      </c>
      <c r="AE70" s="24">
        <f t="shared" si="25"/>
        <v>5.7509422805160284</v>
      </c>
      <c r="AF70" s="41" t="str">
        <f t="shared" si="12"/>
        <v/>
      </c>
      <c r="AG70" s="24">
        <f t="shared" si="26"/>
        <v>9.0113073661923409</v>
      </c>
      <c r="AH70" s="41" t="str">
        <f t="shared" si="13"/>
        <v/>
      </c>
      <c r="AI70" s="24">
        <f t="shared" si="27"/>
        <v>0.13568839430809021</v>
      </c>
      <c r="AJ70" s="41" t="str">
        <f t="shared" si="14"/>
        <v/>
      </c>
    </row>
    <row r="71" spans="1:36" ht="13.5" customHeight="1" x14ac:dyDescent="0.2">
      <c r="A71" s="314" t="s">
        <v>826</v>
      </c>
      <c r="B71" s="315">
        <v>30</v>
      </c>
      <c r="C71" s="316" t="s">
        <v>825</v>
      </c>
      <c r="D71" s="317">
        <v>65.38</v>
      </c>
      <c r="E71" s="316"/>
      <c r="F71" s="8">
        <v>4</v>
      </c>
      <c r="G71" s="21">
        <f t="shared" si="0"/>
        <v>65.468442293940882</v>
      </c>
      <c r="H71" s="37" t="str">
        <f t="shared" si="15"/>
        <v>5;5575</v>
      </c>
      <c r="I71" s="38">
        <v>1</v>
      </c>
      <c r="J71" s="128">
        <f t="shared" si="1"/>
        <v>5.4557035244950738</v>
      </c>
      <c r="K71" s="39" t="str">
        <f>INDEX(powers!$H$2:$H$75,33+I71)</f>
        <v>dozen</v>
      </c>
      <c r="L71" s="40" t="str">
        <f t="shared" si="2"/>
        <v>5</v>
      </c>
      <c r="M71" s="24">
        <f t="shared" si="16"/>
        <v>5.4684422939408854</v>
      </c>
      <c r="N71" s="41" t="str">
        <f t="shared" si="3"/>
        <v>5</v>
      </c>
      <c r="O71" s="24">
        <f t="shared" si="17"/>
        <v>5.6213075272906252</v>
      </c>
      <c r="P71" s="41" t="str">
        <f t="shared" si="4"/>
        <v>5</v>
      </c>
      <c r="Q71" s="24">
        <f t="shared" si="18"/>
        <v>7.4556903274875026</v>
      </c>
      <c r="R71" s="41" t="str">
        <f t="shared" si="5"/>
        <v>7</v>
      </c>
      <c r="S71" s="24">
        <f t="shared" si="19"/>
        <v>5.4682839298500312</v>
      </c>
      <c r="T71" s="41" t="str">
        <f t="shared" si="6"/>
        <v>5</v>
      </c>
      <c r="U71" s="24">
        <f t="shared" si="20"/>
        <v>5.6194071582003744</v>
      </c>
      <c r="V71" s="41" t="str">
        <f t="shared" si="7"/>
        <v/>
      </c>
      <c r="W71" s="24">
        <f t="shared" si="21"/>
        <v>7.4328858984044928</v>
      </c>
      <c r="X71" s="41" t="str">
        <f t="shared" si="8"/>
        <v/>
      </c>
      <c r="Y71" s="24">
        <f t="shared" si="22"/>
        <v>5.1946307808539132</v>
      </c>
      <c r="Z71" s="41" t="str">
        <f t="shared" si="9"/>
        <v/>
      </c>
      <c r="AA71" s="24">
        <f t="shared" si="23"/>
        <v>2.335569370246958</v>
      </c>
      <c r="AB71" s="41" t="str">
        <f t="shared" si="10"/>
        <v/>
      </c>
      <c r="AC71" s="24">
        <f t="shared" si="24"/>
        <v>4.0268324429634959</v>
      </c>
      <c r="AD71" s="41" t="str">
        <f t="shared" si="11"/>
        <v/>
      </c>
      <c r="AE71" s="24">
        <f t="shared" si="25"/>
        <v>0.32198931556195021</v>
      </c>
      <c r="AF71" s="41" t="str">
        <f t="shared" si="12"/>
        <v/>
      </c>
      <c r="AG71" s="24">
        <f t="shared" si="26"/>
        <v>3.8638717867434025</v>
      </c>
      <c r="AH71" s="41" t="str">
        <f t="shared" si="13"/>
        <v/>
      </c>
      <c r="AI71" s="24">
        <f t="shared" si="27"/>
        <v>10.36646144092083</v>
      </c>
      <c r="AJ71" s="41" t="str">
        <f t="shared" si="14"/>
        <v/>
      </c>
    </row>
    <row r="72" spans="1:36" ht="13.5" customHeight="1" x14ac:dyDescent="0.2">
      <c r="A72" s="314"/>
      <c r="B72" s="315"/>
      <c r="C72" s="316"/>
      <c r="D72" s="317"/>
      <c r="E72" s="316">
        <v>63.929144800000003</v>
      </c>
      <c r="F72" s="8">
        <v>9</v>
      </c>
      <c r="G72" s="21">
        <f t="shared" si="0"/>
        <v>64.015624460688159</v>
      </c>
      <c r="H72" s="37" t="str">
        <f t="shared" ref="H72:H121" si="28">L72&amp;";"&amp;N72&amp;P72&amp;R72&amp;T72&amp;V72&amp;X72&amp;Z72&amp;AB72&amp;AD72&amp;AF72&amp;AH72&amp;AJ72</f>
        <v>5;4022EEX48</v>
      </c>
      <c r="I72" s="38">
        <v>1</v>
      </c>
      <c r="J72" s="128">
        <f t="shared" si="1"/>
        <v>5.3346353717240129</v>
      </c>
      <c r="K72" s="39" t="str">
        <f>INDEX(powers!$H$2:$H$75,33+I72)</f>
        <v>dozen</v>
      </c>
      <c r="L72" s="40" t="str">
        <f t="shared" si="2"/>
        <v>5</v>
      </c>
      <c r="M72" s="24">
        <f t="shared" ref="M72:M121" si="29">(J72-INT(J72))*12</f>
        <v>4.015624460688155</v>
      </c>
      <c r="N72" s="41" t="str">
        <f t="shared" si="3"/>
        <v>4</v>
      </c>
      <c r="O72" s="24">
        <f t="shared" ref="O72:O121" si="30">(M72-INT(M72))*12</f>
        <v>0.18749352825786048</v>
      </c>
      <c r="P72" s="41" t="str">
        <f t="shared" si="4"/>
        <v>0</v>
      </c>
      <c r="Q72" s="24">
        <f t="shared" ref="Q72:Q121" si="31">(O72-INT(O72))*12</f>
        <v>2.2499223390943257</v>
      </c>
      <c r="R72" s="41" t="str">
        <f t="shared" si="5"/>
        <v>2</v>
      </c>
      <c r="S72" s="24">
        <f t="shared" ref="S72:S121" si="32">(Q72-INT(Q72))*12</f>
        <v>2.9990680691319085</v>
      </c>
      <c r="T72" s="41" t="str">
        <f t="shared" si="6"/>
        <v>2</v>
      </c>
      <c r="U72" s="24">
        <f t="shared" ref="U72:U121" si="33">(S72-INT(S72))*12</f>
        <v>11.988816829582902</v>
      </c>
      <c r="V72" s="41" t="str">
        <f t="shared" si="7"/>
        <v>E</v>
      </c>
      <c r="W72" s="24">
        <f t="shared" ref="W72:W121" si="34">(U72-INT(U72))*12</f>
        <v>11.865801954994822</v>
      </c>
      <c r="X72" s="41" t="str">
        <f t="shared" si="8"/>
        <v>E</v>
      </c>
      <c r="Y72" s="24">
        <f t="shared" ref="Y72:Y121" si="35">(W72-INT(W72))*12</f>
        <v>10.389623459937866</v>
      </c>
      <c r="Z72" s="41" t="str">
        <f t="shared" si="9"/>
        <v>X</v>
      </c>
      <c r="AA72" s="24">
        <f t="shared" ref="AA72:AA121" si="36">(Y72-INT(Y72))*12</f>
        <v>4.6754815192543902</v>
      </c>
      <c r="AB72" s="41" t="str">
        <f t="shared" si="10"/>
        <v>4</v>
      </c>
      <c r="AC72" s="24">
        <f t="shared" ref="AC72:AC121" si="37">(AA72-INT(AA72))*12</f>
        <v>8.1057782310526818</v>
      </c>
      <c r="AD72" s="41" t="str">
        <f t="shared" si="11"/>
        <v>8</v>
      </c>
      <c r="AE72" s="24">
        <f t="shared" ref="AE72:AE121" si="38">(AC72-INT(AC72))*12</f>
        <v>1.2693387726321816</v>
      </c>
      <c r="AF72" s="41" t="str">
        <f t="shared" si="12"/>
        <v/>
      </c>
      <c r="AG72" s="24">
        <f t="shared" ref="AG72:AG121" si="39">(AE72-INT(AE72))*12</f>
        <v>3.2320652715861797</v>
      </c>
      <c r="AH72" s="41" t="str">
        <f t="shared" si="13"/>
        <v/>
      </c>
      <c r="AI72" s="24">
        <f t="shared" ref="AI72:AI121" si="40">(AG72-INT(AG72))*12</f>
        <v>2.7847832590341568</v>
      </c>
      <c r="AJ72" s="41" t="str">
        <f t="shared" si="14"/>
        <v/>
      </c>
    </row>
    <row r="73" spans="1:36" ht="13.5" customHeight="1" x14ac:dyDescent="0.2">
      <c r="A73" s="314" t="s">
        <v>828</v>
      </c>
      <c r="B73" s="315">
        <v>31</v>
      </c>
      <c r="C73" s="316" t="s">
        <v>827</v>
      </c>
      <c r="D73" s="317">
        <v>69.722999999999999</v>
      </c>
      <c r="E73" s="316"/>
      <c r="F73" s="8">
        <v>5</v>
      </c>
      <c r="G73" s="21">
        <f t="shared" si="0"/>
        <v>69.817317253907007</v>
      </c>
      <c r="H73" s="37" t="str">
        <f t="shared" si="28"/>
        <v>5;99984</v>
      </c>
      <c r="I73" s="38">
        <v>1</v>
      </c>
      <c r="J73" s="128">
        <f t="shared" si="1"/>
        <v>5.8181097711589169</v>
      </c>
      <c r="K73" s="39" t="str">
        <f>INDEX(powers!$H$2:$H$75,33+I73)</f>
        <v>dozen</v>
      </c>
      <c r="L73" s="40" t="str">
        <f t="shared" si="2"/>
        <v>5</v>
      </c>
      <c r="M73" s="24">
        <f t="shared" si="29"/>
        <v>9.817317253907003</v>
      </c>
      <c r="N73" s="41" t="str">
        <f t="shared" si="3"/>
        <v>9</v>
      </c>
      <c r="O73" s="24">
        <f t="shared" si="30"/>
        <v>9.8078070468840366</v>
      </c>
      <c r="P73" s="41" t="str">
        <f t="shared" si="4"/>
        <v>9</v>
      </c>
      <c r="Q73" s="24">
        <f t="shared" si="31"/>
        <v>9.6936845626084391</v>
      </c>
      <c r="R73" s="41" t="str">
        <f t="shared" si="5"/>
        <v>9</v>
      </c>
      <c r="S73" s="24">
        <f t="shared" si="32"/>
        <v>8.3242147513012696</v>
      </c>
      <c r="T73" s="41" t="str">
        <f t="shared" si="6"/>
        <v>8</v>
      </c>
      <c r="U73" s="24">
        <f t="shared" si="33"/>
        <v>3.8905770156152357</v>
      </c>
      <c r="V73" s="41" t="str">
        <f t="shared" si="7"/>
        <v>4</v>
      </c>
      <c r="W73" s="24">
        <f t="shared" si="34"/>
        <v>10.686924187382829</v>
      </c>
      <c r="X73" s="41" t="str">
        <f t="shared" si="8"/>
        <v/>
      </c>
      <c r="Y73" s="24">
        <f t="shared" si="35"/>
        <v>8.2430902485939441</v>
      </c>
      <c r="Z73" s="41" t="str">
        <f t="shared" si="9"/>
        <v/>
      </c>
      <c r="AA73" s="24">
        <f t="shared" si="36"/>
        <v>2.9170829831273295</v>
      </c>
      <c r="AB73" s="41" t="str">
        <f t="shared" si="10"/>
        <v/>
      </c>
      <c r="AC73" s="24">
        <f t="shared" si="37"/>
        <v>11.004995797527954</v>
      </c>
      <c r="AD73" s="41" t="str">
        <f t="shared" si="11"/>
        <v/>
      </c>
      <c r="AE73" s="24">
        <f t="shared" si="38"/>
        <v>5.9949570335447788E-2</v>
      </c>
      <c r="AF73" s="41" t="str">
        <f t="shared" si="12"/>
        <v/>
      </c>
      <c r="AG73" s="24">
        <f t="shared" si="39"/>
        <v>0.71939484402537346</v>
      </c>
      <c r="AH73" s="41" t="str">
        <f t="shared" si="13"/>
        <v/>
      </c>
      <c r="AI73" s="24">
        <f t="shared" si="40"/>
        <v>8.6327381283044815</v>
      </c>
      <c r="AJ73" s="41" t="str">
        <f t="shared" si="14"/>
        <v/>
      </c>
    </row>
    <row r="74" spans="1:36" ht="13.5" customHeight="1" x14ac:dyDescent="0.2">
      <c r="A74" s="314"/>
      <c r="B74" s="315"/>
      <c r="C74" s="316"/>
      <c r="D74" s="317"/>
      <c r="E74" s="316">
        <v>68.925580999999994</v>
      </c>
      <c r="F74" s="8">
        <v>8</v>
      </c>
      <c r="G74" s="21">
        <f t="shared" ref="G74:G137" si="41">MAX(D74,E74)*G$7+0.0000000000001</f>
        <v>69.018819551466009</v>
      </c>
      <c r="H74" s="37" t="str">
        <f t="shared" si="28"/>
        <v>5;902862XE</v>
      </c>
      <c r="I74" s="38">
        <v>1</v>
      </c>
      <c r="J74" s="128">
        <f t="shared" ref="J74:J137" si="42">G74/POWER(12,I74)</f>
        <v>5.7515682959555008</v>
      </c>
      <c r="K74" s="39" t="str">
        <f>INDEX(powers!$H$2:$H$75,33+I74)</f>
        <v>dozen</v>
      </c>
      <c r="L74" s="40" t="str">
        <f t="shared" ref="L74:L137" si="43">IF($F74&gt;=L$9,MID($I$9,IF($F74&gt;L$9,INT(J74),ROUND(J74,0))+1,1),"")</f>
        <v>5</v>
      </c>
      <c r="M74" s="24">
        <f t="shared" si="29"/>
        <v>9.0188195514660094</v>
      </c>
      <c r="N74" s="41" t="str">
        <f t="shared" ref="N74:N137" si="44">IF($F74&gt;=N$9,MID($I$9,IF($F74&gt;N$9,INT(M74),ROUND(M74,0))+1,1),"")</f>
        <v>9</v>
      </c>
      <c r="O74" s="24">
        <f t="shared" si="30"/>
        <v>0.22583461759211332</v>
      </c>
      <c r="P74" s="41" t="str">
        <f t="shared" ref="P74:P137" si="45">IF($F74&gt;=P$9,MID($I$9,IF($F74&gt;P$9,INT(O74),ROUND(O74,0))+1,1),"")</f>
        <v>0</v>
      </c>
      <c r="Q74" s="24">
        <f t="shared" si="31"/>
        <v>2.7100154111053598</v>
      </c>
      <c r="R74" s="41" t="str">
        <f t="shared" ref="R74:R137" si="46">IF($F74&gt;=R$9,MID($I$9,IF($F74&gt;R$9,INT(Q74),ROUND(Q74,0))+1,1),"")</f>
        <v>2</v>
      </c>
      <c r="S74" s="24">
        <f t="shared" si="32"/>
        <v>8.5201849332643178</v>
      </c>
      <c r="T74" s="41" t="str">
        <f t="shared" ref="T74:T137" si="47">IF($F74&gt;=T$9,MID($I$9,IF($F74&gt;T$9,INT(S74),ROUND(S74,0))+1,1),"")</f>
        <v>8</v>
      </c>
      <c r="U74" s="24">
        <f t="shared" si="33"/>
        <v>6.2422191991718137</v>
      </c>
      <c r="V74" s="41" t="str">
        <f t="shared" ref="V74:V137" si="48">IF($F74&gt;=V$9,MID($I$9,IF($F74&gt;V$9,INT(U74),ROUND(U74,0))+1,1),"")</f>
        <v>6</v>
      </c>
      <c r="W74" s="24">
        <f t="shared" si="34"/>
        <v>2.906630390061764</v>
      </c>
      <c r="X74" s="41" t="str">
        <f t="shared" ref="X74:X137" si="49">IF($F74&gt;=X$9,MID($I$9,IF($F74&gt;X$9,INT(W74),ROUND(W74,0))+1,1),"")</f>
        <v>2</v>
      </c>
      <c r="Y74" s="24">
        <f t="shared" si="35"/>
        <v>10.879564680741169</v>
      </c>
      <c r="Z74" s="41" t="str">
        <f t="shared" ref="Z74:Z137" si="50">IF($F74&gt;=Z$9,MID($I$9,IF($F74&gt;Z$9,INT(Y74),ROUND(Y74,0))+1,1),"")</f>
        <v>X</v>
      </c>
      <c r="AA74" s="24">
        <f t="shared" si="36"/>
        <v>10.554776168894023</v>
      </c>
      <c r="AB74" s="41" t="str">
        <f t="shared" ref="AB74:AB137" si="51">IF($F74&gt;=AB$9,MID($I$9,IF($F74&gt;AB$9,INT(AA74),ROUND(AA74,0))+1,1),"")</f>
        <v>E</v>
      </c>
      <c r="AC74" s="24">
        <f t="shared" si="37"/>
        <v>6.6573140267282724</v>
      </c>
      <c r="AD74" s="41" t="str">
        <f t="shared" ref="AD74:AD137" si="52">IF($F74&gt;=AD$9,MID($I$9,IF($F74&gt;AD$9,INT(AC74),ROUND(AC74,0))+1,1),"")</f>
        <v/>
      </c>
      <c r="AE74" s="24">
        <f t="shared" si="38"/>
        <v>7.8877683207392693</v>
      </c>
      <c r="AF74" s="41" t="str">
        <f t="shared" ref="AF74:AF137" si="53">IF($F74&gt;=AF$9,MID($I$9,IF($F74&gt;AF$9,INT(AE74),ROUND(AE74,0))+1,1),"")</f>
        <v/>
      </c>
      <c r="AG74" s="24">
        <f t="shared" si="39"/>
        <v>10.653219848871231</v>
      </c>
      <c r="AH74" s="41" t="str">
        <f t="shared" ref="AH74:AH137" si="54">IF($F74&gt;=AH$9,MID($I$9,IF($F74&gt;AH$9,INT(AG74),ROUND(AG74,0))+1,1),"")</f>
        <v/>
      </c>
      <c r="AI74" s="24">
        <f t="shared" si="40"/>
        <v>7.8386381864547729</v>
      </c>
      <c r="AJ74" s="41" t="str">
        <f t="shared" ref="AJ74:AJ137" si="55">IF($F74&gt;=AJ$9,MID($I$9,IF($F74&gt;AJ$9,INT(AI74),ROUND(AI74,0))+1,1),"")</f>
        <v/>
      </c>
    </row>
    <row r="75" spans="1:36" ht="13.5" customHeight="1" x14ac:dyDescent="0.2">
      <c r="A75" s="314" t="s">
        <v>830</v>
      </c>
      <c r="B75" s="315">
        <v>32</v>
      </c>
      <c r="C75" s="316" t="s">
        <v>829</v>
      </c>
      <c r="D75" s="317">
        <v>72.64</v>
      </c>
      <c r="E75" s="316"/>
      <c r="F75" s="8">
        <v>4</v>
      </c>
      <c r="G75" s="21">
        <f t="shared" si="41"/>
        <v>72.738263203301713</v>
      </c>
      <c r="H75" s="37" t="str">
        <f t="shared" si="28"/>
        <v>6;08X4</v>
      </c>
      <c r="I75" s="38">
        <v>1</v>
      </c>
      <c r="J75" s="128">
        <f t="shared" si="42"/>
        <v>6.0615219336084758</v>
      </c>
      <c r="K75" s="39" t="str">
        <f>INDEX(powers!$H$2:$H$75,33+I75)</f>
        <v>dozen</v>
      </c>
      <c r="L75" s="40" t="str">
        <f t="shared" si="43"/>
        <v>6</v>
      </c>
      <c r="M75" s="24">
        <f t="shared" si="29"/>
        <v>0.73826320330170958</v>
      </c>
      <c r="N75" s="41" t="str">
        <f t="shared" si="44"/>
        <v>0</v>
      </c>
      <c r="O75" s="24">
        <f t="shared" si="30"/>
        <v>8.859158439620515</v>
      </c>
      <c r="P75" s="41" t="str">
        <f t="shared" si="45"/>
        <v>8</v>
      </c>
      <c r="Q75" s="24">
        <f t="shared" si="31"/>
        <v>10.30990127544618</v>
      </c>
      <c r="R75" s="41" t="str">
        <f t="shared" si="46"/>
        <v>X</v>
      </c>
      <c r="S75" s="24">
        <f t="shared" si="32"/>
        <v>3.7188153053541555</v>
      </c>
      <c r="T75" s="41" t="str">
        <f t="shared" si="47"/>
        <v>4</v>
      </c>
      <c r="U75" s="24">
        <f t="shared" si="33"/>
        <v>8.625783664249866</v>
      </c>
      <c r="V75" s="41" t="str">
        <f t="shared" si="48"/>
        <v/>
      </c>
      <c r="W75" s="24">
        <f t="shared" si="34"/>
        <v>7.5094039709983917</v>
      </c>
      <c r="X75" s="41" t="str">
        <f t="shared" si="49"/>
        <v/>
      </c>
      <c r="Y75" s="24">
        <f t="shared" si="35"/>
        <v>6.1128476519807009</v>
      </c>
      <c r="Z75" s="41" t="str">
        <f t="shared" si="50"/>
        <v/>
      </c>
      <c r="AA75" s="24">
        <f t="shared" si="36"/>
        <v>1.3541718237684108</v>
      </c>
      <c r="AB75" s="41" t="str">
        <f t="shared" si="51"/>
        <v/>
      </c>
      <c r="AC75" s="24">
        <f t="shared" si="37"/>
        <v>4.25006188522093</v>
      </c>
      <c r="AD75" s="41" t="str">
        <f t="shared" si="52"/>
        <v/>
      </c>
      <c r="AE75" s="24">
        <f t="shared" si="38"/>
        <v>3.0007426226511598</v>
      </c>
      <c r="AF75" s="41" t="str">
        <f t="shared" si="53"/>
        <v/>
      </c>
      <c r="AG75" s="24">
        <f t="shared" si="39"/>
        <v>8.91147181391716E-3</v>
      </c>
      <c r="AH75" s="41" t="str">
        <f t="shared" si="54"/>
        <v/>
      </c>
      <c r="AI75" s="24">
        <f t="shared" si="40"/>
        <v>0.10693766176700592</v>
      </c>
      <c r="AJ75" s="41" t="str">
        <f t="shared" si="55"/>
        <v/>
      </c>
    </row>
    <row r="76" spans="1:36" ht="13.5" customHeight="1" x14ac:dyDescent="0.2">
      <c r="A76" s="314"/>
      <c r="B76" s="315"/>
      <c r="C76" s="316"/>
      <c r="D76" s="317"/>
      <c r="E76" s="316">
        <v>73.921177400000005</v>
      </c>
      <c r="F76" s="8">
        <v>9</v>
      </c>
      <c r="G76" s="21">
        <f t="shared" si="41"/>
        <v>74.021173706210874</v>
      </c>
      <c r="H76" s="37" t="str">
        <f t="shared" si="28"/>
        <v>6;203070842</v>
      </c>
      <c r="I76" s="38">
        <v>1</v>
      </c>
      <c r="J76" s="128">
        <f t="shared" si="42"/>
        <v>6.1684311421842395</v>
      </c>
      <c r="K76" s="39" t="str">
        <f>INDEX(powers!$H$2:$H$75,33+I76)</f>
        <v>dozen</v>
      </c>
      <c r="L76" s="40" t="str">
        <f t="shared" si="43"/>
        <v>6</v>
      </c>
      <c r="M76" s="24">
        <f t="shared" si="29"/>
        <v>2.0211737062108739</v>
      </c>
      <c r="N76" s="41" t="str">
        <f t="shared" si="44"/>
        <v>2</v>
      </c>
      <c r="O76" s="24">
        <f t="shared" si="30"/>
        <v>0.25408447453048666</v>
      </c>
      <c r="P76" s="41" t="str">
        <f t="shared" si="45"/>
        <v>0</v>
      </c>
      <c r="Q76" s="24">
        <f t="shared" si="31"/>
        <v>3.0490136943658399</v>
      </c>
      <c r="R76" s="41" t="str">
        <f t="shared" si="46"/>
        <v>3</v>
      </c>
      <c r="S76" s="24">
        <f t="shared" si="32"/>
        <v>0.58816433239007893</v>
      </c>
      <c r="T76" s="41" t="str">
        <f t="shared" si="47"/>
        <v>0</v>
      </c>
      <c r="U76" s="24">
        <f t="shared" si="33"/>
        <v>7.0579719886809471</v>
      </c>
      <c r="V76" s="41" t="str">
        <f t="shared" si="48"/>
        <v>7</v>
      </c>
      <c r="W76" s="24">
        <f t="shared" si="34"/>
        <v>0.69566386417136528</v>
      </c>
      <c r="X76" s="41" t="str">
        <f t="shared" si="49"/>
        <v>0</v>
      </c>
      <c r="Y76" s="24">
        <f t="shared" si="35"/>
        <v>8.3479663700563833</v>
      </c>
      <c r="Z76" s="41" t="str">
        <f t="shared" si="50"/>
        <v>8</v>
      </c>
      <c r="AA76" s="24">
        <f t="shared" si="36"/>
        <v>4.1755964406765997</v>
      </c>
      <c r="AB76" s="41" t="str">
        <f t="shared" si="51"/>
        <v>4</v>
      </c>
      <c r="AC76" s="24">
        <f t="shared" si="37"/>
        <v>2.1071572881191969</v>
      </c>
      <c r="AD76" s="41" t="str">
        <f t="shared" si="52"/>
        <v>2</v>
      </c>
      <c r="AE76" s="24">
        <f t="shared" si="38"/>
        <v>1.2858874574303627</v>
      </c>
      <c r="AF76" s="41" t="str">
        <f t="shared" si="53"/>
        <v/>
      </c>
      <c r="AG76" s="24">
        <f t="shared" si="39"/>
        <v>3.4306494891643524</v>
      </c>
      <c r="AH76" s="41" t="str">
        <f t="shared" si="54"/>
        <v/>
      </c>
      <c r="AI76" s="24">
        <f t="shared" si="40"/>
        <v>5.167793869972229</v>
      </c>
      <c r="AJ76" s="41" t="str">
        <f t="shared" si="55"/>
        <v/>
      </c>
    </row>
    <row r="77" spans="1:36" ht="13.5" customHeight="1" x14ac:dyDescent="0.2">
      <c r="A77" s="314" t="s">
        <v>832</v>
      </c>
      <c r="B77" s="315">
        <v>33</v>
      </c>
      <c r="C77" s="316" t="s">
        <v>831</v>
      </c>
      <c r="D77" s="317">
        <v>74.921599999999998</v>
      </c>
      <c r="E77" s="316"/>
      <c r="F77" s="8">
        <v>6</v>
      </c>
      <c r="G77" s="21">
        <f t="shared" si="41"/>
        <v>75.022949620215982</v>
      </c>
      <c r="H77" s="37" t="str">
        <f t="shared" si="28"/>
        <v>6;30337E</v>
      </c>
      <c r="I77" s="38">
        <v>1</v>
      </c>
      <c r="J77" s="128">
        <f t="shared" si="42"/>
        <v>6.2519124683513319</v>
      </c>
      <c r="K77" s="39" t="str">
        <f>INDEX(powers!$H$2:$H$75,33+I77)</f>
        <v>dozen</v>
      </c>
      <c r="L77" s="40" t="str">
        <f t="shared" si="43"/>
        <v>6</v>
      </c>
      <c r="M77" s="24">
        <f t="shared" si="29"/>
        <v>3.0229496202159822</v>
      </c>
      <c r="N77" s="41" t="str">
        <f t="shared" si="44"/>
        <v>3</v>
      </c>
      <c r="O77" s="24">
        <f t="shared" si="30"/>
        <v>0.27539544259178683</v>
      </c>
      <c r="P77" s="41" t="str">
        <f t="shared" si="45"/>
        <v>0</v>
      </c>
      <c r="Q77" s="24">
        <f t="shared" si="31"/>
        <v>3.304745311101442</v>
      </c>
      <c r="R77" s="41" t="str">
        <f t="shared" si="46"/>
        <v>3</v>
      </c>
      <c r="S77" s="24">
        <f t="shared" si="32"/>
        <v>3.6569437332173038</v>
      </c>
      <c r="T77" s="41" t="str">
        <f t="shared" si="47"/>
        <v>3</v>
      </c>
      <c r="U77" s="24">
        <f t="shared" si="33"/>
        <v>7.8833247986076458</v>
      </c>
      <c r="V77" s="41" t="str">
        <f t="shared" si="48"/>
        <v>7</v>
      </c>
      <c r="W77" s="24">
        <f t="shared" si="34"/>
        <v>10.599897583291749</v>
      </c>
      <c r="X77" s="41" t="str">
        <f t="shared" si="49"/>
        <v>E</v>
      </c>
      <c r="Y77" s="24">
        <f t="shared" si="35"/>
        <v>7.1987709995009936</v>
      </c>
      <c r="Z77" s="41" t="str">
        <f t="shared" si="50"/>
        <v/>
      </c>
      <c r="AA77" s="24">
        <f t="shared" si="36"/>
        <v>2.3852519940119237</v>
      </c>
      <c r="AB77" s="41" t="str">
        <f t="shared" si="51"/>
        <v/>
      </c>
      <c r="AC77" s="24">
        <f t="shared" si="37"/>
        <v>4.623023928143084</v>
      </c>
      <c r="AD77" s="41" t="str">
        <f t="shared" si="52"/>
        <v/>
      </c>
      <c r="AE77" s="24">
        <f t="shared" si="38"/>
        <v>7.4762871377170086</v>
      </c>
      <c r="AF77" s="41" t="str">
        <f t="shared" si="53"/>
        <v/>
      </c>
      <c r="AG77" s="24">
        <f t="shared" si="39"/>
        <v>5.7154456526041031</v>
      </c>
      <c r="AH77" s="41" t="str">
        <f t="shared" si="54"/>
        <v/>
      </c>
      <c r="AI77" s="24">
        <f t="shared" si="40"/>
        <v>8.5853478312492371</v>
      </c>
      <c r="AJ77" s="41" t="str">
        <f t="shared" si="55"/>
        <v/>
      </c>
    </row>
    <row r="78" spans="1:36" ht="13.5" customHeight="1" x14ac:dyDescent="0.2">
      <c r="A78" s="314"/>
      <c r="B78" s="315"/>
      <c r="C78" s="316"/>
      <c r="D78" s="317"/>
      <c r="E78" s="316">
        <v>74.921599999999998</v>
      </c>
      <c r="F78" s="8">
        <v>6</v>
      </c>
      <c r="G78" s="21">
        <f t="shared" si="41"/>
        <v>75.022949620215982</v>
      </c>
      <c r="H78" s="37" t="str">
        <f t="shared" si="28"/>
        <v>6;30337E</v>
      </c>
      <c r="I78" s="38">
        <v>1</v>
      </c>
      <c r="J78" s="128">
        <f t="shared" si="42"/>
        <v>6.2519124683513319</v>
      </c>
      <c r="K78" s="39" t="str">
        <f>INDEX(powers!$H$2:$H$75,33+I78)</f>
        <v>dozen</v>
      </c>
      <c r="L78" s="40" t="str">
        <f t="shared" si="43"/>
        <v>6</v>
      </c>
      <c r="M78" s="24">
        <f t="shared" si="29"/>
        <v>3.0229496202159822</v>
      </c>
      <c r="N78" s="41" t="str">
        <f t="shared" si="44"/>
        <v>3</v>
      </c>
      <c r="O78" s="24">
        <f t="shared" si="30"/>
        <v>0.27539544259178683</v>
      </c>
      <c r="P78" s="41" t="str">
        <f t="shared" si="45"/>
        <v>0</v>
      </c>
      <c r="Q78" s="24">
        <f t="shared" si="31"/>
        <v>3.304745311101442</v>
      </c>
      <c r="R78" s="41" t="str">
        <f t="shared" si="46"/>
        <v>3</v>
      </c>
      <c r="S78" s="24">
        <f t="shared" si="32"/>
        <v>3.6569437332173038</v>
      </c>
      <c r="T78" s="41" t="str">
        <f t="shared" si="47"/>
        <v>3</v>
      </c>
      <c r="U78" s="24">
        <f t="shared" si="33"/>
        <v>7.8833247986076458</v>
      </c>
      <c r="V78" s="41" t="str">
        <f t="shared" si="48"/>
        <v>7</v>
      </c>
      <c r="W78" s="24">
        <f t="shared" si="34"/>
        <v>10.599897583291749</v>
      </c>
      <c r="X78" s="41" t="str">
        <f t="shared" si="49"/>
        <v>E</v>
      </c>
      <c r="Y78" s="24">
        <f t="shared" si="35"/>
        <v>7.1987709995009936</v>
      </c>
      <c r="Z78" s="41" t="str">
        <f t="shared" si="50"/>
        <v/>
      </c>
      <c r="AA78" s="24">
        <f t="shared" si="36"/>
        <v>2.3852519940119237</v>
      </c>
      <c r="AB78" s="41" t="str">
        <f t="shared" si="51"/>
        <v/>
      </c>
      <c r="AC78" s="24">
        <f t="shared" si="37"/>
        <v>4.623023928143084</v>
      </c>
      <c r="AD78" s="41" t="str">
        <f t="shared" si="52"/>
        <v/>
      </c>
      <c r="AE78" s="24">
        <f t="shared" si="38"/>
        <v>7.4762871377170086</v>
      </c>
      <c r="AF78" s="41" t="str">
        <f t="shared" si="53"/>
        <v/>
      </c>
      <c r="AG78" s="24">
        <f t="shared" si="39"/>
        <v>5.7154456526041031</v>
      </c>
      <c r="AH78" s="41" t="str">
        <f t="shared" si="54"/>
        <v/>
      </c>
      <c r="AI78" s="24">
        <f t="shared" si="40"/>
        <v>8.5853478312492371</v>
      </c>
      <c r="AJ78" s="41" t="str">
        <f t="shared" si="55"/>
        <v/>
      </c>
    </row>
    <row r="79" spans="1:36" ht="13.5" customHeight="1" x14ac:dyDescent="0.2">
      <c r="A79" s="314" t="s">
        <v>834</v>
      </c>
      <c r="B79" s="315">
        <v>34</v>
      </c>
      <c r="C79" s="316" t="s">
        <v>833</v>
      </c>
      <c r="D79" s="317">
        <v>78.959999999999994</v>
      </c>
      <c r="E79" s="316"/>
      <c r="F79" s="8">
        <v>4</v>
      </c>
      <c r="G79" s="21">
        <f t="shared" si="41"/>
        <v>79.066812534866486</v>
      </c>
      <c r="H79" s="37" t="str">
        <f t="shared" si="28"/>
        <v>6;7097</v>
      </c>
      <c r="I79" s="38">
        <v>1</v>
      </c>
      <c r="J79" s="128">
        <f t="shared" si="42"/>
        <v>6.5889010445722072</v>
      </c>
      <c r="K79" s="39" t="str">
        <f>INDEX(powers!$H$2:$H$75,33+I79)</f>
        <v>dozen</v>
      </c>
      <c r="L79" s="40" t="str">
        <f t="shared" si="43"/>
        <v>6</v>
      </c>
      <c r="M79" s="24">
        <f t="shared" si="29"/>
        <v>7.0668125348664859</v>
      </c>
      <c r="N79" s="41" t="str">
        <f t="shared" si="44"/>
        <v>7</v>
      </c>
      <c r="O79" s="24">
        <f t="shared" si="30"/>
        <v>0.80175041839783034</v>
      </c>
      <c r="P79" s="41" t="str">
        <f t="shared" si="45"/>
        <v>0</v>
      </c>
      <c r="Q79" s="24">
        <f t="shared" si="31"/>
        <v>9.6210050207739641</v>
      </c>
      <c r="R79" s="41" t="str">
        <f t="shared" si="46"/>
        <v>9</v>
      </c>
      <c r="S79" s="24">
        <f t="shared" si="32"/>
        <v>7.4520602492875696</v>
      </c>
      <c r="T79" s="41" t="str">
        <f t="shared" si="47"/>
        <v>7</v>
      </c>
      <c r="U79" s="24">
        <f t="shared" si="33"/>
        <v>5.4247229914508353</v>
      </c>
      <c r="V79" s="41" t="str">
        <f t="shared" si="48"/>
        <v/>
      </c>
      <c r="W79" s="24">
        <f t="shared" si="34"/>
        <v>5.096675897410023</v>
      </c>
      <c r="X79" s="41" t="str">
        <f t="shared" si="49"/>
        <v/>
      </c>
      <c r="Y79" s="24">
        <f t="shared" si="35"/>
        <v>1.1601107689202763</v>
      </c>
      <c r="Z79" s="41" t="str">
        <f t="shared" si="50"/>
        <v/>
      </c>
      <c r="AA79" s="24">
        <f t="shared" si="36"/>
        <v>1.9213292270433158</v>
      </c>
      <c r="AB79" s="41" t="str">
        <f t="shared" si="51"/>
        <v/>
      </c>
      <c r="AC79" s="24">
        <f t="shared" si="37"/>
        <v>11.055950724519789</v>
      </c>
      <c r="AD79" s="41" t="str">
        <f t="shared" si="52"/>
        <v/>
      </c>
      <c r="AE79" s="24">
        <f t="shared" si="38"/>
        <v>0.67140869423747063</v>
      </c>
      <c r="AF79" s="41" t="str">
        <f t="shared" si="53"/>
        <v/>
      </c>
      <c r="AG79" s="24">
        <f t="shared" si="39"/>
        <v>8.0569043308496475</v>
      </c>
      <c r="AH79" s="41" t="str">
        <f t="shared" si="54"/>
        <v/>
      </c>
      <c r="AI79" s="24">
        <f t="shared" si="40"/>
        <v>0.68285197019577026</v>
      </c>
      <c r="AJ79" s="41" t="str">
        <f t="shared" si="55"/>
        <v/>
      </c>
    </row>
    <row r="80" spans="1:36" ht="13.5" customHeight="1" x14ac:dyDescent="0.2">
      <c r="A80" s="314"/>
      <c r="B80" s="315"/>
      <c r="C80" s="316"/>
      <c r="D80" s="317"/>
      <c r="E80" s="316">
        <v>79.916519600000001</v>
      </c>
      <c r="F80" s="8">
        <v>9</v>
      </c>
      <c r="G80" s="21">
        <f t="shared" si="41"/>
        <v>80.024626059424818</v>
      </c>
      <c r="H80" s="37" t="str">
        <f t="shared" si="28"/>
        <v>6;803667903</v>
      </c>
      <c r="I80" s="38">
        <v>1</v>
      </c>
      <c r="J80" s="128">
        <f t="shared" si="42"/>
        <v>6.6687188382854012</v>
      </c>
      <c r="K80" s="39" t="str">
        <f>INDEX(powers!$H$2:$H$75,33+I80)</f>
        <v>dozen</v>
      </c>
      <c r="L80" s="40" t="str">
        <f t="shared" si="43"/>
        <v>6</v>
      </c>
      <c r="M80" s="24">
        <f t="shared" si="29"/>
        <v>8.0246260594248149</v>
      </c>
      <c r="N80" s="41" t="str">
        <f t="shared" si="44"/>
        <v>8</v>
      </c>
      <c r="O80" s="24">
        <f t="shared" si="30"/>
        <v>0.2955127130977786</v>
      </c>
      <c r="P80" s="41" t="str">
        <f t="shared" si="45"/>
        <v>0</v>
      </c>
      <c r="Q80" s="24">
        <f t="shared" si="31"/>
        <v>3.5461525571733432</v>
      </c>
      <c r="R80" s="41" t="str">
        <f t="shared" si="46"/>
        <v>3</v>
      </c>
      <c r="S80" s="24">
        <f t="shared" si="32"/>
        <v>6.5538306860801185</v>
      </c>
      <c r="T80" s="41" t="str">
        <f t="shared" si="47"/>
        <v>6</v>
      </c>
      <c r="U80" s="24">
        <f t="shared" si="33"/>
        <v>6.6459682329614225</v>
      </c>
      <c r="V80" s="41" t="str">
        <f t="shared" si="48"/>
        <v>6</v>
      </c>
      <c r="W80" s="24">
        <f t="shared" si="34"/>
        <v>7.7516187955370697</v>
      </c>
      <c r="X80" s="41" t="str">
        <f t="shared" si="49"/>
        <v>7</v>
      </c>
      <c r="Y80" s="24">
        <f t="shared" si="35"/>
        <v>9.0194255464448361</v>
      </c>
      <c r="Z80" s="41" t="str">
        <f t="shared" si="50"/>
        <v>9</v>
      </c>
      <c r="AA80" s="24">
        <f t="shared" si="36"/>
        <v>0.23310655733803287</v>
      </c>
      <c r="AB80" s="41" t="str">
        <f t="shared" si="51"/>
        <v>0</v>
      </c>
      <c r="AC80" s="24">
        <f t="shared" si="37"/>
        <v>2.7972786880563945</v>
      </c>
      <c r="AD80" s="41" t="str">
        <f t="shared" si="52"/>
        <v>3</v>
      </c>
      <c r="AE80" s="24">
        <f t="shared" si="38"/>
        <v>9.5673442566767335</v>
      </c>
      <c r="AF80" s="41" t="str">
        <f t="shared" si="53"/>
        <v/>
      </c>
      <c r="AG80" s="24">
        <f t="shared" si="39"/>
        <v>6.8081310801208019</v>
      </c>
      <c r="AH80" s="41" t="str">
        <f t="shared" si="54"/>
        <v/>
      </c>
      <c r="AI80" s="24">
        <f t="shared" si="40"/>
        <v>9.6975729614496231</v>
      </c>
      <c r="AJ80" s="41" t="str">
        <f t="shared" si="55"/>
        <v/>
      </c>
    </row>
    <row r="81" spans="1:36" ht="13.5" customHeight="1" x14ac:dyDescent="0.2">
      <c r="A81" s="314" t="s">
        <v>836</v>
      </c>
      <c r="B81" s="315">
        <v>35</v>
      </c>
      <c r="C81" s="316" t="s">
        <v>835</v>
      </c>
      <c r="D81" s="317">
        <v>79.903999999999996</v>
      </c>
      <c r="E81" s="316"/>
      <c r="F81" s="8">
        <v>5</v>
      </c>
      <c r="G81" s="21">
        <f t="shared" si="41"/>
        <v>80.012089523631857</v>
      </c>
      <c r="H81" s="37" t="str">
        <f t="shared" si="28"/>
        <v>6;8018E</v>
      </c>
      <c r="I81" s="38">
        <v>1</v>
      </c>
      <c r="J81" s="128">
        <f t="shared" si="42"/>
        <v>6.6676741269693212</v>
      </c>
      <c r="K81" s="39" t="str">
        <f>INDEX(powers!$H$2:$H$75,33+I81)</f>
        <v>dozen</v>
      </c>
      <c r="L81" s="40" t="str">
        <f t="shared" si="43"/>
        <v>6</v>
      </c>
      <c r="M81" s="24">
        <f t="shared" si="29"/>
        <v>8.0120895236318539</v>
      </c>
      <c r="N81" s="41" t="str">
        <f t="shared" si="44"/>
        <v>8</v>
      </c>
      <c r="O81" s="24">
        <f t="shared" si="30"/>
        <v>0.14507428358224672</v>
      </c>
      <c r="P81" s="41" t="str">
        <f t="shared" si="45"/>
        <v>0</v>
      </c>
      <c r="Q81" s="24">
        <f t="shared" si="31"/>
        <v>1.7408914029869607</v>
      </c>
      <c r="R81" s="41" t="str">
        <f t="shared" si="46"/>
        <v>1</v>
      </c>
      <c r="S81" s="24">
        <f t="shared" si="32"/>
        <v>8.8906968358435279</v>
      </c>
      <c r="T81" s="41" t="str">
        <f t="shared" si="47"/>
        <v>8</v>
      </c>
      <c r="U81" s="24">
        <f t="shared" si="33"/>
        <v>10.688362030122335</v>
      </c>
      <c r="V81" s="41" t="str">
        <f t="shared" si="48"/>
        <v>E</v>
      </c>
      <c r="W81" s="24">
        <f t="shared" si="34"/>
        <v>8.2603443614680145</v>
      </c>
      <c r="X81" s="41" t="str">
        <f t="shared" si="49"/>
        <v/>
      </c>
      <c r="Y81" s="24">
        <f t="shared" si="35"/>
        <v>3.1241323376161745</v>
      </c>
      <c r="Z81" s="41" t="str">
        <f t="shared" si="50"/>
        <v/>
      </c>
      <c r="AA81" s="24">
        <f t="shared" si="36"/>
        <v>1.4895880513940938</v>
      </c>
      <c r="AB81" s="41" t="str">
        <f t="shared" si="51"/>
        <v/>
      </c>
      <c r="AC81" s="24">
        <f t="shared" si="37"/>
        <v>5.8750566167291254</v>
      </c>
      <c r="AD81" s="41" t="str">
        <f t="shared" si="52"/>
        <v/>
      </c>
      <c r="AE81" s="24">
        <f t="shared" si="38"/>
        <v>10.500679400749505</v>
      </c>
      <c r="AF81" s="41" t="str">
        <f t="shared" si="53"/>
        <v/>
      </c>
      <c r="AG81" s="24">
        <f t="shared" si="39"/>
        <v>6.0081528089940548</v>
      </c>
      <c r="AH81" s="41" t="str">
        <f t="shared" si="54"/>
        <v/>
      </c>
      <c r="AI81" s="24">
        <f t="shared" si="40"/>
        <v>9.7833707928657532E-2</v>
      </c>
      <c r="AJ81" s="41" t="str">
        <f t="shared" si="55"/>
        <v/>
      </c>
    </row>
    <row r="82" spans="1:36" ht="13.5" customHeight="1" x14ac:dyDescent="0.2">
      <c r="A82" s="314"/>
      <c r="B82" s="315"/>
      <c r="C82" s="316"/>
      <c r="D82" s="317"/>
      <c r="E82" s="316">
        <v>78.918337600000001</v>
      </c>
      <c r="F82" s="8">
        <v>9</v>
      </c>
      <c r="G82" s="21">
        <f t="shared" si="41"/>
        <v>79.025093776374192</v>
      </c>
      <c r="H82" s="37" t="str">
        <f t="shared" si="28"/>
        <v>6;703744175</v>
      </c>
      <c r="I82" s="38">
        <v>1</v>
      </c>
      <c r="J82" s="128">
        <f t="shared" si="42"/>
        <v>6.585424481364516</v>
      </c>
      <c r="K82" s="39" t="str">
        <f>INDEX(powers!$H$2:$H$75,33+I82)</f>
        <v>dozen</v>
      </c>
      <c r="L82" s="40" t="str">
        <f t="shared" si="43"/>
        <v>6</v>
      </c>
      <c r="M82" s="24">
        <f t="shared" si="29"/>
        <v>7.0250937763741916</v>
      </c>
      <c r="N82" s="41" t="str">
        <f t="shared" si="44"/>
        <v>7</v>
      </c>
      <c r="O82" s="24">
        <f t="shared" si="30"/>
        <v>0.30112531649029961</v>
      </c>
      <c r="P82" s="41" t="str">
        <f t="shared" si="45"/>
        <v>0</v>
      </c>
      <c r="Q82" s="24">
        <f t="shared" si="31"/>
        <v>3.6135037978835953</v>
      </c>
      <c r="R82" s="41" t="str">
        <f t="shared" si="46"/>
        <v>3</v>
      </c>
      <c r="S82" s="24">
        <f t="shared" si="32"/>
        <v>7.3620455746031439</v>
      </c>
      <c r="T82" s="41" t="str">
        <f t="shared" si="47"/>
        <v>7</v>
      </c>
      <c r="U82" s="24">
        <f t="shared" si="33"/>
        <v>4.3445468952377269</v>
      </c>
      <c r="V82" s="41" t="str">
        <f t="shared" si="48"/>
        <v>4</v>
      </c>
      <c r="W82" s="24">
        <f t="shared" si="34"/>
        <v>4.1345627428527223</v>
      </c>
      <c r="X82" s="41" t="str">
        <f t="shared" si="49"/>
        <v>4</v>
      </c>
      <c r="Y82" s="24">
        <f t="shared" si="35"/>
        <v>1.6147529142326675</v>
      </c>
      <c r="Z82" s="41" t="str">
        <f t="shared" si="50"/>
        <v>1</v>
      </c>
      <c r="AA82" s="24">
        <f t="shared" si="36"/>
        <v>7.3770349707920104</v>
      </c>
      <c r="AB82" s="41" t="str">
        <f t="shared" si="51"/>
        <v>7</v>
      </c>
      <c r="AC82" s="24">
        <f t="shared" si="37"/>
        <v>4.5244196495041251</v>
      </c>
      <c r="AD82" s="41" t="str">
        <f t="shared" si="52"/>
        <v>5</v>
      </c>
      <c r="AE82" s="24">
        <f t="shared" si="38"/>
        <v>6.2930357940495014</v>
      </c>
      <c r="AF82" s="41" t="str">
        <f t="shared" si="53"/>
        <v/>
      </c>
      <c r="AG82" s="24">
        <f t="shared" si="39"/>
        <v>3.516429528594017</v>
      </c>
      <c r="AH82" s="41" t="str">
        <f t="shared" si="54"/>
        <v/>
      </c>
      <c r="AI82" s="24">
        <f t="shared" si="40"/>
        <v>6.1971543431282043</v>
      </c>
      <c r="AJ82" s="41" t="str">
        <f t="shared" si="55"/>
        <v/>
      </c>
    </row>
    <row r="83" spans="1:36" ht="13.5" customHeight="1" x14ac:dyDescent="0.2">
      <c r="A83" s="314" t="s">
        <v>838</v>
      </c>
      <c r="B83" s="315">
        <v>36</v>
      </c>
      <c r="C83" s="316" t="s">
        <v>837</v>
      </c>
      <c r="D83" s="317">
        <v>83.798000000000002</v>
      </c>
      <c r="E83" s="316"/>
      <c r="F83" s="8">
        <v>5</v>
      </c>
      <c r="G83" s="21">
        <f t="shared" si="41"/>
        <v>83.911357102289031</v>
      </c>
      <c r="H83" s="37" t="str">
        <f t="shared" si="28"/>
        <v>6;EXE2X</v>
      </c>
      <c r="I83" s="38">
        <v>1</v>
      </c>
      <c r="J83" s="128">
        <f t="shared" si="42"/>
        <v>6.992613091857419</v>
      </c>
      <c r="K83" s="39" t="str">
        <f>INDEX(powers!$H$2:$H$75,33+I83)</f>
        <v>dozen</v>
      </c>
      <c r="L83" s="40" t="str">
        <f t="shared" si="43"/>
        <v>6</v>
      </c>
      <c r="M83" s="24">
        <f t="shared" si="29"/>
        <v>11.911357102289028</v>
      </c>
      <c r="N83" s="41" t="str">
        <f t="shared" si="44"/>
        <v>E</v>
      </c>
      <c r="O83" s="24">
        <f t="shared" si="30"/>
        <v>10.936285227468332</v>
      </c>
      <c r="P83" s="41" t="str">
        <f t="shared" si="45"/>
        <v>X</v>
      </c>
      <c r="Q83" s="24">
        <f t="shared" si="31"/>
        <v>11.235422729619984</v>
      </c>
      <c r="R83" s="41" t="str">
        <f t="shared" si="46"/>
        <v>E</v>
      </c>
      <c r="S83" s="24">
        <f t="shared" si="32"/>
        <v>2.8250727554398054</v>
      </c>
      <c r="T83" s="41" t="str">
        <f t="shared" si="47"/>
        <v>2</v>
      </c>
      <c r="U83" s="24">
        <f t="shared" si="33"/>
        <v>9.9008730652776649</v>
      </c>
      <c r="V83" s="41" t="str">
        <f t="shared" si="48"/>
        <v>X</v>
      </c>
      <c r="W83" s="24">
        <f t="shared" si="34"/>
        <v>10.810476783331978</v>
      </c>
      <c r="X83" s="41" t="str">
        <f t="shared" si="49"/>
        <v/>
      </c>
      <c r="Y83" s="24">
        <f t="shared" si="35"/>
        <v>9.7257213999837404</v>
      </c>
      <c r="Z83" s="41" t="str">
        <f t="shared" si="50"/>
        <v/>
      </c>
      <c r="AA83" s="24">
        <f t="shared" si="36"/>
        <v>8.7086567998048849</v>
      </c>
      <c r="AB83" s="41" t="str">
        <f t="shared" si="51"/>
        <v/>
      </c>
      <c r="AC83" s="24">
        <f t="shared" si="37"/>
        <v>8.5038815976586193</v>
      </c>
      <c r="AD83" s="41" t="str">
        <f t="shared" si="52"/>
        <v/>
      </c>
      <c r="AE83" s="24">
        <f t="shared" si="38"/>
        <v>6.0465791719034314</v>
      </c>
      <c r="AF83" s="41" t="str">
        <f t="shared" si="53"/>
        <v/>
      </c>
      <c r="AG83" s="24">
        <f t="shared" si="39"/>
        <v>0.55895006284117699</v>
      </c>
      <c r="AH83" s="41" t="str">
        <f t="shared" si="54"/>
        <v/>
      </c>
      <c r="AI83" s="24">
        <f t="shared" si="40"/>
        <v>6.7074007540941238</v>
      </c>
      <c r="AJ83" s="41" t="str">
        <f t="shared" si="55"/>
        <v/>
      </c>
    </row>
    <row r="84" spans="1:36" ht="13.5" customHeight="1" x14ac:dyDescent="0.2">
      <c r="A84" s="314"/>
      <c r="B84" s="315"/>
      <c r="C84" s="316"/>
      <c r="D84" s="317"/>
      <c r="E84" s="316">
        <v>83.911507</v>
      </c>
      <c r="F84" s="8">
        <v>8</v>
      </c>
      <c r="G84" s="21">
        <f t="shared" si="41"/>
        <v>84.025017648013389</v>
      </c>
      <c r="H84" s="37" t="str">
        <f t="shared" si="28"/>
        <v>7;00372924</v>
      </c>
      <c r="I84" s="38">
        <v>1</v>
      </c>
      <c r="J84" s="128">
        <f t="shared" si="42"/>
        <v>7.0020848040011154</v>
      </c>
      <c r="K84" s="39" t="str">
        <f>INDEX(powers!$H$2:$H$75,33+I84)</f>
        <v>dozen</v>
      </c>
      <c r="L84" s="40" t="str">
        <f t="shared" si="43"/>
        <v>7</v>
      </c>
      <c r="M84" s="24">
        <f t="shared" si="29"/>
        <v>2.5017648013385241E-2</v>
      </c>
      <c r="N84" s="41" t="str">
        <f t="shared" si="44"/>
        <v>0</v>
      </c>
      <c r="O84" s="24">
        <f t="shared" si="30"/>
        <v>0.30021177616062289</v>
      </c>
      <c r="P84" s="41" t="str">
        <f t="shared" si="45"/>
        <v>0</v>
      </c>
      <c r="Q84" s="24">
        <f t="shared" si="31"/>
        <v>3.6025413139274747</v>
      </c>
      <c r="R84" s="41" t="str">
        <f t="shared" si="46"/>
        <v>3</v>
      </c>
      <c r="S84" s="24">
        <f t="shared" si="32"/>
        <v>7.2304957671296961</v>
      </c>
      <c r="T84" s="41" t="str">
        <f t="shared" si="47"/>
        <v>7</v>
      </c>
      <c r="U84" s="24">
        <f t="shared" si="33"/>
        <v>2.7659492055563533</v>
      </c>
      <c r="V84" s="41" t="str">
        <f t="shared" si="48"/>
        <v>2</v>
      </c>
      <c r="W84" s="24">
        <f t="shared" si="34"/>
        <v>9.1913904666762392</v>
      </c>
      <c r="X84" s="41" t="str">
        <f t="shared" si="49"/>
        <v>9</v>
      </c>
      <c r="Y84" s="24">
        <f t="shared" si="35"/>
        <v>2.2966856001148699</v>
      </c>
      <c r="Z84" s="41" t="str">
        <f t="shared" si="50"/>
        <v>2</v>
      </c>
      <c r="AA84" s="24">
        <f t="shared" si="36"/>
        <v>3.5602272013784386</v>
      </c>
      <c r="AB84" s="41" t="str">
        <f t="shared" si="51"/>
        <v>4</v>
      </c>
      <c r="AC84" s="24">
        <f t="shared" si="37"/>
        <v>6.7227264165412635</v>
      </c>
      <c r="AD84" s="41" t="str">
        <f t="shared" si="52"/>
        <v/>
      </c>
      <c r="AE84" s="24">
        <f t="shared" si="38"/>
        <v>8.6727169984951615</v>
      </c>
      <c r="AF84" s="41" t="str">
        <f t="shared" si="53"/>
        <v/>
      </c>
      <c r="AG84" s="24">
        <f t="shared" si="39"/>
        <v>8.0726039819419384</v>
      </c>
      <c r="AH84" s="41" t="str">
        <f t="shared" si="54"/>
        <v/>
      </c>
      <c r="AI84" s="24">
        <f t="shared" si="40"/>
        <v>0.8712477833032608</v>
      </c>
      <c r="AJ84" s="41" t="str">
        <f t="shared" si="55"/>
        <v/>
      </c>
    </row>
    <row r="85" spans="1:36" ht="13.5" customHeight="1" x14ac:dyDescent="0.2">
      <c r="A85" s="314" t="s">
        <v>840</v>
      </c>
      <c r="B85" s="315">
        <v>37</v>
      </c>
      <c r="C85" s="316" t="s">
        <v>839</v>
      </c>
      <c r="D85" s="317">
        <v>85.467799999999997</v>
      </c>
      <c r="E85" s="316"/>
      <c r="F85" s="8">
        <v>6</v>
      </c>
      <c r="G85" s="21">
        <f t="shared" si="41"/>
        <v>85.583415911442017</v>
      </c>
      <c r="H85" s="37" t="str">
        <f t="shared" si="28"/>
        <v>7;170019</v>
      </c>
      <c r="I85" s="38">
        <v>1</v>
      </c>
      <c r="J85" s="128">
        <f t="shared" si="42"/>
        <v>7.1319513259535015</v>
      </c>
      <c r="K85" s="39" t="str">
        <f>INDEX(powers!$H$2:$H$75,33+I85)</f>
        <v>dozen</v>
      </c>
      <c r="L85" s="40" t="str">
        <f t="shared" si="43"/>
        <v>7</v>
      </c>
      <c r="M85" s="24">
        <f t="shared" si="29"/>
        <v>1.5834159114420174</v>
      </c>
      <c r="N85" s="41" t="str">
        <f t="shared" si="44"/>
        <v>1</v>
      </c>
      <c r="O85" s="24">
        <f t="shared" si="30"/>
        <v>7.0009909373042092</v>
      </c>
      <c r="P85" s="41" t="str">
        <f t="shared" si="45"/>
        <v>7</v>
      </c>
      <c r="Q85" s="24">
        <f t="shared" si="31"/>
        <v>1.1891247650510195E-2</v>
      </c>
      <c r="R85" s="41" t="str">
        <f t="shared" si="46"/>
        <v>0</v>
      </c>
      <c r="S85" s="24">
        <f t="shared" si="32"/>
        <v>0.14269497180612234</v>
      </c>
      <c r="T85" s="41" t="str">
        <f t="shared" si="47"/>
        <v>0</v>
      </c>
      <c r="U85" s="24">
        <f t="shared" si="33"/>
        <v>1.7123396616734681</v>
      </c>
      <c r="V85" s="41" t="str">
        <f t="shared" si="48"/>
        <v>1</v>
      </c>
      <c r="W85" s="24">
        <f t="shared" si="34"/>
        <v>8.5480759400816169</v>
      </c>
      <c r="X85" s="41" t="str">
        <f t="shared" si="49"/>
        <v>9</v>
      </c>
      <c r="Y85" s="24">
        <f t="shared" si="35"/>
        <v>6.5769112809794024</v>
      </c>
      <c r="Z85" s="41" t="str">
        <f t="shared" si="50"/>
        <v/>
      </c>
      <c r="AA85" s="24">
        <f t="shared" si="36"/>
        <v>6.9229353717528284</v>
      </c>
      <c r="AB85" s="41" t="str">
        <f t="shared" si="51"/>
        <v/>
      </c>
      <c r="AC85" s="24">
        <f t="shared" si="37"/>
        <v>11.07522446103394</v>
      </c>
      <c r="AD85" s="41" t="str">
        <f t="shared" si="52"/>
        <v/>
      </c>
      <c r="AE85" s="24">
        <f t="shared" si="38"/>
        <v>0.90269353240728378</v>
      </c>
      <c r="AF85" s="41" t="str">
        <f t="shared" si="53"/>
        <v/>
      </c>
      <c r="AG85" s="24">
        <f t="shared" si="39"/>
        <v>10.832322388887405</v>
      </c>
      <c r="AH85" s="41" t="str">
        <f t="shared" si="54"/>
        <v/>
      </c>
      <c r="AI85" s="24">
        <f t="shared" si="40"/>
        <v>9.9878686666488647</v>
      </c>
      <c r="AJ85" s="41" t="str">
        <f t="shared" si="55"/>
        <v/>
      </c>
    </row>
    <row r="86" spans="1:36" ht="13.5" customHeight="1" x14ac:dyDescent="0.2">
      <c r="A86" s="314"/>
      <c r="B86" s="315"/>
      <c r="C86" s="316"/>
      <c r="D86" s="317"/>
      <c r="E86" s="316">
        <v>84.911789299999995</v>
      </c>
      <c r="F86" s="8">
        <v>9</v>
      </c>
      <c r="G86" s="21">
        <f t="shared" si="41"/>
        <v>85.02665307222874</v>
      </c>
      <c r="H86" s="37" t="str">
        <f t="shared" si="28"/>
        <v>7;103X08179</v>
      </c>
      <c r="I86" s="38">
        <v>1</v>
      </c>
      <c r="J86" s="128">
        <f t="shared" si="42"/>
        <v>7.0855544226857283</v>
      </c>
      <c r="K86" s="39" t="str">
        <f>INDEX(powers!$H$2:$H$75,33+I86)</f>
        <v>dozen</v>
      </c>
      <c r="L86" s="40" t="str">
        <f t="shared" si="43"/>
        <v>7</v>
      </c>
      <c r="M86" s="24">
        <f t="shared" si="29"/>
        <v>1.0266530722287399</v>
      </c>
      <c r="N86" s="41" t="str">
        <f t="shared" si="44"/>
        <v>1</v>
      </c>
      <c r="O86" s="24">
        <f t="shared" si="30"/>
        <v>0.31983686674487899</v>
      </c>
      <c r="P86" s="41" t="str">
        <f t="shared" si="45"/>
        <v>0</v>
      </c>
      <c r="Q86" s="24">
        <f t="shared" si="31"/>
        <v>3.8380424009385479</v>
      </c>
      <c r="R86" s="41" t="str">
        <f t="shared" si="46"/>
        <v>3</v>
      </c>
      <c r="S86" s="24">
        <f t="shared" si="32"/>
        <v>10.056508811262574</v>
      </c>
      <c r="T86" s="41" t="str">
        <f t="shared" si="47"/>
        <v>X</v>
      </c>
      <c r="U86" s="24">
        <f t="shared" si="33"/>
        <v>0.67810573515089345</v>
      </c>
      <c r="V86" s="41" t="str">
        <f t="shared" si="48"/>
        <v>0</v>
      </c>
      <c r="W86" s="24">
        <f t="shared" si="34"/>
        <v>8.1372688218107214</v>
      </c>
      <c r="X86" s="41" t="str">
        <f t="shared" si="49"/>
        <v>8</v>
      </c>
      <c r="Y86" s="24">
        <f t="shared" si="35"/>
        <v>1.647225861728657</v>
      </c>
      <c r="Z86" s="41" t="str">
        <f t="shared" si="50"/>
        <v>1</v>
      </c>
      <c r="AA86" s="24">
        <f t="shared" si="36"/>
        <v>7.7667103407438844</v>
      </c>
      <c r="AB86" s="41" t="str">
        <f t="shared" si="51"/>
        <v>7</v>
      </c>
      <c r="AC86" s="24">
        <f t="shared" si="37"/>
        <v>9.2005240889266133</v>
      </c>
      <c r="AD86" s="41" t="str">
        <f t="shared" si="52"/>
        <v>9</v>
      </c>
      <c r="AE86" s="24">
        <f t="shared" si="38"/>
        <v>2.40628906711936</v>
      </c>
      <c r="AF86" s="41" t="str">
        <f t="shared" si="53"/>
        <v/>
      </c>
      <c r="AG86" s="24">
        <f t="shared" si="39"/>
        <v>4.8754688054323196</v>
      </c>
      <c r="AH86" s="41" t="str">
        <f t="shared" si="54"/>
        <v/>
      </c>
      <c r="AI86" s="24">
        <f t="shared" si="40"/>
        <v>10.505625665187836</v>
      </c>
      <c r="AJ86" s="41" t="str">
        <f t="shared" si="55"/>
        <v/>
      </c>
    </row>
    <row r="87" spans="1:36" ht="13.5" customHeight="1" x14ac:dyDescent="0.2">
      <c r="A87" s="314" t="s">
        <v>842</v>
      </c>
      <c r="B87" s="315">
        <v>38</v>
      </c>
      <c r="C87" s="316" t="s">
        <v>841</v>
      </c>
      <c r="D87" s="317">
        <v>87.62</v>
      </c>
      <c r="E87" s="316"/>
      <c r="F87" s="8">
        <v>4</v>
      </c>
      <c r="G87" s="21">
        <f t="shared" si="41"/>
        <v>87.738527283498001</v>
      </c>
      <c r="H87" s="37" t="str">
        <f t="shared" si="28"/>
        <v>7;38X4</v>
      </c>
      <c r="I87" s="38">
        <v>1</v>
      </c>
      <c r="J87" s="128">
        <f t="shared" si="42"/>
        <v>7.3115439402915001</v>
      </c>
      <c r="K87" s="39" t="str">
        <f>INDEX(powers!$H$2:$H$75,33+I87)</f>
        <v>dozen</v>
      </c>
      <c r="L87" s="40" t="str">
        <f t="shared" si="43"/>
        <v>7</v>
      </c>
      <c r="M87" s="24">
        <f t="shared" si="29"/>
        <v>3.7385272834980015</v>
      </c>
      <c r="N87" s="41" t="str">
        <f t="shared" si="44"/>
        <v>3</v>
      </c>
      <c r="O87" s="24">
        <f t="shared" si="30"/>
        <v>8.8623274019760174</v>
      </c>
      <c r="P87" s="41" t="str">
        <f t="shared" si="45"/>
        <v>8</v>
      </c>
      <c r="Q87" s="24">
        <f t="shared" si="31"/>
        <v>10.347928823712209</v>
      </c>
      <c r="R87" s="41" t="str">
        <f t="shared" si="46"/>
        <v>X</v>
      </c>
      <c r="S87" s="24">
        <f t="shared" si="32"/>
        <v>4.1751458845465095</v>
      </c>
      <c r="T87" s="41" t="str">
        <f t="shared" si="47"/>
        <v>4</v>
      </c>
      <c r="U87" s="24">
        <f t="shared" si="33"/>
        <v>2.1017506145581137</v>
      </c>
      <c r="V87" s="41" t="str">
        <f t="shared" si="48"/>
        <v/>
      </c>
      <c r="W87" s="24">
        <f t="shared" si="34"/>
        <v>1.2210073746973649</v>
      </c>
      <c r="X87" s="41" t="str">
        <f t="shared" si="49"/>
        <v/>
      </c>
      <c r="Y87" s="24">
        <f t="shared" si="35"/>
        <v>2.6520884963683784</v>
      </c>
      <c r="Z87" s="41" t="str">
        <f t="shared" si="50"/>
        <v/>
      </c>
      <c r="AA87" s="24">
        <f t="shared" si="36"/>
        <v>7.8250619564205408</v>
      </c>
      <c r="AB87" s="41" t="str">
        <f t="shared" si="51"/>
        <v/>
      </c>
      <c r="AC87" s="24">
        <f t="shared" si="37"/>
        <v>9.9007434770464897</v>
      </c>
      <c r="AD87" s="41" t="str">
        <f t="shared" si="52"/>
        <v/>
      </c>
      <c r="AE87" s="24">
        <f t="shared" si="38"/>
        <v>10.808921724557877</v>
      </c>
      <c r="AF87" s="41" t="str">
        <f t="shared" si="53"/>
        <v/>
      </c>
      <c r="AG87" s="24">
        <f t="shared" si="39"/>
        <v>9.707060694694519</v>
      </c>
      <c r="AH87" s="41" t="str">
        <f t="shared" si="54"/>
        <v/>
      </c>
      <c r="AI87" s="24">
        <f t="shared" si="40"/>
        <v>8.4847283363342285</v>
      </c>
      <c r="AJ87" s="41" t="str">
        <f t="shared" si="55"/>
        <v/>
      </c>
    </row>
    <row r="88" spans="1:36" ht="13.5" customHeight="1" x14ac:dyDescent="0.2">
      <c r="A88" s="314"/>
      <c r="B88" s="315"/>
      <c r="C88" s="316"/>
      <c r="D88" s="317"/>
      <c r="E88" s="316">
        <v>87.905614299999996</v>
      </c>
      <c r="F88" s="8">
        <v>9</v>
      </c>
      <c r="G88" s="21">
        <f t="shared" si="41"/>
        <v>88.024527946053425</v>
      </c>
      <c r="H88" s="37" t="str">
        <f t="shared" si="28"/>
        <v>7;403647408</v>
      </c>
      <c r="I88" s="38">
        <v>1</v>
      </c>
      <c r="J88" s="128">
        <f t="shared" si="42"/>
        <v>7.3353773288377857</v>
      </c>
      <c r="K88" s="39" t="str">
        <f>INDEX(powers!$H$2:$H$75,33+I88)</f>
        <v>dozen</v>
      </c>
      <c r="L88" s="40" t="str">
        <f t="shared" si="43"/>
        <v>7</v>
      </c>
      <c r="M88" s="24">
        <f t="shared" si="29"/>
        <v>4.0245279460534285</v>
      </c>
      <c r="N88" s="41" t="str">
        <f t="shared" si="44"/>
        <v>4</v>
      </c>
      <c r="O88" s="24">
        <f t="shared" si="30"/>
        <v>0.29433535264114141</v>
      </c>
      <c r="P88" s="41" t="str">
        <f t="shared" si="45"/>
        <v>0</v>
      </c>
      <c r="Q88" s="24">
        <f t="shared" si="31"/>
        <v>3.5320242316936969</v>
      </c>
      <c r="R88" s="41" t="str">
        <f t="shared" si="46"/>
        <v>3</v>
      </c>
      <c r="S88" s="24">
        <f t="shared" si="32"/>
        <v>6.3842907803243634</v>
      </c>
      <c r="T88" s="41" t="str">
        <f t="shared" si="47"/>
        <v>6</v>
      </c>
      <c r="U88" s="24">
        <f t="shared" si="33"/>
        <v>4.6114893638923604</v>
      </c>
      <c r="V88" s="41" t="str">
        <f t="shared" si="48"/>
        <v>4</v>
      </c>
      <c r="W88" s="24">
        <f t="shared" si="34"/>
        <v>7.337872366708325</v>
      </c>
      <c r="X88" s="41" t="str">
        <f t="shared" si="49"/>
        <v>7</v>
      </c>
      <c r="Y88" s="24">
        <f t="shared" si="35"/>
        <v>4.0544684004998999</v>
      </c>
      <c r="Z88" s="41" t="str">
        <f t="shared" si="50"/>
        <v>4</v>
      </c>
      <c r="AA88" s="24">
        <f t="shared" si="36"/>
        <v>0.65362080599879846</v>
      </c>
      <c r="AB88" s="41" t="str">
        <f t="shared" si="51"/>
        <v>0</v>
      </c>
      <c r="AC88" s="24">
        <f t="shared" si="37"/>
        <v>7.8434496719855815</v>
      </c>
      <c r="AD88" s="41" t="str">
        <f t="shared" si="52"/>
        <v>8</v>
      </c>
      <c r="AE88" s="24">
        <f t="shared" si="38"/>
        <v>10.121396063826978</v>
      </c>
      <c r="AF88" s="41" t="str">
        <f t="shared" si="53"/>
        <v/>
      </c>
      <c r="AG88" s="24">
        <f t="shared" si="39"/>
        <v>1.4567527659237385</v>
      </c>
      <c r="AH88" s="41" t="str">
        <f t="shared" si="54"/>
        <v/>
      </c>
      <c r="AI88" s="24">
        <f t="shared" si="40"/>
        <v>5.4810331910848618</v>
      </c>
      <c r="AJ88" s="41" t="str">
        <f t="shared" si="55"/>
        <v/>
      </c>
    </row>
    <row r="89" spans="1:36" ht="13.5" customHeight="1" x14ac:dyDescent="0.2">
      <c r="A89" s="314" t="s">
        <v>844</v>
      </c>
      <c r="B89" s="315">
        <v>39</v>
      </c>
      <c r="C89" s="316" t="s">
        <v>843</v>
      </c>
      <c r="D89" s="317">
        <v>88.905850000000001</v>
      </c>
      <c r="E89" s="316"/>
      <c r="F89" s="8">
        <v>7</v>
      </c>
      <c r="G89" s="21">
        <f t="shared" si="41"/>
        <v>89.026116707230997</v>
      </c>
      <c r="H89" s="37" t="str">
        <f t="shared" si="28"/>
        <v>7;5039168</v>
      </c>
      <c r="I89" s="38">
        <v>1</v>
      </c>
      <c r="J89" s="128">
        <f t="shared" si="42"/>
        <v>7.4188430589359164</v>
      </c>
      <c r="K89" s="39" t="str">
        <f>INDEX(powers!$H$2:$H$75,33+I89)</f>
        <v>dozen</v>
      </c>
      <c r="L89" s="40" t="str">
        <f t="shared" si="43"/>
        <v>7</v>
      </c>
      <c r="M89" s="24">
        <f t="shared" si="29"/>
        <v>5.0261167072309973</v>
      </c>
      <c r="N89" s="41" t="str">
        <f t="shared" si="44"/>
        <v>5</v>
      </c>
      <c r="O89" s="24">
        <f t="shared" si="30"/>
        <v>0.31340048677196819</v>
      </c>
      <c r="P89" s="41" t="str">
        <f t="shared" si="45"/>
        <v>0</v>
      </c>
      <c r="Q89" s="24">
        <f t="shared" si="31"/>
        <v>3.7608058412636183</v>
      </c>
      <c r="R89" s="41" t="str">
        <f t="shared" si="46"/>
        <v>3</v>
      </c>
      <c r="S89" s="24">
        <f t="shared" si="32"/>
        <v>9.1296700951634193</v>
      </c>
      <c r="T89" s="41" t="str">
        <f t="shared" si="47"/>
        <v>9</v>
      </c>
      <c r="U89" s="24">
        <f t="shared" si="33"/>
        <v>1.5560411419610318</v>
      </c>
      <c r="V89" s="41" t="str">
        <f t="shared" si="48"/>
        <v>1</v>
      </c>
      <c r="W89" s="24">
        <f t="shared" si="34"/>
        <v>6.6724937035323819</v>
      </c>
      <c r="X89" s="41" t="str">
        <f t="shared" si="49"/>
        <v>6</v>
      </c>
      <c r="Y89" s="24">
        <f t="shared" si="35"/>
        <v>8.069924442388583</v>
      </c>
      <c r="Z89" s="41" t="str">
        <f t="shared" si="50"/>
        <v>8</v>
      </c>
      <c r="AA89" s="24">
        <f t="shared" si="36"/>
        <v>0.8390933086629957</v>
      </c>
      <c r="AB89" s="41" t="str">
        <f t="shared" si="51"/>
        <v/>
      </c>
      <c r="AC89" s="24">
        <f t="shared" si="37"/>
        <v>10.069119703955948</v>
      </c>
      <c r="AD89" s="41" t="str">
        <f t="shared" si="52"/>
        <v/>
      </c>
      <c r="AE89" s="24">
        <f t="shared" si="38"/>
        <v>0.82943644747138023</v>
      </c>
      <c r="AF89" s="41" t="str">
        <f t="shared" si="53"/>
        <v/>
      </c>
      <c r="AG89" s="24">
        <f t="shared" si="39"/>
        <v>9.9532373696565628</v>
      </c>
      <c r="AH89" s="41" t="str">
        <f t="shared" si="54"/>
        <v/>
      </c>
      <c r="AI89" s="24">
        <f t="shared" si="40"/>
        <v>11.438848435878754</v>
      </c>
      <c r="AJ89" s="41" t="str">
        <f t="shared" si="55"/>
        <v/>
      </c>
    </row>
    <row r="90" spans="1:36" ht="13.5" customHeight="1" x14ac:dyDescent="0.2">
      <c r="A90" s="314"/>
      <c r="B90" s="315"/>
      <c r="C90" s="316"/>
      <c r="D90" s="317"/>
      <c r="E90" s="316">
        <v>88.905850000000001</v>
      </c>
      <c r="F90" s="8">
        <v>7</v>
      </c>
      <c r="G90" s="21">
        <f t="shared" si="41"/>
        <v>89.026116707230997</v>
      </c>
      <c r="H90" s="37" t="str">
        <f t="shared" si="28"/>
        <v>7;5039168</v>
      </c>
      <c r="I90" s="38">
        <v>1</v>
      </c>
      <c r="J90" s="128">
        <f t="shared" si="42"/>
        <v>7.4188430589359164</v>
      </c>
      <c r="K90" s="39" t="str">
        <f>INDEX(powers!$H$2:$H$75,33+I90)</f>
        <v>dozen</v>
      </c>
      <c r="L90" s="40" t="str">
        <f t="shared" si="43"/>
        <v>7</v>
      </c>
      <c r="M90" s="24">
        <f t="shared" si="29"/>
        <v>5.0261167072309973</v>
      </c>
      <c r="N90" s="41" t="str">
        <f t="shared" si="44"/>
        <v>5</v>
      </c>
      <c r="O90" s="24">
        <f t="shared" si="30"/>
        <v>0.31340048677196819</v>
      </c>
      <c r="P90" s="41" t="str">
        <f t="shared" si="45"/>
        <v>0</v>
      </c>
      <c r="Q90" s="24">
        <f t="shared" si="31"/>
        <v>3.7608058412636183</v>
      </c>
      <c r="R90" s="41" t="str">
        <f t="shared" si="46"/>
        <v>3</v>
      </c>
      <c r="S90" s="24">
        <f t="shared" si="32"/>
        <v>9.1296700951634193</v>
      </c>
      <c r="T90" s="41" t="str">
        <f t="shared" si="47"/>
        <v>9</v>
      </c>
      <c r="U90" s="24">
        <f t="shared" si="33"/>
        <v>1.5560411419610318</v>
      </c>
      <c r="V90" s="41" t="str">
        <f t="shared" si="48"/>
        <v>1</v>
      </c>
      <c r="W90" s="24">
        <f t="shared" si="34"/>
        <v>6.6724937035323819</v>
      </c>
      <c r="X90" s="41" t="str">
        <f t="shared" si="49"/>
        <v>6</v>
      </c>
      <c r="Y90" s="24">
        <f t="shared" si="35"/>
        <v>8.069924442388583</v>
      </c>
      <c r="Z90" s="41" t="str">
        <f t="shared" si="50"/>
        <v>8</v>
      </c>
      <c r="AA90" s="24">
        <f t="shared" si="36"/>
        <v>0.8390933086629957</v>
      </c>
      <c r="AB90" s="41" t="str">
        <f t="shared" si="51"/>
        <v/>
      </c>
      <c r="AC90" s="24">
        <f t="shared" si="37"/>
        <v>10.069119703955948</v>
      </c>
      <c r="AD90" s="41" t="str">
        <f t="shared" si="52"/>
        <v/>
      </c>
      <c r="AE90" s="24">
        <f t="shared" si="38"/>
        <v>0.82943644747138023</v>
      </c>
      <c r="AF90" s="41" t="str">
        <f t="shared" si="53"/>
        <v/>
      </c>
      <c r="AG90" s="24">
        <f t="shared" si="39"/>
        <v>9.9532373696565628</v>
      </c>
      <c r="AH90" s="41" t="str">
        <f t="shared" si="54"/>
        <v/>
      </c>
      <c r="AI90" s="24">
        <f t="shared" si="40"/>
        <v>11.438848435878754</v>
      </c>
      <c r="AJ90" s="41" t="str">
        <f t="shared" si="55"/>
        <v/>
      </c>
    </row>
    <row r="91" spans="1:36" ht="13.5" customHeight="1" x14ac:dyDescent="0.2">
      <c r="A91" s="314" t="s">
        <v>846</v>
      </c>
      <c r="B91" s="315">
        <v>40</v>
      </c>
      <c r="C91" s="316" t="s">
        <v>845</v>
      </c>
      <c r="D91" s="317">
        <v>91.224000000000004</v>
      </c>
      <c r="E91" s="316"/>
      <c r="F91" s="8">
        <v>5</v>
      </c>
      <c r="G91" s="21">
        <f t="shared" si="41"/>
        <v>91.347402566877662</v>
      </c>
      <c r="H91" s="37" t="str">
        <f t="shared" si="28"/>
        <v>7;74204</v>
      </c>
      <c r="I91" s="38">
        <v>1</v>
      </c>
      <c r="J91" s="128">
        <f t="shared" si="42"/>
        <v>7.6122835472398052</v>
      </c>
      <c r="K91" s="39" t="str">
        <f>INDEX(powers!$H$2:$H$75,33+I91)</f>
        <v>dozen</v>
      </c>
      <c r="L91" s="40" t="str">
        <f t="shared" si="43"/>
        <v>7</v>
      </c>
      <c r="M91" s="24">
        <f t="shared" si="29"/>
        <v>7.3474025668776619</v>
      </c>
      <c r="N91" s="41" t="str">
        <f t="shared" si="44"/>
        <v>7</v>
      </c>
      <c r="O91" s="24">
        <f t="shared" si="30"/>
        <v>4.1688308025319429</v>
      </c>
      <c r="P91" s="41" t="str">
        <f t="shared" si="45"/>
        <v>4</v>
      </c>
      <c r="Q91" s="24">
        <f t="shared" si="31"/>
        <v>2.0259696303833152</v>
      </c>
      <c r="R91" s="41" t="str">
        <f t="shared" si="46"/>
        <v>2</v>
      </c>
      <c r="S91" s="24">
        <f t="shared" si="32"/>
        <v>0.31163556459978281</v>
      </c>
      <c r="T91" s="41" t="str">
        <f t="shared" si="47"/>
        <v>0</v>
      </c>
      <c r="U91" s="24">
        <f t="shared" si="33"/>
        <v>3.7396267751973937</v>
      </c>
      <c r="V91" s="41" t="str">
        <f t="shared" si="48"/>
        <v>4</v>
      </c>
      <c r="W91" s="24">
        <f t="shared" si="34"/>
        <v>8.8755213023687247</v>
      </c>
      <c r="X91" s="41" t="str">
        <f t="shared" si="49"/>
        <v/>
      </c>
      <c r="Y91" s="24">
        <f t="shared" si="35"/>
        <v>10.506255628424697</v>
      </c>
      <c r="Z91" s="41" t="str">
        <f t="shared" si="50"/>
        <v/>
      </c>
      <c r="AA91" s="24">
        <f t="shared" si="36"/>
        <v>6.0750675410963595</v>
      </c>
      <c r="AB91" s="41" t="str">
        <f t="shared" si="51"/>
        <v/>
      </c>
      <c r="AC91" s="24">
        <f t="shared" si="37"/>
        <v>0.9008104931563139</v>
      </c>
      <c r="AD91" s="41" t="str">
        <f t="shared" si="52"/>
        <v/>
      </c>
      <c r="AE91" s="24">
        <f t="shared" si="38"/>
        <v>10.809725917875767</v>
      </c>
      <c r="AF91" s="41" t="str">
        <f t="shared" si="53"/>
        <v/>
      </c>
      <c r="AG91" s="24">
        <f t="shared" si="39"/>
        <v>9.716711014509201</v>
      </c>
      <c r="AH91" s="41" t="str">
        <f t="shared" si="54"/>
        <v/>
      </c>
      <c r="AI91" s="24">
        <f t="shared" si="40"/>
        <v>8.6005321741104126</v>
      </c>
      <c r="AJ91" s="41" t="str">
        <f t="shared" si="55"/>
        <v/>
      </c>
    </row>
    <row r="92" spans="1:36" ht="13.5" customHeight="1" x14ac:dyDescent="0.2">
      <c r="A92" s="314"/>
      <c r="B92" s="315"/>
      <c r="C92" s="316"/>
      <c r="D92" s="317"/>
      <c r="E92" s="316">
        <v>89.904703699999999</v>
      </c>
      <c r="F92" s="8">
        <v>9</v>
      </c>
      <c r="G92" s="21">
        <f t="shared" si="41"/>
        <v>90.026321598918656</v>
      </c>
      <c r="H92" s="37" t="str">
        <f t="shared" si="28"/>
        <v>7;6039597X6</v>
      </c>
      <c r="I92" s="38">
        <v>1</v>
      </c>
      <c r="J92" s="128">
        <f t="shared" si="42"/>
        <v>7.5021934665765544</v>
      </c>
      <c r="K92" s="39" t="str">
        <f>INDEX(powers!$H$2:$H$75,33+I92)</f>
        <v>dozen</v>
      </c>
      <c r="L92" s="40" t="str">
        <f t="shared" si="43"/>
        <v>7</v>
      </c>
      <c r="M92" s="24">
        <f t="shared" si="29"/>
        <v>6.0263215989186527</v>
      </c>
      <c r="N92" s="41" t="str">
        <f t="shared" si="44"/>
        <v>6</v>
      </c>
      <c r="O92" s="24">
        <f t="shared" si="30"/>
        <v>0.31585918702383253</v>
      </c>
      <c r="P92" s="41" t="str">
        <f t="shared" si="45"/>
        <v>0</v>
      </c>
      <c r="Q92" s="24">
        <f t="shared" si="31"/>
        <v>3.7903102442859904</v>
      </c>
      <c r="R92" s="41" t="str">
        <f t="shared" si="46"/>
        <v>3</v>
      </c>
      <c r="S92" s="24">
        <f t="shared" si="32"/>
        <v>9.4837229314318847</v>
      </c>
      <c r="T92" s="41" t="str">
        <f t="shared" si="47"/>
        <v>9</v>
      </c>
      <c r="U92" s="24">
        <f t="shared" si="33"/>
        <v>5.8046751771826166</v>
      </c>
      <c r="V92" s="41" t="str">
        <f t="shared" si="48"/>
        <v>5</v>
      </c>
      <c r="W92" s="24">
        <f t="shared" si="34"/>
        <v>9.6561021261913993</v>
      </c>
      <c r="X92" s="41" t="str">
        <f t="shared" si="49"/>
        <v>9</v>
      </c>
      <c r="Y92" s="24">
        <f t="shared" si="35"/>
        <v>7.8732255142967915</v>
      </c>
      <c r="Z92" s="41" t="str">
        <f t="shared" si="50"/>
        <v>7</v>
      </c>
      <c r="AA92" s="24">
        <f t="shared" si="36"/>
        <v>10.478706171561498</v>
      </c>
      <c r="AB92" s="41" t="str">
        <f t="shared" si="51"/>
        <v>X</v>
      </c>
      <c r="AC92" s="24">
        <f t="shared" si="37"/>
        <v>5.7444740587379783</v>
      </c>
      <c r="AD92" s="41" t="str">
        <f t="shared" si="52"/>
        <v>6</v>
      </c>
      <c r="AE92" s="24">
        <f t="shared" si="38"/>
        <v>8.9336887048557401</v>
      </c>
      <c r="AF92" s="41" t="str">
        <f t="shared" si="53"/>
        <v/>
      </c>
      <c r="AG92" s="24">
        <f t="shared" si="39"/>
        <v>11.204264458268881</v>
      </c>
      <c r="AH92" s="41" t="str">
        <f t="shared" si="54"/>
        <v/>
      </c>
      <c r="AI92" s="24">
        <f t="shared" si="40"/>
        <v>2.4511734992265701</v>
      </c>
      <c r="AJ92" s="41" t="str">
        <f t="shared" si="55"/>
        <v/>
      </c>
    </row>
    <row r="93" spans="1:36" ht="13.5" customHeight="1" x14ac:dyDescent="0.2">
      <c r="A93" s="314" t="s">
        <v>848</v>
      </c>
      <c r="B93" s="315">
        <v>41</v>
      </c>
      <c r="C93" s="316" t="s">
        <v>847</v>
      </c>
      <c r="D93" s="317">
        <v>92.906379999999999</v>
      </c>
      <c r="E93" s="316"/>
      <c r="F93" s="8">
        <v>7</v>
      </c>
      <c r="G93" s="21">
        <f t="shared" si="41"/>
        <v>93.032058393529226</v>
      </c>
      <c r="H93" s="37" t="str">
        <f t="shared" si="28"/>
        <v>7;9047492</v>
      </c>
      <c r="I93" s="38">
        <v>1</v>
      </c>
      <c r="J93" s="128">
        <f t="shared" si="42"/>
        <v>7.7526715327941025</v>
      </c>
      <c r="K93" s="39" t="str">
        <f>INDEX(powers!$H$2:$H$75,33+I93)</f>
        <v>dozen</v>
      </c>
      <c r="L93" s="40" t="str">
        <f t="shared" si="43"/>
        <v>7</v>
      </c>
      <c r="M93" s="24">
        <f t="shared" si="29"/>
        <v>9.0320583935292298</v>
      </c>
      <c r="N93" s="41" t="str">
        <f t="shared" si="44"/>
        <v>9</v>
      </c>
      <c r="O93" s="24">
        <f t="shared" si="30"/>
        <v>0.38470072235075747</v>
      </c>
      <c r="P93" s="41" t="str">
        <f t="shared" si="45"/>
        <v>0</v>
      </c>
      <c r="Q93" s="24">
        <f t="shared" si="31"/>
        <v>4.6164086682090897</v>
      </c>
      <c r="R93" s="41" t="str">
        <f t="shared" si="46"/>
        <v>4</v>
      </c>
      <c r="S93" s="24">
        <f t="shared" si="32"/>
        <v>7.3969040185090762</v>
      </c>
      <c r="T93" s="41" t="str">
        <f t="shared" si="47"/>
        <v>7</v>
      </c>
      <c r="U93" s="24">
        <f t="shared" si="33"/>
        <v>4.7628482221089143</v>
      </c>
      <c r="V93" s="41" t="str">
        <f t="shared" si="48"/>
        <v>4</v>
      </c>
      <c r="W93" s="24">
        <f t="shared" si="34"/>
        <v>9.1541786653069721</v>
      </c>
      <c r="X93" s="41" t="str">
        <f t="shared" si="49"/>
        <v>9</v>
      </c>
      <c r="Y93" s="24">
        <f t="shared" si="35"/>
        <v>1.8501439836836653</v>
      </c>
      <c r="Z93" s="41" t="str">
        <f t="shared" si="50"/>
        <v>2</v>
      </c>
      <c r="AA93" s="24">
        <f t="shared" si="36"/>
        <v>10.201727804203983</v>
      </c>
      <c r="AB93" s="41" t="str">
        <f t="shared" si="51"/>
        <v/>
      </c>
      <c r="AC93" s="24">
        <f t="shared" si="37"/>
        <v>2.4207336504478008</v>
      </c>
      <c r="AD93" s="41" t="str">
        <f t="shared" si="52"/>
        <v/>
      </c>
      <c r="AE93" s="24">
        <f t="shared" si="38"/>
        <v>5.0488038053736091</v>
      </c>
      <c r="AF93" s="41" t="str">
        <f t="shared" si="53"/>
        <v/>
      </c>
      <c r="AG93" s="24">
        <f t="shared" si="39"/>
        <v>0.58564566448330879</v>
      </c>
      <c r="AH93" s="41" t="str">
        <f t="shared" si="54"/>
        <v/>
      </c>
      <c r="AI93" s="24">
        <f t="shared" si="40"/>
        <v>7.0277479737997055</v>
      </c>
      <c r="AJ93" s="41" t="str">
        <f t="shared" si="55"/>
        <v/>
      </c>
    </row>
    <row r="94" spans="1:36" ht="13.5" customHeight="1" x14ac:dyDescent="0.2">
      <c r="A94" s="314"/>
      <c r="B94" s="315"/>
      <c r="C94" s="316"/>
      <c r="D94" s="317"/>
      <c r="E94" s="316">
        <v>92.906379999999999</v>
      </c>
      <c r="F94" s="8">
        <v>7</v>
      </c>
      <c r="G94" s="21">
        <f t="shared" si="41"/>
        <v>93.032058393529226</v>
      </c>
      <c r="H94" s="37" t="str">
        <f t="shared" si="28"/>
        <v>7;9047492</v>
      </c>
      <c r="I94" s="38">
        <v>1</v>
      </c>
      <c r="J94" s="128">
        <f t="shared" si="42"/>
        <v>7.7526715327941025</v>
      </c>
      <c r="K94" s="39" t="str">
        <f>INDEX(powers!$H$2:$H$75,33+I94)</f>
        <v>dozen</v>
      </c>
      <c r="L94" s="40" t="str">
        <f t="shared" si="43"/>
        <v>7</v>
      </c>
      <c r="M94" s="24">
        <f t="shared" si="29"/>
        <v>9.0320583935292298</v>
      </c>
      <c r="N94" s="41" t="str">
        <f t="shared" si="44"/>
        <v>9</v>
      </c>
      <c r="O94" s="24">
        <f t="shared" si="30"/>
        <v>0.38470072235075747</v>
      </c>
      <c r="P94" s="41" t="str">
        <f t="shared" si="45"/>
        <v>0</v>
      </c>
      <c r="Q94" s="24">
        <f t="shared" si="31"/>
        <v>4.6164086682090897</v>
      </c>
      <c r="R94" s="41" t="str">
        <f t="shared" si="46"/>
        <v>4</v>
      </c>
      <c r="S94" s="24">
        <f t="shared" si="32"/>
        <v>7.3969040185090762</v>
      </c>
      <c r="T94" s="41" t="str">
        <f t="shared" si="47"/>
        <v>7</v>
      </c>
      <c r="U94" s="24">
        <f t="shared" si="33"/>
        <v>4.7628482221089143</v>
      </c>
      <c r="V94" s="41" t="str">
        <f t="shared" si="48"/>
        <v>4</v>
      </c>
      <c r="W94" s="24">
        <f t="shared" si="34"/>
        <v>9.1541786653069721</v>
      </c>
      <c r="X94" s="41" t="str">
        <f t="shared" si="49"/>
        <v>9</v>
      </c>
      <c r="Y94" s="24">
        <f t="shared" si="35"/>
        <v>1.8501439836836653</v>
      </c>
      <c r="Z94" s="41" t="str">
        <f t="shared" si="50"/>
        <v>2</v>
      </c>
      <c r="AA94" s="24">
        <f t="shared" si="36"/>
        <v>10.201727804203983</v>
      </c>
      <c r="AB94" s="41" t="str">
        <f t="shared" si="51"/>
        <v/>
      </c>
      <c r="AC94" s="24">
        <f t="shared" si="37"/>
        <v>2.4207336504478008</v>
      </c>
      <c r="AD94" s="41" t="str">
        <f t="shared" si="52"/>
        <v/>
      </c>
      <c r="AE94" s="24">
        <f t="shared" si="38"/>
        <v>5.0488038053736091</v>
      </c>
      <c r="AF94" s="41" t="str">
        <f t="shared" si="53"/>
        <v/>
      </c>
      <c r="AG94" s="24">
        <f t="shared" si="39"/>
        <v>0.58564566448330879</v>
      </c>
      <c r="AH94" s="41" t="str">
        <f t="shared" si="54"/>
        <v/>
      </c>
      <c r="AI94" s="24">
        <f t="shared" si="40"/>
        <v>7.0277479737997055</v>
      </c>
      <c r="AJ94" s="41" t="str">
        <f t="shared" si="55"/>
        <v/>
      </c>
    </row>
    <row r="95" spans="1:36" ht="13.5" customHeight="1" x14ac:dyDescent="0.2">
      <c r="A95" s="314" t="s">
        <v>850</v>
      </c>
      <c r="B95" s="315">
        <v>42</v>
      </c>
      <c r="C95" s="316" t="s">
        <v>849</v>
      </c>
      <c r="D95" s="317">
        <v>95.96</v>
      </c>
      <c r="E95" s="316"/>
      <c r="F95" s="8">
        <v>4</v>
      </c>
      <c r="G95" s="21">
        <f t="shared" si="41"/>
        <v>96.0898091545819</v>
      </c>
      <c r="H95" s="37" t="str">
        <f t="shared" si="28"/>
        <v>8;010E</v>
      </c>
      <c r="I95" s="38">
        <v>1</v>
      </c>
      <c r="J95" s="128">
        <f t="shared" si="42"/>
        <v>8.0074840962151583</v>
      </c>
      <c r="K95" s="39" t="str">
        <f>INDEX(powers!$H$2:$H$75,33+I95)</f>
        <v>dozen</v>
      </c>
      <c r="L95" s="40" t="str">
        <f t="shared" si="43"/>
        <v>8</v>
      </c>
      <c r="M95" s="24">
        <f t="shared" si="29"/>
        <v>8.9809154581899975E-2</v>
      </c>
      <c r="N95" s="41" t="str">
        <f t="shared" si="44"/>
        <v>0</v>
      </c>
      <c r="O95" s="24">
        <f t="shared" si="30"/>
        <v>1.0777098549827997</v>
      </c>
      <c r="P95" s="41" t="str">
        <f t="shared" si="45"/>
        <v>1</v>
      </c>
      <c r="Q95" s="24">
        <f t="shared" si="31"/>
        <v>0.93251825979359637</v>
      </c>
      <c r="R95" s="41" t="str">
        <f t="shared" si="46"/>
        <v>0</v>
      </c>
      <c r="S95" s="24">
        <f t="shared" si="32"/>
        <v>11.190219117523156</v>
      </c>
      <c r="T95" s="41" t="str">
        <f t="shared" si="47"/>
        <v>E</v>
      </c>
      <c r="U95" s="24">
        <f t="shared" si="33"/>
        <v>2.2826294102778775</v>
      </c>
      <c r="V95" s="41" t="str">
        <f t="shared" si="48"/>
        <v/>
      </c>
      <c r="W95" s="24">
        <f t="shared" si="34"/>
        <v>3.3915529233345296</v>
      </c>
      <c r="X95" s="41" t="str">
        <f t="shared" si="49"/>
        <v/>
      </c>
      <c r="Y95" s="24">
        <f t="shared" si="35"/>
        <v>4.6986350800143555</v>
      </c>
      <c r="Z95" s="41" t="str">
        <f t="shared" si="50"/>
        <v/>
      </c>
      <c r="AA95" s="24">
        <f t="shared" si="36"/>
        <v>8.3836209601722658</v>
      </c>
      <c r="AB95" s="41" t="str">
        <f t="shared" si="51"/>
        <v/>
      </c>
      <c r="AC95" s="24">
        <f t="shared" si="37"/>
        <v>4.6034515220671892</v>
      </c>
      <c r="AD95" s="41" t="str">
        <f t="shared" si="52"/>
        <v/>
      </c>
      <c r="AE95" s="24">
        <f t="shared" si="38"/>
        <v>7.2414182648062706</v>
      </c>
      <c r="AF95" s="41" t="str">
        <f t="shared" si="53"/>
        <v/>
      </c>
      <c r="AG95" s="24">
        <f t="shared" si="39"/>
        <v>2.8970191776752472</v>
      </c>
      <c r="AH95" s="41" t="str">
        <f t="shared" si="54"/>
        <v/>
      </c>
      <c r="AI95" s="24">
        <f t="shared" si="40"/>
        <v>10.764230132102966</v>
      </c>
      <c r="AJ95" s="41" t="str">
        <f t="shared" si="55"/>
        <v/>
      </c>
    </row>
    <row r="96" spans="1:36" ht="13.5" customHeight="1" x14ac:dyDescent="0.2">
      <c r="A96" s="314"/>
      <c r="B96" s="315"/>
      <c r="C96" s="316"/>
      <c r="D96" s="317"/>
      <c r="E96" s="316">
        <v>97.905407800000006</v>
      </c>
      <c r="F96" s="8">
        <v>9</v>
      </c>
      <c r="G96" s="21">
        <f t="shared" si="41"/>
        <v>98.037848590074148</v>
      </c>
      <c r="H96" s="37" t="str">
        <f t="shared" si="28"/>
        <v>8;205549E35</v>
      </c>
      <c r="I96" s="38">
        <v>1</v>
      </c>
      <c r="J96" s="128">
        <f t="shared" si="42"/>
        <v>8.1698207158395117</v>
      </c>
      <c r="K96" s="39" t="str">
        <f>INDEX(powers!$H$2:$H$75,33+I96)</f>
        <v>dozen</v>
      </c>
      <c r="L96" s="40" t="str">
        <f t="shared" si="43"/>
        <v>8</v>
      </c>
      <c r="M96" s="24">
        <f t="shared" si="29"/>
        <v>2.037848590074141</v>
      </c>
      <c r="N96" s="41" t="str">
        <f t="shared" si="44"/>
        <v>2</v>
      </c>
      <c r="O96" s="24">
        <f t="shared" si="30"/>
        <v>0.45418308088969184</v>
      </c>
      <c r="P96" s="41" t="str">
        <f t="shared" si="45"/>
        <v>0</v>
      </c>
      <c r="Q96" s="24">
        <f t="shared" si="31"/>
        <v>5.450196970676302</v>
      </c>
      <c r="R96" s="41" t="str">
        <f t="shared" si="46"/>
        <v>5</v>
      </c>
      <c r="S96" s="24">
        <f t="shared" si="32"/>
        <v>5.4023636481156245</v>
      </c>
      <c r="T96" s="41" t="str">
        <f t="shared" si="47"/>
        <v>5</v>
      </c>
      <c r="U96" s="24">
        <f t="shared" si="33"/>
        <v>4.8283637773874943</v>
      </c>
      <c r="V96" s="41" t="str">
        <f t="shared" si="48"/>
        <v>4</v>
      </c>
      <c r="W96" s="24">
        <f t="shared" si="34"/>
        <v>9.9403653286499321</v>
      </c>
      <c r="X96" s="41" t="str">
        <f t="shared" si="49"/>
        <v>9</v>
      </c>
      <c r="Y96" s="24">
        <f t="shared" si="35"/>
        <v>11.284383943799185</v>
      </c>
      <c r="Z96" s="41" t="str">
        <f t="shared" si="50"/>
        <v>E</v>
      </c>
      <c r="AA96" s="24">
        <f t="shared" si="36"/>
        <v>3.4126073255902156</v>
      </c>
      <c r="AB96" s="41" t="str">
        <f t="shared" si="51"/>
        <v>3</v>
      </c>
      <c r="AC96" s="24">
        <f t="shared" si="37"/>
        <v>4.9512879070825875</v>
      </c>
      <c r="AD96" s="41" t="str">
        <f t="shared" si="52"/>
        <v>5</v>
      </c>
      <c r="AE96" s="24">
        <f t="shared" si="38"/>
        <v>11.41545488499105</v>
      </c>
      <c r="AF96" s="41" t="str">
        <f t="shared" si="53"/>
        <v/>
      </c>
      <c r="AG96" s="24">
        <f t="shared" si="39"/>
        <v>4.9854586198925972</v>
      </c>
      <c r="AH96" s="41" t="str">
        <f t="shared" si="54"/>
        <v/>
      </c>
      <c r="AI96" s="24">
        <f t="shared" si="40"/>
        <v>11.825503438711166</v>
      </c>
      <c r="AJ96" s="41" t="str">
        <f t="shared" si="55"/>
        <v/>
      </c>
    </row>
    <row r="97" spans="1:36" ht="13.5" customHeight="1" x14ac:dyDescent="0.2">
      <c r="A97" s="314" t="s">
        <v>852</v>
      </c>
      <c r="B97" s="315">
        <v>43</v>
      </c>
      <c r="C97" s="316" t="s">
        <v>851</v>
      </c>
      <c r="D97" s="317">
        <v>99</v>
      </c>
      <c r="E97" s="316"/>
      <c r="F97" s="8">
        <v>1</v>
      </c>
      <c r="G97" s="21">
        <f t="shared" si="41"/>
        <v>99.133921491283957</v>
      </c>
      <c r="H97" s="37" t="str">
        <f t="shared" si="28"/>
        <v>8;3</v>
      </c>
      <c r="I97" s="38">
        <v>1</v>
      </c>
      <c r="J97" s="128">
        <f t="shared" si="42"/>
        <v>8.2611601242736636</v>
      </c>
      <c r="K97" s="39" t="str">
        <f>INDEX(powers!$H$2:$H$75,33+I97)</f>
        <v>dozen</v>
      </c>
      <c r="L97" s="40" t="str">
        <f t="shared" si="43"/>
        <v>8</v>
      </c>
      <c r="M97" s="24">
        <f t="shared" si="29"/>
        <v>3.1339214912839637</v>
      </c>
      <c r="N97" s="41" t="str">
        <f t="shared" si="44"/>
        <v>3</v>
      </c>
      <c r="O97" s="24">
        <f t="shared" si="30"/>
        <v>1.6070578954075643</v>
      </c>
      <c r="P97" s="41" t="str">
        <f t="shared" si="45"/>
        <v/>
      </c>
      <c r="Q97" s="24">
        <f t="shared" si="31"/>
        <v>7.2846947448907713</v>
      </c>
      <c r="R97" s="41" t="str">
        <f t="shared" si="46"/>
        <v/>
      </c>
      <c r="S97" s="24">
        <f t="shared" si="32"/>
        <v>3.4163369386892555</v>
      </c>
      <c r="T97" s="41" t="str">
        <f t="shared" si="47"/>
        <v/>
      </c>
      <c r="U97" s="24">
        <f t="shared" si="33"/>
        <v>4.9960432642710657</v>
      </c>
      <c r="V97" s="41" t="str">
        <f t="shared" si="48"/>
        <v/>
      </c>
      <c r="W97" s="24">
        <f t="shared" si="34"/>
        <v>11.952519171252789</v>
      </c>
      <c r="X97" s="41" t="str">
        <f t="shared" si="49"/>
        <v/>
      </c>
      <c r="Y97" s="24">
        <f t="shared" si="35"/>
        <v>11.430230055033462</v>
      </c>
      <c r="Z97" s="41" t="str">
        <f t="shared" si="50"/>
        <v/>
      </c>
      <c r="AA97" s="24">
        <f t="shared" si="36"/>
        <v>5.1627606604015455</v>
      </c>
      <c r="AB97" s="41" t="str">
        <f t="shared" si="51"/>
        <v/>
      </c>
      <c r="AC97" s="24">
        <f t="shared" si="37"/>
        <v>1.9531279248185456</v>
      </c>
      <c r="AD97" s="41" t="str">
        <f t="shared" si="52"/>
        <v/>
      </c>
      <c r="AE97" s="24">
        <f t="shared" si="38"/>
        <v>11.437535097822547</v>
      </c>
      <c r="AF97" s="41" t="str">
        <f t="shared" si="53"/>
        <v/>
      </c>
      <c r="AG97" s="24">
        <f t="shared" si="39"/>
        <v>5.2504211738705635</v>
      </c>
      <c r="AH97" s="41" t="str">
        <f t="shared" si="54"/>
        <v/>
      </c>
      <c r="AI97" s="24">
        <f t="shared" si="40"/>
        <v>3.0050540864467621</v>
      </c>
      <c r="AJ97" s="41" t="str">
        <f t="shared" si="55"/>
        <v/>
      </c>
    </row>
    <row r="98" spans="1:36" ht="13.5" customHeight="1" x14ac:dyDescent="0.2">
      <c r="A98" s="314"/>
      <c r="B98" s="315"/>
      <c r="C98" s="316"/>
      <c r="D98" s="317"/>
      <c r="E98" s="316">
        <v>98.906254599999997</v>
      </c>
      <c r="F98" s="8">
        <v>9</v>
      </c>
      <c r="G98" s="21">
        <f t="shared" si="41"/>
        <v>99.040049277912544</v>
      </c>
      <c r="H98" s="37" t="str">
        <f t="shared" si="28"/>
        <v>8;305925660</v>
      </c>
      <c r="I98" s="38">
        <v>1</v>
      </c>
      <c r="J98" s="128">
        <f t="shared" si="42"/>
        <v>8.253337439826046</v>
      </c>
      <c r="K98" s="39" t="str">
        <f>INDEX(powers!$H$2:$H$75,33+I98)</f>
        <v>dozen</v>
      </c>
      <c r="L98" s="40" t="str">
        <f t="shared" si="43"/>
        <v>8</v>
      </c>
      <c r="M98" s="24">
        <f t="shared" si="29"/>
        <v>3.0400492779125514</v>
      </c>
      <c r="N98" s="41" t="str">
        <f t="shared" si="44"/>
        <v>3</v>
      </c>
      <c r="O98" s="24">
        <f t="shared" si="30"/>
        <v>0.48059133495061701</v>
      </c>
      <c r="P98" s="41" t="str">
        <f t="shared" si="45"/>
        <v>0</v>
      </c>
      <c r="Q98" s="24">
        <f t="shared" si="31"/>
        <v>5.7670960194074041</v>
      </c>
      <c r="R98" s="41" t="str">
        <f t="shared" si="46"/>
        <v>5</v>
      </c>
      <c r="S98" s="24">
        <f t="shared" si="32"/>
        <v>9.2051522328888495</v>
      </c>
      <c r="T98" s="41" t="str">
        <f t="shared" si="47"/>
        <v>9</v>
      </c>
      <c r="U98" s="24">
        <f t="shared" si="33"/>
        <v>2.4618267946661945</v>
      </c>
      <c r="V98" s="41" t="str">
        <f t="shared" si="48"/>
        <v>2</v>
      </c>
      <c r="W98" s="24">
        <f t="shared" si="34"/>
        <v>5.5419215359943337</v>
      </c>
      <c r="X98" s="41" t="str">
        <f t="shared" si="49"/>
        <v>5</v>
      </c>
      <c r="Y98" s="24">
        <f t="shared" si="35"/>
        <v>6.5030584319320042</v>
      </c>
      <c r="Z98" s="41" t="str">
        <f t="shared" si="50"/>
        <v>6</v>
      </c>
      <c r="AA98" s="24">
        <f t="shared" si="36"/>
        <v>6.03670118318405</v>
      </c>
      <c r="AB98" s="41" t="str">
        <f t="shared" si="51"/>
        <v>6</v>
      </c>
      <c r="AC98" s="24">
        <f t="shared" si="37"/>
        <v>0.44041419820860028</v>
      </c>
      <c r="AD98" s="41" t="str">
        <f t="shared" si="52"/>
        <v>0</v>
      </c>
      <c r="AE98" s="24">
        <f t="shared" si="38"/>
        <v>5.2849703785032034</v>
      </c>
      <c r="AF98" s="41" t="str">
        <f t="shared" si="53"/>
        <v/>
      </c>
      <c r="AG98" s="24">
        <f t="shared" si="39"/>
        <v>3.4196445420384407</v>
      </c>
      <c r="AH98" s="41" t="str">
        <f t="shared" si="54"/>
        <v/>
      </c>
      <c r="AI98" s="24">
        <f t="shared" si="40"/>
        <v>5.0357345044612885</v>
      </c>
      <c r="AJ98" s="41" t="str">
        <f t="shared" si="55"/>
        <v/>
      </c>
    </row>
    <row r="99" spans="1:36" ht="13.5" customHeight="1" x14ac:dyDescent="0.2">
      <c r="A99" s="314" t="s">
        <v>854</v>
      </c>
      <c r="B99" s="315">
        <v>44</v>
      </c>
      <c r="C99" s="316" t="s">
        <v>853</v>
      </c>
      <c r="D99" s="317">
        <v>101.07</v>
      </c>
      <c r="E99" s="316"/>
      <c r="F99" s="8">
        <v>5</v>
      </c>
      <c r="G99" s="21">
        <f t="shared" si="41"/>
        <v>101.20672166791988</v>
      </c>
      <c r="H99" s="37" t="str">
        <f t="shared" si="28"/>
        <v>8;52593</v>
      </c>
      <c r="I99" s="38">
        <v>1</v>
      </c>
      <c r="J99" s="128">
        <f t="shared" si="42"/>
        <v>8.4338934723266572</v>
      </c>
      <c r="K99" s="39" t="str">
        <f>INDEX(powers!$H$2:$H$75,33+I99)</f>
        <v>dozen</v>
      </c>
      <c r="L99" s="40" t="str">
        <f t="shared" si="43"/>
        <v>8</v>
      </c>
      <c r="M99" s="24">
        <f t="shared" si="29"/>
        <v>5.2067216679198864</v>
      </c>
      <c r="N99" s="41" t="str">
        <f t="shared" si="44"/>
        <v>5</v>
      </c>
      <c r="O99" s="24">
        <f t="shared" si="30"/>
        <v>2.4806600150386373</v>
      </c>
      <c r="P99" s="41" t="str">
        <f t="shared" si="45"/>
        <v>2</v>
      </c>
      <c r="Q99" s="24">
        <f t="shared" si="31"/>
        <v>5.7679201804636477</v>
      </c>
      <c r="R99" s="41" t="str">
        <f t="shared" si="46"/>
        <v>5</v>
      </c>
      <c r="S99" s="24">
        <f t="shared" si="32"/>
        <v>9.2150421655637729</v>
      </c>
      <c r="T99" s="41" t="str">
        <f t="shared" si="47"/>
        <v>9</v>
      </c>
      <c r="U99" s="24">
        <f t="shared" si="33"/>
        <v>2.5805059867652744</v>
      </c>
      <c r="V99" s="41" t="str">
        <f t="shared" si="48"/>
        <v>3</v>
      </c>
      <c r="W99" s="24">
        <f t="shared" si="34"/>
        <v>6.9660718411832931</v>
      </c>
      <c r="X99" s="41" t="str">
        <f t="shared" si="49"/>
        <v/>
      </c>
      <c r="Y99" s="24">
        <f t="shared" si="35"/>
        <v>11.592862094199518</v>
      </c>
      <c r="Z99" s="41" t="str">
        <f t="shared" si="50"/>
        <v/>
      </c>
      <c r="AA99" s="24">
        <f t="shared" si="36"/>
        <v>7.1143451303942129</v>
      </c>
      <c r="AB99" s="41" t="str">
        <f t="shared" si="51"/>
        <v/>
      </c>
      <c r="AC99" s="24">
        <f t="shared" si="37"/>
        <v>1.3721415647305548</v>
      </c>
      <c r="AD99" s="41" t="str">
        <f t="shared" si="52"/>
        <v/>
      </c>
      <c r="AE99" s="24">
        <f t="shared" si="38"/>
        <v>4.4656987767666578</v>
      </c>
      <c r="AF99" s="41" t="str">
        <f t="shared" si="53"/>
        <v/>
      </c>
      <c r="AG99" s="24">
        <f t="shared" si="39"/>
        <v>5.588385321199894</v>
      </c>
      <c r="AH99" s="41" t="str">
        <f t="shared" si="54"/>
        <v/>
      </c>
      <c r="AI99" s="24">
        <f t="shared" si="40"/>
        <v>7.0606238543987274</v>
      </c>
      <c r="AJ99" s="41" t="str">
        <f t="shared" si="55"/>
        <v/>
      </c>
    </row>
    <row r="100" spans="1:36" ht="13.5" customHeight="1" x14ac:dyDescent="0.2">
      <c r="A100" s="314"/>
      <c r="B100" s="315"/>
      <c r="C100" s="316"/>
      <c r="D100" s="317"/>
      <c r="E100" s="316">
        <v>101.9043495</v>
      </c>
      <c r="F100" s="8">
        <v>10</v>
      </c>
      <c r="G100" s="21">
        <f t="shared" si="41"/>
        <v>102.04219982781171</v>
      </c>
      <c r="H100" s="37" t="str">
        <f t="shared" si="28"/>
        <v>8;6060E08016</v>
      </c>
      <c r="I100" s="38">
        <v>1</v>
      </c>
      <c r="J100" s="128">
        <f t="shared" si="42"/>
        <v>8.5035166523176429</v>
      </c>
      <c r="K100" s="39" t="str">
        <f>INDEX(powers!$H$2:$H$75,33+I100)</f>
        <v>dozen</v>
      </c>
      <c r="L100" s="40" t="str">
        <f t="shared" si="43"/>
        <v>8</v>
      </c>
      <c r="M100" s="24">
        <f t="shared" si="29"/>
        <v>6.0421998278117144</v>
      </c>
      <c r="N100" s="41" t="str">
        <f t="shared" si="44"/>
        <v>6</v>
      </c>
      <c r="O100" s="24">
        <f t="shared" si="30"/>
        <v>0.50639793374057263</v>
      </c>
      <c r="P100" s="41" t="str">
        <f t="shared" si="45"/>
        <v>0</v>
      </c>
      <c r="Q100" s="24">
        <f t="shared" si="31"/>
        <v>6.0767752048868715</v>
      </c>
      <c r="R100" s="41" t="str">
        <f t="shared" si="46"/>
        <v>6</v>
      </c>
      <c r="S100" s="24">
        <f t="shared" si="32"/>
        <v>0.92130245864245808</v>
      </c>
      <c r="T100" s="41" t="str">
        <f t="shared" si="47"/>
        <v>0</v>
      </c>
      <c r="U100" s="24">
        <f t="shared" si="33"/>
        <v>11.055629503709497</v>
      </c>
      <c r="V100" s="41" t="str">
        <f t="shared" si="48"/>
        <v>E</v>
      </c>
      <c r="W100" s="24">
        <f t="shared" si="34"/>
        <v>0.66755404451396316</v>
      </c>
      <c r="X100" s="41" t="str">
        <f t="shared" si="49"/>
        <v>0</v>
      </c>
      <c r="Y100" s="24">
        <f t="shared" si="35"/>
        <v>8.010648534167558</v>
      </c>
      <c r="Z100" s="41" t="str">
        <f t="shared" si="50"/>
        <v>8</v>
      </c>
      <c r="AA100" s="24">
        <f t="shared" si="36"/>
        <v>0.12778241001069546</v>
      </c>
      <c r="AB100" s="41" t="str">
        <f t="shared" si="51"/>
        <v>0</v>
      </c>
      <c r="AC100" s="24">
        <f t="shared" si="37"/>
        <v>1.5333889201283455</v>
      </c>
      <c r="AD100" s="41" t="str">
        <f t="shared" si="52"/>
        <v>1</v>
      </c>
      <c r="AE100" s="24">
        <f t="shared" si="38"/>
        <v>6.4006670415401459</v>
      </c>
      <c r="AF100" s="41" t="str">
        <f t="shared" si="53"/>
        <v>6</v>
      </c>
      <c r="AG100" s="24">
        <f t="shared" si="39"/>
        <v>4.8080044984817505</v>
      </c>
      <c r="AH100" s="41" t="str">
        <f t="shared" si="54"/>
        <v/>
      </c>
      <c r="AI100" s="24">
        <f t="shared" si="40"/>
        <v>9.6960539817810059</v>
      </c>
      <c r="AJ100" s="41" t="str">
        <f t="shared" si="55"/>
        <v/>
      </c>
    </row>
    <row r="101" spans="1:36" ht="13.5" customHeight="1" x14ac:dyDescent="0.2">
      <c r="A101" s="314" t="s">
        <v>856</v>
      </c>
      <c r="B101" s="315">
        <v>45</v>
      </c>
      <c r="C101" s="316" t="s">
        <v>855</v>
      </c>
      <c r="D101" s="317">
        <v>102.9055</v>
      </c>
      <c r="E101" s="316"/>
      <c r="F101" s="8">
        <v>7</v>
      </c>
      <c r="G101" s="21">
        <f t="shared" si="41"/>
        <v>103.04470462647798</v>
      </c>
      <c r="H101" s="37" t="str">
        <f t="shared" si="28"/>
        <v>8;70652EE</v>
      </c>
      <c r="I101" s="38">
        <v>1</v>
      </c>
      <c r="J101" s="128">
        <f t="shared" si="42"/>
        <v>8.5870587188731644</v>
      </c>
      <c r="K101" s="39" t="str">
        <f>INDEX(powers!$H$2:$H$75,33+I101)</f>
        <v>dozen</v>
      </c>
      <c r="L101" s="40" t="str">
        <f t="shared" si="43"/>
        <v>8</v>
      </c>
      <c r="M101" s="24">
        <f t="shared" si="29"/>
        <v>7.0447046264779729</v>
      </c>
      <c r="N101" s="41" t="str">
        <f t="shared" si="44"/>
        <v>7</v>
      </c>
      <c r="O101" s="24">
        <f t="shared" si="30"/>
        <v>0.5364555177356749</v>
      </c>
      <c r="P101" s="41" t="str">
        <f t="shared" si="45"/>
        <v>0</v>
      </c>
      <c r="Q101" s="24">
        <f t="shared" si="31"/>
        <v>6.4374662128280988</v>
      </c>
      <c r="R101" s="41" t="str">
        <f t="shared" si="46"/>
        <v>6</v>
      </c>
      <c r="S101" s="24">
        <f t="shared" si="32"/>
        <v>5.249594553937186</v>
      </c>
      <c r="T101" s="41" t="str">
        <f t="shared" si="47"/>
        <v>5</v>
      </c>
      <c r="U101" s="24">
        <f t="shared" si="33"/>
        <v>2.9951346472462319</v>
      </c>
      <c r="V101" s="41" t="str">
        <f t="shared" si="48"/>
        <v>2</v>
      </c>
      <c r="W101" s="24">
        <f t="shared" si="34"/>
        <v>11.941615766954783</v>
      </c>
      <c r="X101" s="41" t="str">
        <f t="shared" si="49"/>
        <v>E</v>
      </c>
      <c r="Y101" s="24">
        <f t="shared" si="35"/>
        <v>11.299389203457395</v>
      </c>
      <c r="Z101" s="41" t="str">
        <f t="shared" si="50"/>
        <v>E</v>
      </c>
      <c r="AA101" s="24">
        <f t="shared" si="36"/>
        <v>3.5926704414887354</v>
      </c>
      <c r="AB101" s="41" t="str">
        <f t="shared" si="51"/>
        <v/>
      </c>
      <c r="AC101" s="24">
        <f t="shared" si="37"/>
        <v>7.1120452978648245</v>
      </c>
      <c r="AD101" s="41" t="str">
        <f t="shared" si="52"/>
        <v/>
      </c>
      <c r="AE101" s="24">
        <f t="shared" si="38"/>
        <v>1.3445435743778944</v>
      </c>
      <c r="AF101" s="41" t="str">
        <f t="shared" si="53"/>
        <v/>
      </c>
      <c r="AG101" s="24">
        <f t="shared" si="39"/>
        <v>4.1345228925347328</v>
      </c>
      <c r="AH101" s="41" t="str">
        <f t="shared" si="54"/>
        <v/>
      </c>
      <c r="AI101" s="24">
        <f t="shared" si="40"/>
        <v>1.6142747104167938</v>
      </c>
      <c r="AJ101" s="41" t="str">
        <f t="shared" si="55"/>
        <v/>
      </c>
    </row>
    <row r="102" spans="1:36" ht="13.5" customHeight="1" x14ac:dyDescent="0.2">
      <c r="A102" s="314"/>
      <c r="B102" s="315"/>
      <c r="C102" s="316"/>
      <c r="D102" s="317"/>
      <c r="E102" s="316">
        <v>102.9055</v>
      </c>
      <c r="F102" s="8">
        <v>7</v>
      </c>
      <c r="G102" s="21">
        <f t="shared" si="41"/>
        <v>103.04470462647798</v>
      </c>
      <c r="H102" s="37" t="str">
        <f t="shared" si="28"/>
        <v>8;70652EE</v>
      </c>
      <c r="I102" s="38">
        <v>1</v>
      </c>
      <c r="J102" s="128">
        <f t="shared" si="42"/>
        <v>8.5870587188731644</v>
      </c>
      <c r="K102" s="39" t="str">
        <f>INDEX(powers!$H$2:$H$75,33+I102)</f>
        <v>dozen</v>
      </c>
      <c r="L102" s="40" t="str">
        <f t="shared" si="43"/>
        <v>8</v>
      </c>
      <c r="M102" s="24">
        <f t="shared" si="29"/>
        <v>7.0447046264779729</v>
      </c>
      <c r="N102" s="41" t="str">
        <f t="shared" si="44"/>
        <v>7</v>
      </c>
      <c r="O102" s="24">
        <f t="shared" si="30"/>
        <v>0.5364555177356749</v>
      </c>
      <c r="P102" s="41" t="str">
        <f t="shared" si="45"/>
        <v>0</v>
      </c>
      <c r="Q102" s="24">
        <f t="shared" si="31"/>
        <v>6.4374662128280988</v>
      </c>
      <c r="R102" s="41" t="str">
        <f t="shared" si="46"/>
        <v>6</v>
      </c>
      <c r="S102" s="24">
        <f t="shared" si="32"/>
        <v>5.249594553937186</v>
      </c>
      <c r="T102" s="41" t="str">
        <f t="shared" si="47"/>
        <v>5</v>
      </c>
      <c r="U102" s="24">
        <f t="shared" si="33"/>
        <v>2.9951346472462319</v>
      </c>
      <c r="V102" s="41" t="str">
        <f t="shared" si="48"/>
        <v>2</v>
      </c>
      <c r="W102" s="24">
        <f t="shared" si="34"/>
        <v>11.941615766954783</v>
      </c>
      <c r="X102" s="41" t="str">
        <f t="shared" si="49"/>
        <v>E</v>
      </c>
      <c r="Y102" s="24">
        <f t="shared" si="35"/>
        <v>11.299389203457395</v>
      </c>
      <c r="Z102" s="41" t="str">
        <f t="shared" si="50"/>
        <v>E</v>
      </c>
      <c r="AA102" s="24">
        <f t="shared" si="36"/>
        <v>3.5926704414887354</v>
      </c>
      <c r="AB102" s="41" t="str">
        <f t="shared" si="51"/>
        <v/>
      </c>
      <c r="AC102" s="24">
        <f t="shared" si="37"/>
        <v>7.1120452978648245</v>
      </c>
      <c r="AD102" s="41" t="str">
        <f t="shared" si="52"/>
        <v/>
      </c>
      <c r="AE102" s="24">
        <f t="shared" si="38"/>
        <v>1.3445435743778944</v>
      </c>
      <c r="AF102" s="41" t="str">
        <f t="shared" si="53"/>
        <v/>
      </c>
      <c r="AG102" s="24">
        <f t="shared" si="39"/>
        <v>4.1345228925347328</v>
      </c>
      <c r="AH102" s="41" t="str">
        <f t="shared" si="54"/>
        <v/>
      </c>
      <c r="AI102" s="24">
        <f t="shared" si="40"/>
        <v>1.6142747104167938</v>
      </c>
      <c r="AJ102" s="41" t="str">
        <f t="shared" si="55"/>
        <v/>
      </c>
    </row>
    <row r="103" spans="1:36" ht="13.5" customHeight="1" x14ac:dyDescent="0.2">
      <c r="A103" s="314" t="s">
        <v>858</v>
      </c>
      <c r="B103" s="315">
        <v>46</v>
      </c>
      <c r="C103" s="316" t="s">
        <v>857</v>
      </c>
      <c r="D103" s="317">
        <v>106.42</v>
      </c>
      <c r="E103" s="316"/>
      <c r="F103" s="8">
        <v>5</v>
      </c>
      <c r="G103" s="21">
        <f t="shared" si="41"/>
        <v>106.56395883941856</v>
      </c>
      <c r="H103" s="37" t="str">
        <f t="shared" si="28"/>
        <v>8;X6926</v>
      </c>
      <c r="I103" s="38">
        <v>1</v>
      </c>
      <c r="J103" s="128">
        <f t="shared" si="42"/>
        <v>8.8803299032848795</v>
      </c>
      <c r="K103" s="39" t="str">
        <f>INDEX(powers!$H$2:$H$75,33+I103)</f>
        <v>dozen</v>
      </c>
      <c r="L103" s="40" t="str">
        <f t="shared" si="43"/>
        <v>8</v>
      </c>
      <c r="M103" s="24">
        <f t="shared" si="29"/>
        <v>10.563958839418554</v>
      </c>
      <c r="N103" s="41" t="str">
        <f t="shared" si="44"/>
        <v>X</v>
      </c>
      <c r="O103" s="24">
        <f t="shared" si="30"/>
        <v>6.7675060730226448</v>
      </c>
      <c r="P103" s="41" t="str">
        <f t="shared" si="45"/>
        <v>6</v>
      </c>
      <c r="Q103" s="24">
        <f t="shared" si="31"/>
        <v>9.2100728762717381</v>
      </c>
      <c r="R103" s="41" t="str">
        <f t="shared" si="46"/>
        <v>9</v>
      </c>
      <c r="S103" s="24">
        <f t="shared" si="32"/>
        <v>2.5208745152608572</v>
      </c>
      <c r="T103" s="41" t="str">
        <f t="shared" si="47"/>
        <v>2</v>
      </c>
      <c r="U103" s="24">
        <f t="shared" si="33"/>
        <v>6.2504941831302858</v>
      </c>
      <c r="V103" s="41" t="str">
        <f t="shared" si="48"/>
        <v>6</v>
      </c>
      <c r="W103" s="24">
        <f t="shared" si="34"/>
        <v>3.0059301975634298</v>
      </c>
      <c r="X103" s="41" t="str">
        <f t="shared" si="49"/>
        <v/>
      </c>
      <c r="Y103" s="24">
        <f t="shared" si="35"/>
        <v>7.1162370761157945E-2</v>
      </c>
      <c r="Z103" s="41" t="str">
        <f t="shared" si="50"/>
        <v/>
      </c>
      <c r="AA103" s="24">
        <f t="shared" si="36"/>
        <v>0.85394844913389534</v>
      </c>
      <c r="AB103" s="41" t="str">
        <f t="shared" si="51"/>
        <v/>
      </c>
      <c r="AC103" s="24">
        <f t="shared" si="37"/>
        <v>10.247381389606744</v>
      </c>
      <c r="AD103" s="41" t="str">
        <f t="shared" si="52"/>
        <v/>
      </c>
      <c r="AE103" s="24">
        <f t="shared" si="38"/>
        <v>2.9685766752809286</v>
      </c>
      <c r="AF103" s="41" t="str">
        <f t="shared" si="53"/>
        <v/>
      </c>
      <c r="AG103" s="24">
        <f t="shared" si="39"/>
        <v>11.622920103371143</v>
      </c>
      <c r="AH103" s="41" t="str">
        <f t="shared" si="54"/>
        <v/>
      </c>
      <c r="AI103" s="24">
        <f t="shared" si="40"/>
        <v>7.4750412404537201</v>
      </c>
      <c r="AJ103" s="41" t="str">
        <f t="shared" si="55"/>
        <v/>
      </c>
    </row>
    <row r="104" spans="1:36" ht="13.5" customHeight="1" x14ac:dyDescent="0.2">
      <c r="A104" s="314"/>
      <c r="B104" s="315"/>
      <c r="C104" s="316"/>
      <c r="D104" s="317"/>
      <c r="E104" s="316">
        <v>105.90348299999999</v>
      </c>
      <c r="F104" s="8">
        <v>9</v>
      </c>
      <c r="G104" s="21">
        <f t="shared" si="41"/>
        <v>106.04674312500529</v>
      </c>
      <c r="H104" s="37" t="str">
        <f t="shared" si="28"/>
        <v>8;X06893228</v>
      </c>
      <c r="I104" s="38">
        <v>1</v>
      </c>
      <c r="J104" s="128">
        <f t="shared" si="42"/>
        <v>8.8372285937504405</v>
      </c>
      <c r="K104" s="39" t="str">
        <f>INDEX(powers!$H$2:$H$75,33+I104)</f>
        <v>dozen</v>
      </c>
      <c r="L104" s="40" t="str">
        <f t="shared" si="43"/>
        <v>8</v>
      </c>
      <c r="M104" s="24">
        <f t="shared" si="29"/>
        <v>10.046743125005285</v>
      </c>
      <c r="N104" s="41" t="str">
        <f t="shared" si="44"/>
        <v>X</v>
      </c>
      <c r="O104" s="24">
        <f t="shared" si="30"/>
        <v>0.56091750006342522</v>
      </c>
      <c r="P104" s="41" t="str">
        <f t="shared" si="45"/>
        <v>0</v>
      </c>
      <c r="Q104" s="24">
        <f t="shared" si="31"/>
        <v>6.7310100007611027</v>
      </c>
      <c r="R104" s="41" t="str">
        <f t="shared" si="46"/>
        <v>6</v>
      </c>
      <c r="S104" s="24">
        <f t="shared" si="32"/>
        <v>8.7721200091332321</v>
      </c>
      <c r="T104" s="41" t="str">
        <f t="shared" si="47"/>
        <v>8</v>
      </c>
      <c r="U104" s="24">
        <f t="shared" si="33"/>
        <v>9.2654401095987851</v>
      </c>
      <c r="V104" s="41" t="str">
        <f t="shared" si="48"/>
        <v>9</v>
      </c>
      <c r="W104" s="24">
        <f t="shared" si="34"/>
        <v>3.1852813151854207</v>
      </c>
      <c r="X104" s="41" t="str">
        <f t="shared" si="49"/>
        <v>3</v>
      </c>
      <c r="Y104" s="24">
        <f t="shared" si="35"/>
        <v>2.2233757822250482</v>
      </c>
      <c r="Z104" s="41" t="str">
        <f t="shared" si="50"/>
        <v>2</v>
      </c>
      <c r="AA104" s="24">
        <f t="shared" si="36"/>
        <v>2.680509386700578</v>
      </c>
      <c r="AB104" s="41" t="str">
        <f t="shared" si="51"/>
        <v>2</v>
      </c>
      <c r="AC104" s="24">
        <f t="shared" si="37"/>
        <v>8.1661126404069364</v>
      </c>
      <c r="AD104" s="41" t="str">
        <f t="shared" si="52"/>
        <v>8</v>
      </c>
      <c r="AE104" s="24">
        <f t="shared" si="38"/>
        <v>1.9933516848832369</v>
      </c>
      <c r="AF104" s="41" t="str">
        <f t="shared" si="53"/>
        <v/>
      </c>
      <c r="AG104" s="24">
        <f t="shared" si="39"/>
        <v>11.920220218598843</v>
      </c>
      <c r="AH104" s="41" t="str">
        <f t="shared" si="54"/>
        <v/>
      </c>
      <c r="AI104" s="24">
        <f t="shared" si="40"/>
        <v>11.042642623186111</v>
      </c>
      <c r="AJ104" s="41" t="str">
        <f t="shared" si="55"/>
        <v/>
      </c>
    </row>
    <row r="105" spans="1:36" ht="13.5" customHeight="1" x14ac:dyDescent="0.2">
      <c r="A105" s="314" t="s">
        <v>860</v>
      </c>
      <c r="B105" s="315">
        <v>47</v>
      </c>
      <c r="C105" s="316" t="s">
        <v>859</v>
      </c>
      <c r="D105" s="317">
        <v>107.8682</v>
      </c>
      <c r="E105" s="316"/>
      <c r="F105" s="8">
        <v>7</v>
      </c>
      <c r="G105" s="21">
        <f t="shared" si="41"/>
        <v>108.01411788086985</v>
      </c>
      <c r="H105" s="37" t="str">
        <f t="shared" si="28"/>
        <v>9;002048</v>
      </c>
      <c r="I105" s="38">
        <v>1</v>
      </c>
      <c r="J105" s="128">
        <f t="shared" si="42"/>
        <v>9.0011764900724867</v>
      </c>
      <c r="K105" s="39" t="str">
        <f>INDEX(powers!$H$2:$H$75,33+I105)</f>
        <v>dozen</v>
      </c>
      <c r="L105" s="40" t="str">
        <f t="shared" si="43"/>
        <v>9</v>
      </c>
      <c r="M105" s="24">
        <f t="shared" si="29"/>
        <v>1.4117880869839894E-2</v>
      </c>
      <c r="N105" s="41" t="str">
        <f t="shared" si="44"/>
        <v>0</v>
      </c>
      <c r="O105" s="24">
        <f t="shared" si="30"/>
        <v>0.16941457043807873</v>
      </c>
      <c r="P105" s="41" t="str">
        <f t="shared" si="45"/>
        <v>0</v>
      </c>
      <c r="Q105" s="24">
        <f t="shared" si="31"/>
        <v>2.0329748452569447</v>
      </c>
      <c r="R105" s="41" t="str">
        <f t="shared" si="46"/>
        <v>2</v>
      </c>
      <c r="S105" s="24">
        <f t="shared" si="32"/>
        <v>0.39569814308333662</v>
      </c>
      <c r="T105" s="41" t="str">
        <f t="shared" si="47"/>
        <v>0</v>
      </c>
      <c r="U105" s="24">
        <f t="shared" si="33"/>
        <v>4.7483777170000394</v>
      </c>
      <c r="V105" s="41" t="str">
        <f t="shared" si="48"/>
        <v>4</v>
      </c>
      <c r="W105" s="24">
        <f t="shared" si="34"/>
        <v>8.9805326040004729</v>
      </c>
      <c r="X105" s="41" t="str">
        <f t="shared" si="49"/>
        <v>8</v>
      </c>
      <c r="Y105" s="24">
        <f t="shared" si="35"/>
        <v>11.766391248005675</v>
      </c>
      <c r="Z105" s="41" t="str">
        <f t="shared" si="50"/>
        <v/>
      </c>
      <c r="AA105" s="24">
        <f t="shared" si="36"/>
        <v>9.1966949760681018</v>
      </c>
      <c r="AB105" s="41" t="str">
        <f t="shared" si="51"/>
        <v/>
      </c>
      <c r="AC105" s="24">
        <f t="shared" si="37"/>
        <v>2.3603397128172219</v>
      </c>
      <c r="AD105" s="41" t="str">
        <f t="shared" si="52"/>
        <v/>
      </c>
      <c r="AE105" s="24">
        <f t="shared" si="38"/>
        <v>4.3240765538066626</v>
      </c>
      <c r="AF105" s="41" t="str">
        <f t="shared" si="53"/>
        <v/>
      </c>
      <c r="AG105" s="24">
        <f t="shared" si="39"/>
        <v>3.8889186456799507</v>
      </c>
      <c r="AH105" s="41" t="str">
        <f t="shared" si="54"/>
        <v/>
      </c>
      <c r="AI105" s="24">
        <f t="shared" si="40"/>
        <v>10.667023748159409</v>
      </c>
      <c r="AJ105" s="41" t="str">
        <f t="shared" si="55"/>
        <v/>
      </c>
    </row>
    <row r="106" spans="1:36" ht="13.5" customHeight="1" x14ac:dyDescent="0.2">
      <c r="A106" s="314"/>
      <c r="B106" s="315"/>
      <c r="C106" s="316"/>
      <c r="D106" s="317"/>
      <c r="E106" s="316">
        <v>106.90509299999999</v>
      </c>
      <c r="F106" s="8">
        <v>9</v>
      </c>
      <c r="G106" s="21">
        <f t="shared" si="41"/>
        <v>107.04970804525665</v>
      </c>
      <c r="H106" s="37" t="str">
        <f t="shared" si="28"/>
        <v>8;E071X8E52</v>
      </c>
      <c r="I106" s="38">
        <v>1</v>
      </c>
      <c r="J106" s="128">
        <f t="shared" si="42"/>
        <v>8.920809003771387</v>
      </c>
      <c r="K106" s="39" t="str">
        <f>INDEX(powers!$H$2:$H$75,33+I106)</f>
        <v>dozen</v>
      </c>
      <c r="L106" s="40" t="str">
        <f t="shared" si="43"/>
        <v>8</v>
      </c>
      <c r="M106" s="24">
        <f t="shared" si="29"/>
        <v>11.049708045256644</v>
      </c>
      <c r="N106" s="41" t="str">
        <f t="shared" si="44"/>
        <v>E</v>
      </c>
      <c r="O106" s="24">
        <f t="shared" si="30"/>
        <v>0.59649654307972355</v>
      </c>
      <c r="P106" s="41" t="str">
        <f t="shared" si="45"/>
        <v>0</v>
      </c>
      <c r="Q106" s="24">
        <f t="shared" si="31"/>
        <v>7.1579585169566826</v>
      </c>
      <c r="R106" s="41" t="str">
        <f t="shared" si="46"/>
        <v>7</v>
      </c>
      <c r="S106" s="24">
        <f t="shared" si="32"/>
        <v>1.8955022034801914</v>
      </c>
      <c r="T106" s="41" t="str">
        <f t="shared" si="47"/>
        <v>1</v>
      </c>
      <c r="U106" s="24">
        <f t="shared" si="33"/>
        <v>10.746026441762297</v>
      </c>
      <c r="V106" s="41" t="str">
        <f t="shared" si="48"/>
        <v>X</v>
      </c>
      <c r="W106" s="24">
        <f t="shared" si="34"/>
        <v>8.9523173011475592</v>
      </c>
      <c r="X106" s="41" t="str">
        <f t="shared" si="49"/>
        <v>8</v>
      </c>
      <c r="Y106" s="24">
        <f t="shared" si="35"/>
        <v>11.42780761377071</v>
      </c>
      <c r="Z106" s="41" t="str">
        <f t="shared" si="50"/>
        <v>E</v>
      </c>
      <c r="AA106" s="24">
        <f t="shared" si="36"/>
        <v>5.1336913652485237</v>
      </c>
      <c r="AB106" s="41" t="str">
        <f t="shared" si="51"/>
        <v>5</v>
      </c>
      <c r="AC106" s="24">
        <f t="shared" si="37"/>
        <v>1.6042963829822838</v>
      </c>
      <c r="AD106" s="41" t="str">
        <f t="shared" si="52"/>
        <v>2</v>
      </c>
      <c r="AE106" s="24">
        <f t="shared" si="38"/>
        <v>7.251556595787406</v>
      </c>
      <c r="AF106" s="41" t="str">
        <f t="shared" si="53"/>
        <v/>
      </c>
      <c r="AG106" s="24">
        <f t="shared" si="39"/>
        <v>3.0186791494488716</v>
      </c>
      <c r="AH106" s="41" t="str">
        <f t="shared" si="54"/>
        <v/>
      </c>
      <c r="AI106" s="24">
        <f t="shared" si="40"/>
        <v>0.22414979338645935</v>
      </c>
      <c r="AJ106" s="41" t="str">
        <f t="shared" si="55"/>
        <v/>
      </c>
    </row>
    <row r="107" spans="1:36" ht="13.5" customHeight="1" x14ac:dyDescent="0.2">
      <c r="A107" s="314" t="s">
        <v>862</v>
      </c>
      <c r="B107" s="315">
        <v>48</v>
      </c>
      <c r="C107" s="316" t="s">
        <v>861</v>
      </c>
      <c r="D107" s="317">
        <v>112.411</v>
      </c>
      <c r="E107" s="316"/>
      <c r="F107" s="8">
        <v>6</v>
      </c>
      <c r="G107" s="21">
        <f t="shared" si="41"/>
        <v>112.56306311875474</v>
      </c>
      <c r="H107" s="37" t="str">
        <f t="shared" si="28"/>
        <v>9;4690E8</v>
      </c>
      <c r="I107" s="38">
        <v>1</v>
      </c>
      <c r="J107" s="128">
        <f t="shared" si="42"/>
        <v>9.380255259896229</v>
      </c>
      <c r="K107" s="39" t="str">
        <f>INDEX(powers!$H$2:$H$75,33+I107)</f>
        <v>dozen</v>
      </c>
      <c r="L107" s="40" t="str">
        <f t="shared" si="43"/>
        <v>9</v>
      </c>
      <c r="M107" s="24">
        <f t="shared" si="29"/>
        <v>4.5630631187547479</v>
      </c>
      <c r="N107" s="41" t="str">
        <f t="shared" si="44"/>
        <v>4</v>
      </c>
      <c r="O107" s="24">
        <f t="shared" si="30"/>
        <v>6.7567574250569749</v>
      </c>
      <c r="P107" s="41" t="str">
        <f t="shared" si="45"/>
        <v>6</v>
      </c>
      <c r="Q107" s="24">
        <f t="shared" si="31"/>
        <v>9.0810891006836982</v>
      </c>
      <c r="R107" s="41" t="str">
        <f t="shared" si="46"/>
        <v>9</v>
      </c>
      <c r="S107" s="24">
        <f t="shared" si="32"/>
        <v>0.97306920820437881</v>
      </c>
      <c r="T107" s="41" t="str">
        <f t="shared" si="47"/>
        <v>0</v>
      </c>
      <c r="U107" s="24">
        <f t="shared" si="33"/>
        <v>11.676830498452546</v>
      </c>
      <c r="V107" s="41" t="str">
        <f t="shared" si="48"/>
        <v>E</v>
      </c>
      <c r="W107" s="24">
        <f t="shared" si="34"/>
        <v>8.1219659814305487</v>
      </c>
      <c r="X107" s="41" t="str">
        <f t="shared" si="49"/>
        <v>8</v>
      </c>
      <c r="Y107" s="24">
        <f t="shared" si="35"/>
        <v>1.4635917771665845</v>
      </c>
      <c r="Z107" s="41" t="str">
        <f t="shared" si="50"/>
        <v/>
      </c>
      <c r="AA107" s="24">
        <f t="shared" si="36"/>
        <v>5.5631013259990141</v>
      </c>
      <c r="AB107" s="41" t="str">
        <f t="shared" si="51"/>
        <v/>
      </c>
      <c r="AC107" s="24">
        <f t="shared" si="37"/>
        <v>6.757215911988169</v>
      </c>
      <c r="AD107" s="41" t="str">
        <f t="shared" si="52"/>
        <v/>
      </c>
      <c r="AE107" s="24">
        <f t="shared" si="38"/>
        <v>9.0865909438580275</v>
      </c>
      <c r="AF107" s="41" t="str">
        <f t="shared" si="53"/>
        <v/>
      </c>
      <c r="AG107" s="24">
        <f t="shared" si="39"/>
        <v>1.0390913262963295</v>
      </c>
      <c r="AH107" s="41" t="str">
        <f t="shared" si="54"/>
        <v/>
      </c>
      <c r="AI107" s="24">
        <f t="shared" si="40"/>
        <v>0.46909591555595398</v>
      </c>
      <c r="AJ107" s="41" t="str">
        <f t="shared" si="55"/>
        <v/>
      </c>
    </row>
    <row r="108" spans="1:36" ht="13.5" customHeight="1" x14ac:dyDescent="0.2">
      <c r="A108" s="314"/>
      <c r="B108" s="315"/>
      <c r="C108" s="316"/>
      <c r="D108" s="317"/>
      <c r="E108" s="316">
        <v>113.90335810000001</v>
      </c>
      <c r="F108" s="8">
        <v>10</v>
      </c>
      <c r="G108" s="21">
        <f t="shared" si="41"/>
        <v>114.05743999473738</v>
      </c>
      <c r="H108" s="37" t="str">
        <f t="shared" si="28"/>
        <v>9;608330XXX4</v>
      </c>
      <c r="I108" s="38">
        <v>1</v>
      </c>
      <c r="J108" s="128">
        <f t="shared" si="42"/>
        <v>9.5047866662281155</v>
      </c>
      <c r="K108" s="39" t="str">
        <f>INDEX(powers!$H$2:$H$75,33+I108)</f>
        <v>dozen</v>
      </c>
      <c r="L108" s="40" t="str">
        <f t="shared" si="43"/>
        <v>9</v>
      </c>
      <c r="M108" s="24">
        <f t="shared" si="29"/>
        <v>6.0574399947373863</v>
      </c>
      <c r="N108" s="41" t="str">
        <f t="shared" si="44"/>
        <v>6</v>
      </c>
      <c r="O108" s="24">
        <f t="shared" si="30"/>
        <v>0.68927993684863509</v>
      </c>
      <c r="P108" s="41" t="str">
        <f t="shared" si="45"/>
        <v>0</v>
      </c>
      <c r="Q108" s="24">
        <f t="shared" si="31"/>
        <v>8.2713592421836211</v>
      </c>
      <c r="R108" s="41" t="str">
        <f t="shared" si="46"/>
        <v>8</v>
      </c>
      <c r="S108" s="24">
        <f t="shared" si="32"/>
        <v>3.2563109062034528</v>
      </c>
      <c r="T108" s="41" t="str">
        <f t="shared" si="47"/>
        <v>3</v>
      </c>
      <c r="U108" s="24">
        <f t="shared" si="33"/>
        <v>3.0757308744414331</v>
      </c>
      <c r="V108" s="41" t="str">
        <f t="shared" si="48"/>
        <v>3</v>
      </c>
      <c r="W108" s="24">
        <f t="shared" si="34"/>
        <v>0.90877049329719739</v>
      </c>
      <c r="X108" s="41" t="str">
        <f t="shared" si="49"/>
        <v>0</v>
      </c>
      <c r="Y108" s="24">
        <f t="shared" si="35"/>
        <v>10.905245919566369</v>
      </c>
      <c r="Z108" s="41" t="str">
        <f t="shared" si="50"/>
        <v>X</v>
      </c>
      <c r="AA108" s="24">
        <f t="shared" si="36"/>
        <v>10.862951034796424</v>
      </c>
      <c r="AB108" s="41" t="str">
        <f t="shared" si="51"/>
        <v>X</v>
      </c>
      <c r="AC108" s="24">
        <f t="shared" si="37"/>
        <v>10.355412417557091</v>
      </c>
      <c r="AD108" s="41" t="str">
        <f t="shared" si="52"/>
        <v>X</v>
      </c>
      <c r="AE108" s="24">
        <f t="shared" si="38"/>
        <v>4.2649490106850863</v>
      </c>
      <c r="AF108" s="41" t="str">
        <f t="shared" si="53"/>
        <v>4</v>
      </c>
      <c r="AG108" s="24">
        <f t="shared" si="39"/>
        <v>3.179388128221035</v>
      </c>
      <c r="AH108" s="41" t="str">
        <f t="shared" si="54"/>
        <v/>
      </c>
      <c r="AI108" s="24">
        <f t="shared" si="40"/>
        <v>2.15265753865242</v>
      </c>
      <c r="AJ108" s="41" t="str">
        <f t="shared" si="55"/>
        <v/>
      </c>
    </row>
    <row r="109" spans="1:36" ht="13.5" customHeight="1" x14ac:dyDescent="0.2">
      <c r="A109" s="314" t="s">
        <v>864</v>
      </c>
      <c r="B109" s="315">
        <v>49</v>
      </c>
      <c r="C109" s="316" t="s">
        <v>863</v>
      </c>
      <c r="D109" s="317">
        <v>114.818</v>
      </c>
      <c r="E109" s="316"/>
      <c r="F109" s="8">
        <v>6</v>
      </c>
      <c r="G109" s="21">
        <f t="shared" si="41"/>
        <v>114.97331916955797</v>
      </c>
      <c r="H109" s="37" t="str">
        <f t="shared" si="28"/>
        <v>9;6E81X9</v>
      </c>
      <c r="I109" s="38">
        <v>1</v>
      </c>
      <c r="J109" s="128">
        <f t="shared" si="42"/>
        <v>9.5811099307964973</v>
      </c>
      <c r="K109" s="39" t="str">
        <f>INDEX(powers!$H$2:$H$75,33+I109)</f>
        <v>dozen</v>
      </c>
      <c r="L109" s="40" t="str">
        <f t="shared" si="43"/>
        <v>9</v>
      </c>
      <c r="M109" s="24">
        <f t="shared" si="29"/>
        <v>6.9733191695579677</v>
      </c>
      <c r="N109" s="41" t="str">
        <f t="shared" si="44"/>
        <v>6</v>
      </c>
      <c r="O109" s="24">
        <f t="shared" si="30"/>
        <v>11.679830034695613</v>
      </c>
      <c r="P109" s="41" t="str">
        <f t="shared" si="45"/>
        <v>E</v>
      </c>
      <c r="Q109" s="24">
        <f t="shared" si="31"/>
        <v>8.1579604163473505</v>
      </c>
      <c r="R109" s="41" t="str">
        <f t="shared" si="46"/>
        <v>8</v>
      </c>
      <c r="S109" s="24">
        <f t="shared" si="32"/>
        <v>1.8955249961682057</v>
      </c>
      <c r="T109" s="41" t="str">
        <f t="shared" si="47"/>
        <v>1</v>
      </c>
      <c r="U109" s="24">
        <f t="shared" si="33"/>
        <v>10.746299954018468</v>
      </c>
      <c r="V109" s="41" t="str">
        <f t="shared" si="48"/>
        <v>X</v>
      </c>
      <c r="W109" s="24">
        <f t="shared" si="34"/>
        <v>8.9555994482216192</v>
      </c>
      <c r="X109" s="41" t="str">
        <f t="shared" si="49"/>
        <v>9</v>
      </c>
      <c r="Y109" s="24">
        <f t="shared" si="35"/>
        <v>11.467193378659431</v>
      </c>
      <c r="Z109" s="41" t="str">
        <f t="shared" si="50"/>
        <v/>
      </c>
      <c r="AA109" s="24">
        <f t="shared" si="36"/>
        <v>5.6063205439131707</v>
      </c>
      <c r="AB109" s="41" t="str">
        <f t="shared" si="51"/>
        <v/>
      </c>
      <c r="AC109" s="24">
        <f t="shared" si="37"/>
        <v>7.2758465269580483</v>
      </c>
      <c r="AD109" s="41" t="str">
        <f t="shared" si="52"/>
        <v/>
      </c>
      <c r="AE109" s="24">
        <f t="shared" si="38"/>
        <v>3.3101583234965801</v>
      </c>
      <c r="AF109" s="41" t="str">
        <f t="shared" si="53"/>
        <v/>
      </c>
      <c r="AG109" s="24">
        <f t="shared" si="39"/>
        <v>3.7218998819589615</v>
      </c>
      <c r="AH109" s="41" t="str">
        <f t="shared" si="54"/>
        <v/>
      </c>
      <c r="AI109" s="24">
        <f t="shared" si="40"/>
        <v>8.6627985835075378</v>
      </c>
      <c r="AJ109" s="41" t="str">
        <f t="shared" si="55"/>
        <v/>
      </c>
    </row>
    <row r="110" spans="1:36" ht="13.5" customHeight="1" x14ac:dyDescent="0.2">
      <c r="A110" s="314"/>
      <c r="B110" s="315"/>
      <c r="C110" s="316"/>
      <c r="D110" s="317"/>
      <c r="E110" s="316">
        <v>114.90387800000001</v>
      </c>
      <c r="F110" s="8">
        <v>9</v>
      </c>
      <c r="G110" s="21">
        <f t="shared" si="41"/>
        <v>115.05931334036433</v>
      </c>
      <c r="H110" s="37" t="str">
        <f t="shared" si="28"/>
        <v>9;70865E083</v>
      </c>
      <c r="I110" s="38">
        <v>1</v>
      </c>
      <c r="J110" s="128">
        <f t="shared" si="42"/>
        <v>9.5882761116970272</v>
      </c>
      <c r="K110" s="39" t="str">
        <f>INDEX(powers!$H$2:$H$75,33+I110)</f>
        <v>dozen</v>
      </c>
      <c r="L110" s="40" t="str">
        <f t="shared" si="43"/>
        <v>9</v>
      </c>
      <c r="M110" s="24">
        <f t="shared" si="29"/>
        <v>7.0593133403643265</v>
      </c>
      <c r="N110" s="41" t="str">
        <f t="shared" si="44"/>
        <v>7</v>
      </c>
      <c r="O110" s="24">
        <f t="shared" si="30"/>
        <v>0.7117600843719174</v>
      </c>
      <c r="P110" s="41" t="str">
        <f t="shared" si="45"/>
        <v>0</v>
      </c>
      <c r="Q110" s="24">
        <f t="shared" si="31"/>
        <v>8.5411210124630088</v>
      </c>
      <c r="R110" s="41" t="str">
        <f t="shared" si="46"/>
        <v>8</v>
      </c>
      <c r="S110" s="24">
        <f t="shared" si="32"/>
        <v>6.4934521495561057</v>
      </c>
      <c r="T110" s="41" t="str">
        <f t="shared" si="47"/>
        <v>6</v>
      </c>
      <c r="U110" s="24">
        <f t="shared" si="33"/>
        <v>5.9214257946732687</v>
      </c>
      <c r="V110" s="41" t="str">
        <f t="shared" si="48"/>
        <v>5</v>
      </c>
      <c r="W110" s="24">
        <f t="shared" si="34"/>
        <v>11.057109536079224</v>
      </c>
      <c r="X110" s="41" t="str">
        <f t="shared" si="49"/>
        <v>E</v>
      </c>
      <c r="Y110" s="24">
        <f t="shared" si="35"/>
        <v>0.68531443295069039</v>
      </c>
      <c r="Z110" s="41" t="str">
        <f t="shared" si="50"/>
        <v>0</v>
      </c>
      <c r="AA110" s="24">
        <f t="shared" si="36"/>
        <v>8.2237731954082847</v>
      </c>
      <c r="AB110" s="41" t="str">
        <f t="shared" si="51"/>
        <v>8</v>
      </c>
      <c r="AC110" s="24">
        <f t="shared" si="37"/>
        <v>2.685278344899416</v>
      </c>
      <c r="AD110" s="41" t="str">
        <f t="shared" si="52"/>
        <v>3</v>
      </c>
      <c r="AE110" s="24">
        <f t="shared" si="38"/>
        <v>8.2233401387929916</v>
      </c>
      <c r="AF110" s="41" t="str">
        <f t="shared" si="53"/>
        <v/>
      </c>
      <c r="AG110" s="24">
        <f t="shared" si="39"/>
        <v>2.6800816655158997</v>
      </c>
      <c r="AH110" s="41" t="str">
        <f t="shared" si="54"/>
        <v/>
      </c>
      <c r="AI110" s="24">
        <f t="shared" si="40"/>
        <v>8.1609799861907959</v>
      </c>
      <c r="AJ110" s="41" t="str">
        <f t="shared" si="55"/>
        <v/>
      </c>
    </row>
    <row r="111" spans="1:36" ht="13.5" customHeight="1" x14ac:dyDescent="0.2">
      <c r="A111" s="314" t="s">
        <v>866</v>
      </c>
      <c r="B111" s="315">
        <v>50</v>
      </c>
      <c r="C111" s="316" t="s">
        <v>865</v>
      </c>
      <c r="D111" s="317">
        <v>118.71</v>
      </c>
      <c r="E111" s="316"/>
      <c r="F111" s="8">
        <v>5</v>
      </c>
      <c r="G111" s="21">
        <f t="shared" si="41"/>
        <v>118.87058404273046</v>
      </c>
      <c r="H111" s="37" t="str">
        <f t="shared" si="28"/>
        <v>9;XX544</v>
      </c>
      <c r="I111" s="38">
        <v>1</v>
      </c>
      <c r="J111" s="128">
        <f t="shared" si="42"/>
        <v>9.9058820035608708</v>
      </c>
      <c r="K111" s="39" t="str">
        <f>INDEX(powers!$H$2:$H$75,33+I111)</f>
        <v>dozen</v>
      </c>
      <c r="L111" s="40" t="str">
        <f t="shared" si="43"/>
        <v>9</v>
      </c>
      <c r="M111" s="24">
        <f t="shared" si="29"/>
        <v>10.870584042730449</v>
      </c>
      <c r="N111" s="41" t="str">
        <f t="shared" si="44"/>
        <v>X</v>
      </c>
      <c r="O111" s="24">
        <f t="shared" si="30"/>
        <v>10.447008512765393</v>
      </c>
      <c r="P111" s="41" t="str">
        <f t="shared" si="45"/>
        <v>X</v>
      </c>
      <c r="Q111" s="24">
        <f t="shared" si="31"/>
        <v>5.3641021531847173</v>
      </c>
      <c r="R111" s="41" t="str">
        <f t="shared" si="46"/>
        <v>5</v>
      </c>
      <c r="S111" s="24">
        <f t="shared" si="32"/>
        <v>4.3692258382166074</v>
      </c>
      <c r="T111" s="41" t="str">
        <f t="shared" si="47"/>
        <v>4</v>
      </c>
      <c r="U111" s="24">
        <f t="shared" si="33"/>
        <v>4.4307100585992885</v>
      </c>
      <c r="V111" s="41" t="str">
        <f t="shared" si="48"/>
        <v>4</v>
      </c>
      <c r="W111" s="24">
        <f t="shared" si="34"/>
        <v>5.1685207031914615</v>
      </c>
      <c r="X111" s="41" t="str">
        <f t="shared" si="49"/>
        <v/>
      </c>
      <c r="Y111" s="24">
        <f t="shared" si="35"/>
        <v>2.0222484382975381</v>
      </c>
      <c r="Z111" s="41" t="str">
        <f t="shared" si="50"/>
        <v/>
      </c>
      <c r="AA111" s="24">
        <f t="shared" si="36"/>
        <v>0.26698125957045704</v>
      </c>
      <c r="AB111" s="41" t="str">
        <f t="shared" si="51"/>
        <v/>
      </c>
      <c r="AC111" s="24">
        <f t="shared" si="37"/>
        <v>3.2037751148454845</v>
      </c>
      <c r="AD111" s="41" t="str">
        <f t="shared" si="52"/>
        <v/>
      </c>
      <c r="AE111" s="24">
        <f t="shared" si="38"/>
        <v>2.4453013781458139</v>
      </c>
      <c r="AF111" s="41" t="str">
        <f t="shared" si="53"/>
        <v/>
      </c>
      <c r="AG111" s="24">
        <f t="shared" si="39"/>
        <v>5.3436165377497673</v>
      </c>
      <c r="AH111" s="41" t="str">
        <f t="shared" si="54"/>
        <v/>
      </c>
      <c r="AI111" s="24">
        <f t="shared" si="40"/>
        <v>4.1233984529972076</v>
      </c>
      <c r="AJ111" s="41" t="str">
        <f t="shared" si="55"/>
        <v/>
      </c>
    </row>
    <row r="112" spans="1:36" ht="13.5" customHeight="1" x14ac:dyDescent="0.2">
      <c r="A112" s="314"/>
      <c r="B112" s="315"/>
      <c r="C112" s="316"/>
      <c r="D112" s="317"/>
      <c r="E112" s="316">
        <v>119.9021966</v>
      </c>
      <c r="F112" s="8">
        <v>10</v>
      </c>
      <c r="G112" s="21">
        <f t="shared" si="41"/>
        <v>120.06439337754435</v>
      </c>
      <c r="H112" s="37" t="str">
        <f t="shared" si="28"/>
        <v>X;0093331718</v>
      </c>
      <c r="I112" s="38">
        <v>1</v>
      </c>
      <c r="J112" s="128">
        <f t="shared" si="42"/>
        <v>10.005366114795363</v>
      </c>
      <c r="K112" s="39" t="str">
        <f>INDEX(powers!$H$2:$H$75,33+I112)</f>
        <v>dozen</v>
      </c>
      <c r="L112" s="40" t="str">
        <f t="shared" si="43"/>
        <v>X</v>
      </c>
      <c r="M112" s="24">
        <f t="shared" si="29"/>
        <v>6.4393377544355701E-2</v>
      </c>
      <c r="N112" s="41" t="str">
        <f t="shared" si="44"/>
        <v>0</v>
      </c>
      <c r="O112" s="24">
        <f t="shared" si="30"/>
        <v>0.77272053053226841</v>
      </c>
      <c r="P112" s="41" t="str">
        <f t="shared" si="45"/>
        <v>0</v>
      </c>
      <c r="Q112" s="24">
        <f t="shared" si="31"/>
        <v>9.272646366387221</v>
      </c>
      <c r="R112" s="41" t="str">
        <f t="shared" si="46"/>
        <v>9</v>
      </c>
      <c r="S112" s="24">
        <f t="shared" si="32"/>
        <v>3.2717563966466514</v>
      </c>
      <c r="T112" s="41" t="str">
        <f t="shared" si="47"/>
        <v>3</v>
      </c>
      <c r="U112" s="24">
        <f t="shared" si="33"/>
        <v>3.2610767597598169</v>
      </c>
      <c r="V112" s="41" t="str">
        <f t="shared" si="48"/>
        <v>3</v>
      </c>
      <c r="W112" s="24">
        <f t="shared" si="34"/>
        <v>3.1329211171178031</v>
      </c>
      <c r="X112" s="41" t="str">
        <f t="shared" si="49"/>
        <v>3</v>
      </c>
      <c r="Y112" s="24">
        <f t="shared" si="35"/>
        <v>1.5950534054136369</v>
      </c>
      <c r="Z112" s="41" t="str">
        <f t="shared" si="50"/>
        <v>1</v>
      </c>
      <c r="AA112" s="24">
        <f t="shared" si="36"/>
        <v>7.1406408649636433</v>
      </c>
      <c r="AB112" s="41" t="str">
        <f t="shared" si="51"/>
        <v>7</v>
      </c>
      <c r="AC112" s="24">
        <f t="shared" si="37"/>
        <v>1.687690379563719</v>
      </c>
      <c r="AD112" s="41" t="str">
        <f t="shared" si="52"/>
        <v>1</v>
      </c>
      <c r="AE112" s="24">
        <f t="shared" si="38"/>
        <v>8.2522845547646284</v>
      </c>
      <c r="AF112" s="41" t="str">
        <f t="shared" si="53"/>
        <v>8</v>
      </c>
      <c r="AG112" s="24">
        <f t="shared" si="39"/>
        <v>3.0274146571755409</v>
      </c>
      <c r="AH112" s="41" t="str">
        <f t="shared" si="54"/>
        <v/>
      </c>
      <c r="AI112" s="24">
        <f t="shared" si="40"/>
        <v>0.32897588610649109</v>
      </c>
      <c r="AJ112" s="41" t="str">
        <f t="shared" si="55"/>
        <v/>
      </c>
    </row>
    <row r="113" spans="1:36" ht="13.5" customHeight="1" x14ac:dyDescent="0.2">
      <c r="A113" s="314" t="s">
        <v>868</v>
      </c>
      <c r="B113" s="315">
        <v>51</v>
      </c>
      <c r="C113" s="316" t="s">
        <v>867</v>
      </c>
      <c r="D113" s="317">
        <v>121.76</v>
      </c>
      <c r="E113" s="316"/>
      <c r="F113" s="8">
        <v>5</v>
      </c>
      <c r="G113" s="21">
        <f t="shared" si="41"/>
        <v>121.92470990685588</v>
      </c>
      <c r="H113" s="37" t="str">
        <f t="shared" si="28"/>
        <v>X;1E11E</v>
      </c>
      <c r="I113" s="38">
        <v>1</v>
      </c>
      <c r="J113" s="128">
        <f t="shared" si="42"/>
        <v>10.160392492237991</v>
      </c>
      <c r="K113" s="39" t="str">
        <f>INDEX(powers!$H$2:$H$75,33+I113)</f>
        <v>dozen</v>
      </c>
      <c r="L113" s="40" t="str">
        <f t="shared" si="43"/>
        <v>X</v>
      </c>
      <c r="M113" s="24">
        <f t="shared" si="29"/>
        <v>1.9247099068558882</v>
      </c>
      <c r="N113" s="41" t="str">
        <f t="shared" si="44"/>
        <v>1</v>
      </c>
      <c r="O113" s="24">
        <f t="shared" si="30"/>
        <v>11.096518882270658</v>
      </c>
      <c r="P113" s="41" t="str">
        <f t="shared" si="45"/>
        <v>E</v>
      </c>
      <c r="Q113" s="24">
        <f t="shared" si="31"/>
        <v>1.1582265872478956</v>
      </c>
      <c r="R113" s="41" t="str">
        <f t="shared" si="46"/>
        <v>1</v>
      </c>
      <c r="S113" s="24">
        <f t="shared" si="32"/>
        <v>1.8987190469747475</v>
      </c>
      <c r="T113" s="41" t="str">
        <f t="shared" si="47"/>
        <v>1</v>
      </c>
      <c r="U113" s="24">
        <f t="shared" si="33"/>
        <v>10.78462856369697</v>
      </c>
      <c r="V113" s="41" t="str">
        <f t="shared" si="48"/>
        <v>E</v>
      </c>
      <c r="W113" s="24">
        <f t="shared" si="34"/>
        <v>9.4155427643636358</v>
      </c>
      <c r="X113" s="41" t="str">
        <f t="shared" si="49"/>
        <v/>
      </c>
      <c r="Y113" s="24">
        <f t="shared" si="35"/>
        <v>4.9865131723636296</v>
      </c>
      <c r="Z113" s="41" t="str">
        <f t="shared" si="50"/>
        <v/>
      </c>
      <c r="AA113" s="24">
        <f t="shared" si="36"/>
        <v>11.838158068363555</v>
      </c>
      <c r="AB113" s="41" t="str">
        <f t="shared" si="51"/>
        <v/>
      </c>
      <c r="AC113" s="24">
        <f t="shared" si="37"/>
        <v>10.057896820362657</v>
      </c>
      <c r="AD113" s="41" t="str">
        <f t="shared" si="52"/>
        <v/>
      </c>
      <c r="AE113" s="24">
        <f t="shared" si="38"/>
        <v>0.6947618443518877</v>
      </c>
      <c r="AF113" s="41" t="str">
        <f t="shared" si="53"/>
        <v/>
      </c>
      <c r="AG113" s="24">
        <f t="shared" si="39"/>
        <v>8.3371421322226524</v>
      </c>
      <c r="AH113" s="41" t="str">
        <f t="shared" si="54"/>
        <v/>
      </c>
      <c r="AI113" s="24">
        <f t="shared" si="40"/>
        <v>4.0457055866718292</v>
      </c>
      <c r="AJ113" s="41" t="str">
        <f t="shared" si="55"/>
        <v/>
      </c>
    </row>
    <row r="114" spans="1:36" ht="13.5" customHeight="1" x14ac:dyDescent="0.2">
      <c r="A114" s="314"/>
      <c r="B114" s="315"/>
      <c r="C114" s="316"/>
      <c r="D114" s="317"/>
      <c r="E114" s="316">
        <v>120.903818</v>
      </c>
      <c r="F114" s="8">
        <v>9</v>
      </c>
      <c r="G114" s="21">
        <f t="shared" si="41"/>
        <v>121.06736971321699</v>
      </c>
      <c r="H114" s="37" t="str">
        <f t="shared" si="28"/>
        <v>X;10984E8X8</v>
      </c>
      <c r="I114" s="38">
        <v>1</v>
      </c>
      <c r="J114" s="128">
        <f t="shared" si="42"/>
        <v>10.088947476101415</v>
      </c>
      <c r="K114" s="39" t="str">
        <f>INDEX(powers!$H$2:$H$75,33+I114)</f>
        <v>dozen</v>
      </c>
      <c r="L114" s="40" t="str">
        <f t="shared" si="43"/>
        <v>X</v>
      </c>
      <c r="M114" s="24">
        <f t="shared" si="29"/>
        <v>1.0673697132169835</v>
      </c>
      <c r="N114" s="41" t="str">
        <f t="shared" si="44"/>
        <v>1</v>
      </c>
      <c r="O114" s="24">
        <f t="shared" si="30"/>
        <v>0.80843655860380181</v>
      </c>
      <c r="P114" s="41" t="str">
        <f t="shared" si="45"/>
        <v>0</v>
      </c>
      <c r="Q114" s="24">
        <f t="shared" si="31"/>
        <v>9.7012387032456218</v>
      </c>
      <c r="R114" s="41" t="str">
        <f t="shared" si="46"/>
        <v>9</v>
      </c>
      <c r="S114" s="24">
        <f t="shared" si="32"/>
        <v>8.4148644389474612</v>
      </c>
      <c r="T114" s="41" t="str">
        <f t="shared" si="47"/>
        <v>8</v>
      </c>
      <c r="U114" s="24">
        <f t="shared" si="33"/>
        <v>4.978373267369534</v>
      </c>
      <c r="V114" s="41" t="str">
        <f t="shared" si="48"/>
        <v>4</v>
      </c>
      <c r="W114" s="24">
        <f t="shared" si="34"/>
        <v>11.740479208434408</v>
      </c>
      <c r="X114" s="41" t="str">
        <f t="shared" si="49"/>
        <v>E</v>
      </c>
      <c r="Y114" s="24">
        <f t="shared" si="35"/>
        <v>8.8857505012128968</v>
      </c>
      <c r="Z114" s="41" t="str">
        <f t="shared" si="50"/>
        <v>8</v>
      </c>
      <c r="AA114" s="24">
        <f t="shared" si="36"/>
        <v>10.629006014554761</v>
      </c>
      <c r="AB114" s="41" t="str">
        <f t="shared" si="51"/>
        <v>X</v>
      </c>
      <c r="AC114" s="24">
        <f t="shared" si="37"/>
        <v>7.5480721746571362</v>
      </c>
      <c r="AD114" s="41" t="str">
        <f t="shared" si="52"/>
        <v>8</v>
      </c>
      <c r="AE114" s="24">
        <f t="shared" si="38"/>
        <v>6.5768660958856344</v>
      </c>
      <c r="AF114" s="41" t="str">
        <f t="shared" si="53"/>
        <v/>
      </c>
      <c r="AG114" s="24">
        <f t="shared" si="39"/>
        <v>6.9223931506276131</v>
      </c>
      <c r="AH114" s="41" t="str">
        <f t="shared" si="54"/>
        <v/>
      </c>
      <c r="AI114" s="24">
        <f t="shared" si="40"/>
        <v>11.068717807531357</v>
      </c>
      <c r="AJ114" s="41" t="str">
        <f t="shared" si="55"/>
        <v/>
      </c>
    </row>
    <row r="115" spans="1:36" ht="13.5" customHeight="1" x14ac:dyDescent="0.2">
      <c r="A115" s="314" t="s">
        <v>870</v>
      </c>
      <c r="B115" s="315">
        <v>52</v>
      </c>
      <c r="C115" s="316" t="s">
        <v>869</v>
      </c>
      <c r="D115" s="317">
        <v>127.6</v>
      </c>
      <c r="E115" s="316"/>
      <c r="F115" s="8">
        <v>4</v>
      </c>
      <c r="G115" s="21">
        <f t="shared" si="41"/>
        <v>127.77260992209928</v>
      </c>
      <c r="H115" s="37" t="str">
        <f t="shared" si="28"/>
        <v>X;7933</v>
      </c>
      <c r="I115" s="38">
        <v>1</v>
      </c>
      <c r="J115" s="128">
        <f t="shared" si="42"/>
        <v>10.647717493508273</v>
      </c>
      <c r="K115" s="39" t="str">
        <f>INDEX(powers!$H$2:$H$75,33+I115)</f>
        <v>dozen</v>
      </c>
      <c r="L115" s="40" t="str">
        <f t="shared" si="43"/>
        <v>X</v>
      </c>
      <c r="M115" s="24">
        <f t="shared" si="29"/>
        <v>7.7726099220992708</v>
      </c>
      <c r="N115" s="41" t="str">
        <f t="shared" si="44"/>
        <v>7</v>
      </c>
      <c r="O115" s="24">
        <f t="shared" si="30"/>
        <v>9.2713190651912498</v>
      </c>
      <c r="P115" s="41" t="str">
        <f t="shared" si="45"/>
        <v>9</v>
      </c>
      <c r="Q115" s="24">
        <f t="shared" si="31"/>
        <v>3.2558287822949978</v>
      </c>
      <c r="R115" s="41" t="str">
        <f t="shared" si="46"/>
        <v>3</v>
      </c>
      <c r="S115" s="24">
        <f t="shared" si="32"/>
        <v>3.069945387539974</v>
      </c>
      <c r="T115" s="41" t="str">
        <f t="shared" si="47"/>
        <v>3</v>
      </c>
      <c r="U115" s="24">
        <f t="shared" si="33"/>
        <v>0.83934465047968843</v>
      </c>
      <c r="V115" s="41" t="str">
        <f t="shared" si="48"/>
        <v/>
      </c>
      <c r="W115" s="24">
        <f t="shared" si="34"/>
        <v>10.072135805756261</v>
      </c>
      <c r="X115" s="41" t="str">
        <f t="shared" si="49"/>
        <v/>
      </c>
      <c r="Y115" s="24">
        <f t="shared" si="35"/>
        <v>0.86562966907513328</v>
      </c>
      <c r="Z115" s="41" t="str">
        <f t="shared" si="50"/>
        <v/>
      </c>
      <c r="AA115" s="24">
        <f t="shared" si="36"/>
        <v>10.387556028901599</v>
      </c>
      <c r="AB115" s="41" t="str">
        <f t="shared" si="51"/>
        <v/>
      </c>
      <c r="AC115" s="24">
        <f t="shared" si="37"/>
        <v>4.6506723468191922</v>
      </c>
      <c r="AD115" s="41" t="str">
        <f t="shared" si="52"/>
        <v/>
      </c>
      <c r="AE115" s="24">
        <f t="shared" si="38"/>
        <v>7.8080681618303061</v>
      </c>
      <c r="AF115" s="41" t="str">
        <f t="shared" si="53"/>
        <v/>
      </c>
      <c r="AG115" s="24">
        <f t="shared" si="39"/>
        <v>9.6968179419636726</v>
      </c>
      <c r="AH115" s="41" t="str">
        <f t="shared" si="54"/>
        <v/>
      </c>
      <c r="AI115" s="24">
        <f t="shared" si="40"/>
        <v>8.3618153035640717</v>
      </c>
      <c r="AJ115" s="41" t="str">
        <f t="shared" si="55"/>
        <v/>
      </c>
    </row>
    <row r="116" spans="1:36" ht="13.5" customHeight="1" x14ac:dyDescent="0.2">
      <c r="A116" s="314"/>
      <c r="B116" s="315"/>
      <c r="C116" s="316"/>
      <c r="D116" s="317"/>
      <c r="E116" s="316">
        <v>129.90622279999999</v>
      </c>
      <c r="F116" s="8">
        <v>10</v>
      </c>
      <c r="G116" s="21">
        <f t="shared" si="41"/>
        <v>130.08195244731758</v>
      </c>
      <c r="H116" s="37" t="str">
        <f t="shared" si="28"/>
        <v>X;X0E9744843</v>
      </c>
      <c r="I116" s="38">
        <v>1</v>
      </c>
      <c r="J116" s="128">
        <f t="shared" si="42"/>
        <v>10.840162703943131</v>
      </c>
      <c r="K116" s="39" t="str">
        <f>INDEX(powers!$H$2:$H$75,33+I116)</f>
        <v>dozen</v>
      </c>
      <c r="L116" s="40" t="str">
        <f t="shared" si="43"/>
        <v>X</v>
      </c>
      <c r="M116" s="24">
        <f t="shared" si="29"/>
        <v>10.081952447317569</v>
      </c>
      <c r="N116" s="41" t="str">
        <f t="shared" si="44"/>
        <v>X</v>
      </c>
      <c r="O116" s="24">
        <f t="shared" si="30"/>
        <v>0.98342936781082813</v>
      </c>
      <c r="P116" s="41" t="str">
        <f t="shared" si="45"/>
        <v>0</v>
      </c>
      <c r="Q116" s="24">
        <f t="shared" si="31"/>
        <v>11.801152413729938</v>
      </c>
      <c r="R116" s="41" t="str">
        <f t="shared" si="46"/>
        <v>E</v>
      </c>
      <c r="S116" s="24">
        <f t="shared" si="32"/>
        <v>9.6138289647592501</v>
      </c>
      <c r="T116" s="41" t="str">
        <f t="shared" si="47"/>
        <v>9</v>
      </c>
      <c r="U116" s="24">
        <f t="shared" si="33"/>
        <v>7.365947577111001</v>
      </c>
      <c r="V116" s="41" t="str">
        <f t="shared" si="48"/>
        <v>7</v>
      </c>
      <c r="W116" s="24">
        <f t="shared" si="34"/>
        <v>4.3913709253320121</v>
      </c>
      <c r="X116" s="41" t="str">
        <f t="shared" si="49"/>
        <v>4</v>
      </c>
      <c r="Y116" s="24">
        <f t="shared" si="35"/>
        <v>4.6964511039841454</v>
      </c>
      <c r="Z116" s="41" t="str">
        <f t="shared" si="50"/>
        <v>4</v>
      </c>
      <c r="AA116" s="24">
        <f t="shared" si="36"/>
        <v>8.3574132478097454</v>
      </c>
      <c r="AB116" s="41" t="str">
        <f t="shared" si="51"/>
        <v>8</v>
      </c>
      <c r="AC116" s="24">
        <f t="shared" si="37"/>
        <v>4.2889589737169445</v>
      </c>
      <c r="AD116" s="41" t="str">
        <f t="shared" si="52"/>
        <v>4</v>
      </c>
      <c r="AE116" s="24">
        <f t="shared" si="38"/>
        <v>3.4675076846033335</v>
      </c>
      <c r="AF116" s="41" t="str">
        <f t="shared" si="53"/>
        <v>3</v>
      </c>
      <c r="AG116" s="24">
        <f t="shared" si="39"/>
        <v>5.6100922152400017</v>
      </c>
      <c r="AH116" s="41" t="str">
        <f t="shared" si="54"/>
        <v/>
      </c>
      <c r="AI116" s="24">
        <f t="shared" si="40"/>
        <v>7.3211065828800201</v>
      </c>
      <c r="AJ116" s="41" t="str">
        <f t="shared" si="55"/>
        <v/>
      </c>
    </row>
    <row r="117" spans="1:36" ht="13.5" customHeight="1" x14ac:dyDescent="0.2">
      <c r="A117" s="314" t="s">
        <v>872</v>
      </c>
      <c r="B117" s="315">
        <v>53</v>
      </c>
      <c r="C117" s="316" t="s">
        <v>871</v>
      </c>
      <c r="D117" s="317">
        <v>126.90447</v>
      </c>
      <c r="E117" s="316"/>
      <c r="F117" s="8">
        <v>8</v>
      </c>
      <c r="G117" s="21">
        <f t="shared" si="41"/>
        <v>127.07613904922219</v>
      </c>
      <c r="H117" s="37" t="str">
        <f t="shared" si="28"/>
        <v>X;70XE699</v>
      </c>
      <c r="I117" s="38">
        <v>1</v>
      </c>
      <c r="J117" s="128">
        <f t="shared" si="42"/>
        <v>10.58967825410185</v>
      </c>
      <c r="K117" s="39" t="str">
        <f>INDEX(powers!$H$2:$H$75,33+I117)</f>
        <v>dozen</v>
      </c>
      <c r="L117" s="40" t="str">
        <f t="shared" si="43"/>
        <v>X</v>
      </c>
      <c r="M117" s="24">
        <f t="shared" si="29"/>
        <v>7.0761390492221992</v>
      </c>
      <c r="N117" s="41" t="str">
        <f t="shared" si="44"/>
        <v>7</v>
      </c>
      <c r="O117" s="24">
        <f t="shared" si="30"/>
        <v>0.91366859066638995</v>
      </c>
      <c r="P117" s="41" t="str">
        <f t="shared" si="45"/>
        <v>0</v>
      </c>
      <c r="Q117" s="24">
        <f t="shared" si="31"/>
        <v>10.964023087996679</v>
      </c>
      <c r="R117" s="41" t="str">
        <f t="shared" si="46"/>
        <v>X</v>
      </c>
      <c r="S117" s="24">
        <f t="shared" si="32"/>
        <v>11.568277055960152</v>
      </c>
      <c r="T117" s="41" t="str">
        <f t="shared" si="47"/>
        <v>E</v>
      </c>
      <c r="U117" s="24">
        <f t="shared" si="33"/>
        <v>6.8193246715218265</v>
      </c>
      <c r="V117" s="41" t="str">
        <f t="shared" si="48"/>
        <v>6</v>
      </c>
      <c r="W117" s="24">
        <f t="shared" si="34"/>
        <v>9.8318960582619184</v>
      </c>
      <c r="X117" s="41" t="str">
        <f t="shared" si="49"/>
        <v>9</v>
      </c>
      <c r="Y117" s="24">
        <f t="shared" si="35"/>
        <v>9.9827526991430204</v>
      </c>
      <c r="Z117" s="41" t="str">
        <f t="shared" si="50"/>
        <v>9</v>
      </c>
      <c r="AA117" s="24">
        <f t="shared" si="36"/>
        <v>11.793032389716245</v>
      </c>
      <c r="AB117" s="41" t="str">
        <f t="shared" si="51"/>
        <v/>
      </c>
      <c r="AC117" s="24">
        <f t="shared" si="37"/>
        <v>9.5163886765949428</v>
      </c>
      <c r="AD117" s="41" t="str">
        <f t="shared" si="52"/>
        <v/>
      </c>
      <c r="AE117" s="24">
        <f t="shared" si="38"/>
        <v>6.1966641191393137</v>
      </c>
      <c r="AF117" s="41" t="str">
        <f t="shared" si="53"/>
        <v/>
      </c>
      <c r="AG117" s="24">
        <f t="shared" si="39"/>
        <v>2.3599694296717644</v>
      </c>
      <c r="AH117" s="41" t="str">
        <f t="shared" si="54"/>
        <v/>
      </c>
      <c r="AI117" s="24">
        <f t="shared" si="40"/>
        <v>4.3196331560611725</v>
      </c>
      <c r="AJ117" s="41" t="str">
        <f t="shared" si="55"/>
        <v/>
      </c>
    </row>
    <row r="118" spans="1:36" ht="13.5" customHeight="1" x14ac:dyDescent="0.2">
      <c r="A118" s="314"/>
      <c r="B118" s="315"/>
      <c r="C118" s="316"/>
      <c r="D118" s="317"/>
      <c r="E118" s="316">
        <v>126.90447</v>
      </c>
      <c r="F118" s="8">
        <v>8</v>
      </c>
      <c r="G118" s="21">
        <f t="shared" si="41"/>
        <v>127.07613904922219</v>
      </c>
      <c r="H118" s="37" t="str">
        <f t="shared" si="28"/>
        <v>X;70XE699</v>
      </c>
      <c r="I118" s="38">
        <v>1</v>
      </c>
      <c r="J118" s="128">
        <f t="shared" si="42"/>
        <v>10.58967825410185</v>
      </c>
      <c r="K118" s="39" t="str">
        <f>INDEX(powers!$H$2:$H$75,33+I118)</f>
        <v>dozen</v>
      </c>
      <c r="L118" s="40" t="str">
        <f t="shared" si="43"/>
        <v>X</v>
      </c>
      <c r="M118" s="24">
        <f t="shared" si="29"/>
        <v>7.0761390492221992</v>
      </c>
      <c r="N118" s="41" t="str">
        <f t="shared" si="44"/>
        <v>7</v>
      </c>
      <c r="O118" s="24">
        <f t="shared" si="30"/>
        <v>0.91366859066638995</v>
      </c>
      <c r="P118" s="41" t="str">
        <f t="shared" si="45"/>
        <v>0</v>
      </c>
      <c r="Q118" s="24">
        <f t="shared" si="31"/>
        <v>10.964023087996679</v>
      </c>
      <c r="R118" s="41" t="str">
        <f t="shared" si="46"/>
        <v>X</v>
      </c>
      <c r="S118" s="24">
        <f t="shared" si="32"/>
        <v>11.568277055960152</v>
      </c>
      <c r="T118" s="41" t="str">
        <f t="shared" si="47"/>
        <v>E</v>
      </c>
      <c r="U118" s="24">
        <f t="shared" si="33"/>
        <v>6.8193246715218265</v>
      </c>
      <c r="V118" s="41" t="str">
        <f t="shared" si="48"/>
        <v>6</v>
      </c>
      <c r="W118" s="24">
        <f t="shared" si="34"/>
        <v>9.8318960582619184</v>
      </c>
      <c r="X118" s="41" t="str">
        <f t="shared" si="49"/>
        <v>9</v>
      </c>
      <c r="Y118" s="24">
        <f t="shared" si="35"/>
        <v>9.9827526991430204</v>
      </c>
      <c r="Z118" s="41" t="str">
        <f t="shared" si="50"/>
        <v>9</v>
      </c>
      <c r="AA118" s="24">
        <f t="shared" si="36"/>
        <v>11.793032389716245</v>
      </c>
      <c r="AB118" s="41" t="str">
        <f t="shared" si="51"/>
        <v/>
      </c>
      <c r="AC118" s="24">
        <f t="shared" si="37"/>
        <v>9.5163886765949428</v>
      </c>
      <c r="AD118" s="41" t="str">
        <f t="shared" si="52"/>
        <v/>
      </c>
      <c r="AE118" s="24">
        <f t="shared" si="38"/>
        <v>6.1966641191393137</v>
      </c>
      <c r="AF118" s="41" t="str">
        <f t="shared" si="53"/>
        <v/>
      </c>
      <c r="AG118" s="24">
        <f t="shared" si="39"/>
        <v>2.3599694296717644</v>
      </c>
      <c r="AH118" s="41" t="str">
        <f t="shared" si="54"/>
        <v/>
      </c>
      <c r="AI118" s="24">
        <f t="shared" si="40"/>
        <v>4.3196331560611725</v>
      </c>
      <c r="AJ118" s="41" t="str">
        <f t="shared" si="55"/>
        <v/>
      </c>
    </row>
    <row r="119" spans="1:36" ht="13.5" customHeight="1" x14ac:dyDescent="0.2">
      <c r="A119" s="314" t="s">
        <v>874</v>
      </c>
      <c r="B119" s="315">
        <v>54</v>
      </c>
      <c r="C119" s="316" t="s">
        <v>873</v>
      </c>
      <c r="D119" s="317">
        <v>131.29300000000001</v>
      </c>
      <c r="E119" s="316"/>
      <c r="F119" s="8">
        <v>6</v>
      </c>
      <c r="G119" s="21">
        <f t="shared" si="41"/>
        <v>131.4706055995469</v>
      </c>
      <c r="H119" s="37" t="str">
        <f t="shared" si="28"/>
        <v>X;E57926</v>
      </c>
      <c r="I119" s="38">
        <v>1</v>
      </c>
      <c r="J119" s="128">
        <f t="shared" si="42"/>
        <v>10.955883799962242</v>
      </c>
      <c r="K119" s="39" t="str">
        <f>INDEX(powers!$H$2:$H$75,33+I119)</f>
        <v>dozen</v>
      </c>
      <c r="L119" s="40" t="str">
        <f t="shared" si="43"/>
        <v>X</v>
      </c>
      <c r="M119" s="24">
        <f t="shared" si="29"/>
        <v>11.470605599546907</v>
      </c>
      <c r="N119" s="41" t="str">
        <f t="shared" si="44"/>
        <v>E</v>
      </c>
      <c r="O119" s="24">
        <f t="shared" si="30"/>
        <v>5.6472671945628861</v>
      </c>
      <c r="P119" s="41" t="str">
        <f t="shared" si="45"/>
        <v>5</v>
      </c>
      <c r="Q119" s="24">
        <f t="shared" si="31"/>
        <v>7.7672063347546327</v>
      </c>
      <c r="R119" s="41" t="str">
        <f t="shared" si="46"/>
        <v>7</v>
      </c>
      <c r="S119" s="24">
        <f t="shared" si="32"/>
        <v>9.2064760170555928</v>
      </c>
      <c r="T119" s="41" t="str">
        <f t="shared" si="47"/>
        <v>9</v>
      </c>
      <c r="U119" s="24">
        <f t="shared" si="33"/>
        <v>2.4777122046671138</v>
      </c>
      <c r="V119" s="41" t="str">
        <f t="shared" si="48"/>
        <v>2</v>
      </c>
      <c r="W119" s="24">
        <f t="shared" si="34"/>
        <v>5.7325464560053661</v>
      </c>
      <c r="X119" s="41" t="str">
        <f t="shared" si="49"/>
        <v>6</v>
      </c>
      <c r="Y119" s="24">
        <f t="shared" si="35"/>
        <v>8.7905574720643926</v>
      </c>
      <c r="Z119" s="41" t="str">
        <f t="shared" si="50"/>
        <v/>
      </c>
      <c r="AA119" s="24">
        <f t="shared" si="36"/>
        <v>9.4866896647727117</v>
      </c>
      <c r="AB119" s="41" t="str">
        <f t="shared" si="51"/>
        <v/>
      </c>
      <c r="AC119" s="24">
        <f t="shared" si="37"/>
        <v>5.8402759772725403</v>
      </c>
      <c r="AD119" s="41" t="str">
        <f t="shared" si="52"/>
        <v/>
      </c>
      <c r="AE119" s="24">
        <f t="shared" si="38"/>
        <v>10.083311727270484</v>
      </c>
      <c r="AF119" s="41" t="str">
        <f t="shared" si="53"/>
        <v/>
      </c>
      <c r="AG119" s="24">
        <f t="shared" si="39"/>
        <v>0.99974072724580765</v>
      </c>
      <c r="AH119" s="41" t="str">
        <f t="shared" si="54"/>
        <v/>
      </c>
      <c r="AI119" s="24">
        <f t="shared" si="40"/>
        <v>11.996888726949692</v>
      </c>
      <c r="AJ119" s="41" t="str">
        <f t="shared" si="55"/>
        <v/>
      </c>
    </row>
    <row r="120" spans="1:36" ht="13.5" customHeight="1" x14ac:dyDescent="0.2">
      <c r="A120" s="314"/>
      <c r="B120" s="315"/>
      <c r="C120" s="316"/>
      <c r="D120" s="317"/>
      <c r="E120" s="316">
        <v>131.9041545</v>
      </c>
      <c r="F120" s="8">
        <v>10</v>
      </c>
      <c r="G120" s="21">
        <f t="shared" si="41"/>
        <v>132.08258683411302</v>
      </c>
      <c r="H120" s="37" t="str">
        <f t="shared" si="28"/>
        <v>E;00EX862E6</v>
      </c>
      <c r="I120" s="38">
        <v>1</v>
      </c>
      <c r="J120" s="128">
        <f t="shared" si="42"/>
        <v>11.006882236176084</v>
      </c>
      <c r="K120" s="39" t="str">
        <f>INDEX(powers!$H$2:$H$75,33+I120)</f>
        <v>dozen</v>
      </c>
      <c r="L120" s="40" t="str">
        <f t="shared" si="43"/>
        <v>E</v>
      </c>
      <c r="M120" s="24">
        <f t="shared" si="29"/>
        <v>8.2586834113008933E-2</v>
      </c>
      <c r="N120" s="41" t="str">
        <f t="shared" si="44"/>
        <v>0</v>
      </c>
      <c r="O120" s="24">
        <f t="shared" si="30"/>
        <v>0.9910420093561072</v>
      </c>
      <c r="P120" s="41" t="str">
        <f t="shared" si="45"/>
        <v>0</v>
      </c>
      <c r="Q120" s="24">
        <f t="shared" si="31"/>
        <v>11.892504112273286</v>
      </c>
      <c r="R120" s="41" t="str">
        <f t="shared" si="46"/>
        <v>E</v>
      </c>
      <c r="S120" s="24">
        <f t="shared" si="32"/>
        <v>10.710049347279437</v>
      </c>
      <c r="T120" s="41" t="str">
        <f t="shared" si="47"/>
        <v>X</v>
      </c>
      <c r="U120" s="24">
        <f t="shared" si="33"/>
        <v>8.520592167353243</v>
      </c>
      <c r="V120" s="41" t="str">
        <f t="shared" si="48"/>
        <v>8</v>
      </c>
      <c r="W120" s="24">
        <f t="shared" si="34"/>
        <v>6.2471060082389158</v>
      </c>
      <c r="X120" s="41" t="str">
        <f t="shared" si="49"/>
        <v>6</v>
      </c>
      <c r="Y120" s="24">
        <f t="shared" si="35"/>
        <v>2.9652720988669898</v>
      </c>
      <c r="Z120" s="41" t="str">
        <f t="shared" si="50"/>
        <v>2</v>
      </c>
      <c r="AA120" s="24">
        <f t="shared" si="36"/>
        <v>11.583265186403878</v>
      </c>
      <c r="AB120" s="41" t="str">
        <f t="shared" si="51"/>
        <v>E</v>
      </c>
      <c r="AC120" s="24">
        <f t="shared" si="37"/>
        <v>6.9991822368465364</v>
      </c>
      <c r="AD120" s="41" t="str">
        <f t="shared" si="52"/>
        <v>6</v>
      </c>
      <c r="AE120" s="24">
        <f t="shared" si="38"/>
        <v>11.990186842158437</v>
      </c>
      <c r="AF120" s="41" t="str">
        <f t="shared" si="53"/>
        <v/>
      </c>
      <c r="AG120" s="24">
        <f t="shared" si="39"/>
        <v>11.882242105901241</v>
      </c>
      <c r="AH120" s="41" t="str">
        <f t="shared" si="54"/>
        <v/>
      </c>
      <c r="AI120" s="24">
        <f t="shared" si="40"/>
        <v>10.586905270814896</v>
      </c>
      <c r="AJ120" s="41" t="str">
        <f t="shared" si="55"/>
        <v/>
      </c>
    </row>
    <row r="121" spans="1:36" ht="14.25" customHeight="1" x14ac:dyDescent="0.2">
      <c r="A121" s="314" t="s">
        <v>876</v>
      </c>
      <c r="B121" s="315">
        <v>55</v>
      </c>
      <c r="C121" s="316" t="s">
        <v>875</v>
      </c>
      <c r="D121" s="317">
        <v>132.9054519</v>
      </c>
      <c r="E121" s="316"/>
      <c r="F121" s="8">
        <v>10</v>
      </c>
      <c r="G121" s="21">
        <f t="shared" si="41"/>
        <v>133.0852387314971</v>
      </c>
      <c r="H121" s="37" t="str">
        <f t="shared" si="28"/>
        <v>E;11033615X4</v>
      </c>
      <c r="I121" s="38">
        <v>1</v>
      </c>
      <c r="J121" s="128">
        <f t="shared" si="42"/>
        <v>11.090436560958091</v>
      </c>
      <c r="K121" s="39" t="str">
        <f>INDEX(powers!$H$2:$H$75,33+I121)</f>
        <v>dozen</v>
      </c>
      <c r="L121" s="40" t="str">
        <f t="shared" si="43"/>
        <v>E</v>
      </c>
      <c r="M121" s="24">
        <f t="shared" si="29"/>
        <v>1.0852387314970926</v>
      </c>
      <c r="N121" s="41" t="str">
        <f t="shared" si="44"/>
        <v>1</v>
      </c>
      <c r="O121" s="24">
        <f t="shared" si="30"/>
        <v>1.0228647779651112</v>
      </c>
      <c r="P121" s="41" t="str">
        <f t="shared" si="45"/>
        <v>1</v>
      </c>
      <c r="Q121" s="24">
        <f t="shared" si="31"/>
        <v>0.27437733558133459</v>
      </c>
      <c r="R121" s="41" t="str">
        <f t="shared" si="46"/>
        <v>0</v>
      </c>
      <c r="S121" s="24">
        <f t="shared" si="32"/>
        <v>3.2925280269760151</v>
      </c>
      <c r="T121" s="41" t="str">
        <f t="shared" si="47"/>
        <v>3</v>
      </c>
      <c r="U121" s="24">
        <f t="shared" si="33"/>
        <v>3.5103363237121812</v>
      </c>
      <c r="V121" s="41" t="str">
        <f t="shared" si="48"/>
        <v>3</v>
      </c>
      <c r="W121" s="24">
        <f t="shared" si="34"/>
        <v>6.1240358845461742</v>
      </c>
      <c r="X121" s="41" t="str">
        <f t="shared" si="49"/>
        <v>6</v>
      </c>
      <c r="Y121" s="24">
        <f t="shared" si="35"/>
        <v>1.4884306145540904</v>
      </c>
      <c r="Z121" s="41" t="str">
        <f t="shared" si="50"/>
        <v>1</v>
      </c>
      <c r="AA121" s="24">
        <f t="shared" si="36"/>
        <v>5.8611673746490851</v>
      </c>
      <c r="AB121" s="41" t="str">
        <f t="shared" si="51"/>
        <v>5</v>
      </c>
      <c r="AC121" s="24">
        <f t="shared" si="37"/>
        <v>10.334008495789021</v>
      </c>
      <c r="AD121" s="41" t="str">
        <f t="shared" si="52"/>
        <v>X</v>
      </c>
      <c r="AE121" s="24">
        <f t="shared" si="38"/>
        <v>4.008101949468255</v>
      </c>
      <c r="AF121" s="41" t="str">
        <f t="shared" si="53"/>
        <v>4</v>
      </c>
      <c r="AG121" s="24">
        <f t="shared" si="39"/>
        <v>9.7223393619060516E-2</v>
      </c>
      <c r="AH121" s="41" t="str">
        <f t="shared" si="54"/>
        <v/>
      </c>
      <c r="AI121" s="24">
        <f t="shared" si="40"/>
        <v>1.1666807234287262</v>
      </c>
      <c r="AJ121" s="41" t="str">
        <f t="shared" si="55"/>
        <v/>
      </c>
    </row>
    <row r="122" spans="1:36" ht="14.25" customHeight="1" x14ac:dyDescent="0.2">
      <c r="A122" s="314"/>
      <c r="B122" s="315"/>
      <c r="C122" s="316"/>
      <c r="D122" s="317"/>
      <c r="E122" s="316">
        <v>132.90545</v>
      </c>
      <c r="F122" s="8">
        <v>8</v>
      </c>
      <c r="G122" s="21">
        <f t="shared" si="41"/>
        <v>133.0852368289269</v>
      </c>
      <c r="H122" s="37" t="str">
        <f t="shared" ref="H122:H184" si="56">L122&amp;";"&amp;N122&amp;P122&amp;R122&amp;T122&amp;V122&amp;X122&amp;Z122&amp;AB122&amp;AD122&amp;AF122&amp;AH122&amp;AJ122</f>
        <v>E;1103357X</v>
      </c>
      <c r="I122" s="38">
        <v>1</v>
      </c>
      <c r="J122" s="128">
        <f t="shared" si="42"/>
        <v>11.090436402410575</v>
      </c>
      <c r="K122" s="39" t="str">
        <f>INDEX(powers!$H$2:$H$75,33+I122)</f>
        <v>dozen</v>
      </c>
      <c r="L122" s="40" t="str">
        <f t="shared" si="43"/>
        <v>E</v>
      </c>
      <c r="M122" s="24">
        <f t="shared" ref="M122:M184" si="57">(J122-INT(J122))*12</f>
        <v>1.0852368289268952</v>
      </c>
      <c r="N122" s="41" t="str">
        <f t="shared" si="44"/>
        <v>1</v>
      </c>
      <c r="O122" s="24">
        <f t="shared" ref="O122:O184" si="58">(M122-INT(M122))*12</f>
        <v>1.0228419471227426</v>
      </c>
      <c r="P122" s="41" t="str">
        <f t="shared" si="45"/>
        <v>1</v>
      </c>
      <c r="Q122" s="24">
        <f t="shared" ref="Q122:Q184" si="59">(O122-INT(O122))*12</f>
        <v>0.27410336547291081</v>
      </c>
      <c r="R122" s="41" t="str">
        <f t="shared" si="46"/>
        <v>0</v>
      </c>
      <c r="S122" s="24">
        <f t="shared" ref="S122:S184" si="60">(Q122-INT(Q122))*12</f>
        <v>3.2892403856749297</v>
      </c>
      <c r="T122" s="41" t="str">
        <f t="shared" si="47"/>
        <v>3</v>
      </c>
      <c r="U122" s="24">
        <f t="shared" ref="U122:U184" si="61">(S122-INT(S122))*12</f>
        <v>3.4708846280991565</v>
      </c>
      <c r="V122" s="41" t="str">
        <f t="shared" si="48"/>
        <v>3</v>
      </c>
      <c r="W122" s="24">
        <f t="shared" ref="W122:W184" si="62">(U122-INT(U122))*12</f>
        <v>5.6506155371898785</v>
      </c>
      <c r="X122" s="41" t="str">
        <f t="shared" si="49"/>
        <v>5</v>
      </c>
      <c r="Y122" s="24">
        <f t="shared" ref="Y122:Y184" si="63">(W122-INT(W122))*12</f>
        <v>7.8073864462785423</v>
      </c>
      <c r="Z122" s="41" t="str">
        <f t="shared" si="50"/>
        <v>7</v>
      </c>
      <c r="AA122" s="24">
        <f t="shared" ref="AA122:AA184" si="64">(Y122-INT(Y122))*12</f>
        <v>9.6886373553425074</v>
      </c>
      <c r="AB122" s="41" t="str">
        <f t="shared" si="51"/>
        <v>X</v>
      </c>
      <c r="AC122" s="24">
        <f t="shared" ref="AC122:AC184" si="65">(AA122-INT(AA122))*12</f>
        <v>8.2636482641100883</v>
      </c>
      <c r="AD122" s="41" t="str">
        <f t="shared" si="52"/>
        <v/>
      </c>
      <c r="AE122" s="24">
        <f t="shared" ref="AE122:AE184" si="66">(AC122-INT(AC122))*12</f>
        <v>3.1637791693210602</v>
      </c>
      <c r="AF122" s="41" t="str">
        <f t="shared" si="53"/>
        <v/>
      </c>
      <c r="AG122" s="24">
        <f t="shared" ref="AG122:AG184" si="67">(AE122-INT(AE122))*12</f>
        <v>1.9653500318527222</v>
      </c>
      <c r="AH122" s="41" t="str">
        <f t="shared" si="54"/>
        <v/>
      </c>
      <c r="AI122" s="24">
        <f t="shared" ref="AI122:AI184" si="68">(AG122-INT(AG122))*12</f>
        <v>11.584200382232666</v>
      </c>
      <c r="AJ122" s="41" t="str">
        <f t="shared" si="55"/>
        <v/>
      </c>
    </row>
    <row r="123" spans="1:36" x14ac:dyDescent="0.2">
      <c r="A123" s="314" t="s">
        <v>878</v>
      </c>
      <c r="B123" s="315">
        <v>56</v>
      </c>
      <c r="C123" s="316" t="s">
        <v>877</v>
      </c>
      <c r="D123" s="317">
        <v>137.327</v>
      </c>
      <c r="E123" s="316"/>
      <c r="F123" s="8">
        <v>6</v>
      </c>
      <c r="G123" s="21">
        <f t="shared" si="41"/>
        <v>137.51276804680353</v>
      </c>
      <c r="H123" s="37" t="str">
        <f t="shared" si="56"/>
        <v>E;561X09</v>
      </c>
      <c r="I123" s="38">
        <v>1</v>
      </c>
      <c r="J123" s="128">
        <f t="shared" si="42"/>
        <v>11.459397337233627</v>
      </c>
      <c r="K123" s="39" t="str">
        <f>INDEX(powers!$H$2:$H$75,33+I123)</f>
        <v>dozen</v>
      </c>
      <c r="L123" s="40" t="str">
        <f t="shared" si="43"/>
        <v>E</v>
      </c>
      <c r="M123" s="24">
        <f t="shared" si="57"/>
        <v>5.5127680468035223</v>
      </c>
      <c r="N123" s="41" t="str">
        <f t="shared" si="44"/>
        <v>5</v>
      </c>
      <c r="O123" s="24">
        <f t="shared" si="58"/>
        <v>6.1532165616422674</v>
      </c>
      <c r="P123" s="41" t="str">
        <f t="shared" si="45"/>
        <v>6</v>
      </c>
      <c r="Q123" s="24">
        <f t="shared" si="59"/>
        <v>1.8385987397072086</v>
      </c>
      <c r="R123" s="41" t="str">
        <f t="shared" si="46"/>
        <v>1</v>
      </c>
      <c r="S123" s="24">
        <f t="shared" si="60"/>
        <v>10.063184876486503</v>
      </c>
      <c r="T123" s="41" t="str">
        <f t="shared" si="47"/>
        <v>X</v>
      </c>
      <c r="U123" s="24">
        <f t="shared" si="61"/>
        <v>0.7582185178380314</v>
      </c>
      <c r="V123" s="41" t="str">
        <f t="shared" si="48"/>
        <v>0</v>
      </c>
      <c r="W123" s="24">
        <f t="shared" si="62"/>
        <v>9.0986222140563768</v>
      </c>
      <c r="X123" s="41" t="str">
        <f t="shared" si="49"/>
        <v>9</v>
      </c>
      <c r="Y123" s="24">
        <f t="shared" si="63"/>
        <v>1.183466568676522</v>
      </c>
      <c r="Z123" s="41" t="str">
        <f t="shared" si="50"/>
        <v/>
      </c>
      <c r="AA123" s="24">
        <f t="shared" si="64"/>
        <v>2.201598824118264</v>
      </c>
      <c r="AB123" s="41" t="str">
        <f t="shared" si="51"/>
        <v/>
      </c>
      <c r="AC123" s="24">
        <f t="shared" si="65"/>
        <v>2.4191858894191682</v>
      </c>
      <c r="AD123" s="41" t="str">
        <f t="shared" si="52"/>
        <v/>
      </c>
      <c r="AE123" s="24">
        <f t="shared" si="66"/>
        <v>5.0302306730300188</v>
      </c>
      <c r="AF123" s="41" t="str">
        <f t="shared" si="53"/>
        <v/>
      </c>
      <c r="AG123" s="24">
        <f t="shared" si="67"/>
        <v>0.36276807636022568</v>
      </c>
      <c r="AH123" s="41" t="str">
        <f t="shared" si="54"/>
        <v/>
      </c>
      <c r="AI123" s="24">
        <f t="shared" si="68"/>
        <v>4.3532169163227081</v>
      </c>
      <c r="AJ123" s="41" t="str">
        <f t="shared" si="55"/>
        <v/>
      </c>
    </row>
    <row r="124" spans="1:36" x14ac:dyDescent="0.2">
      <c r="A124" s="314"/>
      <c r="B124" s="315"/>
      <c r="C124" s="316"/>
      <c r="D124" s="317"/>
      <c r="E124" s="316">
        <v>137.90524099999999</v>
      </c>
      <c r="F124" s="8">
        <v>9</v>
      </c>
      <c r="G124" s="21">
        <f t="shared" si="41"/>
        <v>138.09179125788475</v>
      </c>
      <c r="H124" s="37" t="str">
        <f t="shared" si="56"/>
        <v>E;611274729</v>
      </c>
      <c r="I124" s="38">
        <v>1</v>
      </c>
      <c r="J124" s="128">
        <f t="shared" si="42"/>
        <v>11.507649271490395</v>
      </c>
      <c r="K124" s="39" t="str">
        <f>INDEX(powers!$H$2:$H$75,33+I124)</f>
        <v>dozen</v>
      </c>
      <c r="L124" s="40" t="str">
        <f t="shared" si="43"/>
        <v>E</v>
      </c>
      <c r="M124" s="24">
        <f t="shared" si="57"/>
        <v>6.0917912578847435</v>
      </c>
      <c r="N124" s="41" t="str">
        <f t="shared" si="44"/>
        <v>6</v>
      </c>
      <c r="O124" s="24">
        <f t="shared" si="58"/>
        <v>1.1014950946169222</v>
      </c>
      <c r="P124" s="41" t="str">
        <f t="shared" si="45"/>
        <v>1</v>
      </c>
      <c r="Q124" s="24">
        <f t="shared" si="59"/>
        <v>1.2179411354030663</v>
      </c>
      <c r="R124" s="41" t="str">
        <f t="shared" si="46"/>
        <v>1</v>
      </c>
      <c r="S124" s="24">
        <f t="shared" si="60"/>
        <v>2.6152936248367951</v>
      </c>
      <c r="T124" s="41" t="str">
        <f t="shared" si="47"/>
        <v>2</v>
      </c>
      <c r="U124" s="24">
        <f t="shared" si="61"/>
        <v>7.3835234980415407</v>
      </c>
      <c r="V124" s="41" t="str">
        <f t="shared" si="48"/>
        <v>7</v>
      </c>
      <c r="W124" s="24">
        <f t="shared" si="62"/>
        <v>4.6022819764984888</v>
      </c>
      <c r="X124" s="41" t="str">
        <f t="shared" si="49"/>
        <v>4</v>
      </c>
      <c r="Y124" s="24">
        <f t="shared" si="63"/>
        <v>7.2273837179818656</v>
      </c>
      <c r="Z124" s="41" t="str">
        <f t="shared" si="50"/>
        <v>7</v>
      </c>
      <c r="AA124" s="24">
        <f t="shared" si="64"/>
        <v>2.7286046157823876</v>
      </c>
      <c r="AB124" s="41" t="str">
        <f t="shared" si="51"/>
        <v>2</v>
      </c>
      <c r="AC124" s="24">
        <f t="shared" si="65"/>
        <v>8.7432553893886507</v>
      </c>
      <c r="AD124" s="41" t="str">
        <f t="shared" si="52"/>
        <v>9</v>
      </c>
      <c r="AE124" s="24">
        <f t="shared" si="66"/>
        <v>8.9190646726638079</v>
      </c>
      <c r="AF124" s="41" t="str">
        <f t="shared" si="53"/>
        <v/>
      </c>
      <c r="AG124" s="24">
        <f t="shared" si="67"/>
        <v>11.028776071965694</v>
      </c>
      <c r="AH124" s="41" t="str">
        <f t="shared" si="54"/>
        <v/>
      </c>
      <c r="AI124" s="24">
        <f t="shared" si="68"/>
        <v>0.34531286358833313</v>
      </c>
      <c r="AJ124" s="41" t="str">
        <f t="shared" si="55"/>
        <v/>
      </c>
    </row>
    <row r="125" spans="1:36" x14ac:dyDescent="0.2">
      <c r="A125" s="314" t="s">
        <v>880</v>
      </c>
      <c r="B125" s="315">
        <v>57</v>
      </c>
      <c r="C125" s="316" t="s">
        <v>879</v>
      </c>
      <c r="D125" s="317">
        <v>138.90547000000001</v>
      </c>
      <c r="E125" s="316"/>
      <c r="F125" s="8">
        <v>7</v>
      </c>
      <c r="G125" s="21">
        <f t="shared" si="41"/>
        <v>139.09337330999895</v>
      </c>
      <c r="H125" s="37" t="str">
        <f t="shared" si="56"/>
        <v>E;7115423</v>
      </c>
      <c r="I125" s="38">
        <v>1</v>
      </c>
      <c r="J125" s="128">
        <f t="shared" si="42"/>
        <v>11.591114442499913</v>
      </c>
      <c r="K125" s="39" t="str">
        <f>INDEX(powers!$H$2:$H$75,33+I125)</f>
        <v>dozen</v>
      </c>
      <c r="L125" s="40" t="str">
        <f t="shared" si="43"/>
        <v>E</v>
      </c>
      <c r="M125" s="24">
        <f t="shared" si="57"/>
        <v>7.0933733099989595</v>
      </c>
      <c r="N125" s="41" t="str">
        <f t="shared" si="44"/>
        <v>7</v>
      </c>
      <c r="O125" s="24">
        <f t="shared" si="58"/>
        <v>1.1204797199875145</v>
      </c>
      <c r="P125" s="41" t="str">
        <f t="shared" si="45"/>
        <v>1</v>
      </c>
      <c r="Q125" s="24">
        <f t="shared" si="59"/>
        <v>1.445756639850174</v>
      </c>
      <c r="R125" s="41" t="str">
        <f t="shared" si="46"/>
        <v>1</v>
      </c>
      <c r="S125" s="24">
        <f t="shared" si="60"/>
        <v>5.349079678202088</v>
      </c>
      <c r="T125" s="41" t="str">
        <f t="shared" si="47"/>
        <v>5</v>
      </c>
      <c r="U125" s="24">
        <f t="shared" si="61"/>
        <v>4.1889561384250555</v>
      </c>
      <c r="V125" s="41" t="str">
        <f t="shared" si="48"/>
        <v>4</v>
      </c>
      <c r="W125" s="24">
        <f t="shared" si="62"/>
        <v>2.2674736611006665</v>
      </c>
      <c r="X125" s="41" t="str">
        <f t="shared" si="49"/>
        <v>2</v>
      </c>
      <c r="Y125" s="24">
        <f t="shared" si="63"/>
        <v>3.2096839332079981</v>
      </c>
      <c r="Z125" s="41" t="str">
        <f t="shared" si="50"/>
        <v>3</v>
      </c>
      <c r="AA125" s="24">
        <f t="shared" si="64"/>
        <v>2.5162071984959766</v>
      </c>
      <c r="AB125" s="41" t="str">
        <f t="shared" si="51"/>
        <v/>
      </c>
      <c r="AC125" s="24">
        <f t="shared" si="65"/>
        <v>6.1944863819517195</v>
      </c>
      <c r="AD125" s="41" t="str">
        <f t="shared" si="52"/>
        <v/>
      </c>
      <c r="AE125" s="24">
        <f t="shared" si="66"/>
        <v>2.3338365834206343</v>
      </c>
      <c r="AF125" s="41" t="str">
        <f t="shared" si="53"/>
        <v/>
      </c>
      <c r="AG125" s="24">
        <f t="shared" si="67"/>
        <v>4.0060390010476112</v>
      </c>
      <c r="AH125" s="41" t="str">
        <f t="shared" si="54"/>
        <v/>
      </c>
      <c r="AI125" s="24">
        <f t="shared" si="68"/>
        <v>7.2468012571334839E-2</v>
      </c>
      <c r="AJ125" s="41" t="str">
        <f t="shared" si="55"/>
        <v/>
      </c>
    </row>
    <row r="126" spans="1:36" x14ac:dyDescent="0.2">
      <c r="A126" s="314"/>
      <c r="B126" s="315"/>
      <c r="C126" s="316"/>
      <c r="D126" s="317"/>
      <c r="E126" s="316">
        <v>138.90634800000001</v>
      </c>
      <c r="F126" s="8">
        <v>9</v>
      </c>
      <c r="G126" s="21">
        <f t="shared" si="41"/>
        <v>139.09425249770672</v>
      </c>
      <c r="H126" s="37" t="str">
        <f t="shared" si="56"/>
        <v>E;7116X5055</v>
      </c>
      <c r="I126" s="38">
        <v>1</v>
      </c>
      <c r="J126" s="128">
        <f t="shared" si="42"/>
        <v>11.591187708142227</v>
      </c>
      <c r="K126" s="39" t="str">
        <f>INDEX(powers!$H$2:$H$75,33+I126)</f>
        <v>dozen</v>
      </c>
      <c r="L126" s="40" t="str">
        <f t="shared" si="43"/>
        <v>E</v>
      </c>
      <c r="M126" s="24">
        <f t="shared" si="57"/>
        <v>7.0942524977067265</v>
      </c>
      <c r="N126" s="41" t="str">
        <f t="shared" si="44"/>
        <v>7</v>
      </c>
      <c r="O126" s="24">
        <f t="shared" si="58"/>
        <v>1.131029972480718</v>
      </c>
      <c r="P126" s="41" t="str">
        <f t="shared" si="45"/>
        <v>1</v>
      </c>
      <c r="Q126" s="24">
        <f t="shared" si="59"/>
        <v>1.5723596697686162</v>
      </c>
      <c r="R126" s="41" t="str">
        <f t="shared" si="46"/>
        <v>1</v>
      </c>
      <c r="S126" s="24">
        <f t="shared" si="60"/>
        <v>6.8683160372233942</v>
      </c>
      <c r="T126" s="41" t="str">
        <f t="shared" si="47"/>
        <v>6</v>
      </c>
      <c r="U126" s="24">
        <f t="shared" si="61"/>
        <v>10.419792446680731</v>
      </c>
      <c r="V126" s="41" t="str">
        <f t="shared" si="48"/>
        <v>X</v>
      </c>
      <c r="W126" s="24">
        <f t="shared" si="62"/>
        <v>5.0375093601687695</v>
      </c>
      <c r="X126" s="41" t="str">
        <f t="shared" si="49"/>
        <v>5</v>
      </c>
      <c r="Y126" s="24">
        <f t="shared" si="63"/>
        <v>0.45011232202523388</v>
      </c>
      <c r="Z126" s="41" t="str">
        <f t="shared" si="50"/>
        <v>0</v>
      </c>
      <c r="AA126" s="24">
        <f t="shared" si="64"/>
        <v>5.4013478643028066</v>
      </c>
      <c r="AB126" s="41" t="str">
        <f t="shared" si="51"/>
        <v>5</v>
      </c>
      <c r="AC126" s="24">
        <f t="shared" si="65"/>
        <v>4.8161743716336787</v>
      </c>
      <c r="AD126" s="41" t="str">
        <f t="shared" si="52"/>
        <v>5</v>
      </c>
      <c r="AE126" s="24">
        <f t="shared" si="66"/>
        <v>9.7940924596041441</v>
      </c>
      <c r="AF126" s="41" t="str">
        <f t="shared" si="53"/>
        <v/>
      </c>
      <c r="AG126" s="24">
        <f t="shared" si="67"/>
        <v>9.5291095152497292</v>
      </c>
      <c r="AH126" s="41" t="str">
        <f t="shared" si="54"/>
        <v/>
      </c>
      <c r="AI126" s="24">
        <f t="shared" si="68"/>
        <v>6.3493141829967499</v>
      </c>
      <c r="AJ126" s="41" t="str">
        <f t="shared" si="55"/>
        <v/>
      </c>
    </row>
    <row r="127" spans="1:36" x14ac:dyDescent="0.2">
      <c r="A127" s="314" t="s">
        <v>882</v>
      </c>
      <c r="B127" s="315">
        <v>58</v>
      </c>
      <c r="C127" s="316" t="s">
        <v>881</v>
      </c>
      <c r="D127" s="317">
        <v>140.11600000000001</v>
      </c>
      <c r="E127" s="316"/>
      <c r="F127" s="8">
        <v>6</v>
      </c>
      <c r="G127" s="21">
        <f t="shared" si="41"/>
        <v>140.30554084517919</v>
      </c>
      <c r="H127" s="37" t="str">
        <f t="shared" si="56"/>
        <v>E;837EE8</v>
      </c>
      <c r="I127" s="38">
        <v>1</v>
      </c>
      <c r="J127" s="128">
        <f t="shared" si="42"/>
        <v>11.692128403764933</v>
      </c>
      <c r="K127" s="39" t="str">
        <f>INDEX(powers!$H$2:$H$75,33+I127)</f>
        <v>dozen</v>
      </c>
      <c r="L127" s="40" t="str">
        <f t="shared" si="43"/>
        <v>E</v>
      </c>
      <c r="M127" s="24">
        <f t="shared" si="57"/>
        <v>8.3055408451791948</v>
      </c>
      <c r="N127" s="41" t="str">
        <f t="shared" si="44"/>
        <v>8</v>
      </c>
      <c r="O127" s="24">
        <f t="shared" si="58"/>
        <v>3.6664901421503373</v>
      </c>
      <c r="P127" s="41" t="str">
        <f t="shared" si="45"/>
        <v>3</v>
      </c>
      <c r="Q127" s="24">
        <f t="shared" si="59"/>
        <v>7.9978817058040477</v>
      </c>
      <c r="R127" s="41" t="str">
        <f t="shared" si="46"/>
        <v>7</v>
      </c>
      <c r="S127" s="24">
        <f t="shared" si="60"/>
        <v>11.974580469648572</v>
      </c>
      <c r="T127" s="41" t="str">
        <f t="shared" si="47"/>
        <v>E</v>
      </c>
      <c r="U127" s="24">
        <f t="shared" si="61"/>
        <v>11.694965635782864</v>
      </c>
      <c r="V127" s="41" t="str">
        <f t="shared" si="48"/>
        <v>E</v>
      </c>
      <c r="W127" s="24">
        <f t="shared" si="62"/>
        <v>8.3395876293943729</v>
      </c>
      <c r="X127" s="41" t="str">
        <f t="shared" si="49"/>
        <v>8</v>
      </c>
      <c r="Y127" s="24">
        <f t="shared" si="63"/>
        <v>4.0750515527324751</v>
      </c>
      <c r="Z127" s="41" t="str">
        <f t="shared" si="50"/>
        <v/>
      </c>
      <c r="AA127" s="24">
        <f t="shared" si="64"/>
        <v>0.90061863278970122</v>
      </c>
      <c r="AB127" s="41" t="str">
        <f t="shared" si="51"/>
        <v/>
      </c>
      <c r="AC127" s="24">
        <f t="shared" si="65"/>
        <v>10.807423593476415</v>
      </c>
      <c r="AD127" s="41" t="str">
        <f t="shared" si="52"/>
        <v/>
      </c>
      <c r="AE127" s="24">
        <f t="shared" si="66"/>
        <v>9.6890831217169762</v>
      </c>
      <c r="AF127" s="41" t="str">
        <f t="shared" si="53"/>
        <v/>
      </c>
      <c r="AG127" s="24">
        <f t="shared" si="67"/>
        <v>8.268997460603714</v>
      </c>
      <c r="AH127" s="41" t="str">
        <f t="shared" si="54"/>
        <v/>
      </c>
      <c r="AI127" s="24">
        <f t="shared" si="68"/>
        <v>3.2279695272445679</v>
      </c>
      <c r="AJ127" s="41" t="str">
        <f t="shared" si="55"/>
        <v/>
      </c>
    </row>
    <row r="128" spans="1:36" x14ac:dyDescent="0.2">
      <c r="A128" s="314"/>
      <c r="B128" s="315"/>
      <c r="C128" s="316"/>
      <c r="D128" s="317"/>
      <c r="E128" s="316">
        <v>139.90543400000001</v>
      </c>
      <c r="F128" s="8">
        <v>9</v>
      </c>
      <c r="G128" s="21">
        <f t="shared" si="41"/>
        <v>140.09469000363643</v>
      </c>
      <c r="H128" s="37" t="str">
        <f t="shared" si="56"/>
        <v>E;811775XX0</v>
      </c>
      <c r="I128" s="38">
        <v>1</v>
      </c>
      <c r="J128" s="128">
        <f t="shared" si="42"/>
        <v>11.674557500303036</v>
      </c>
      <c r="K128" s="39" t="str">
        <f>INDEX(powers!$H$2:$H$75,33+I128)</f>
        <v>dozen</v>
      </c>
      <c r="L128" s="40" t="str">
        <f t="shared" si="43"/>
        <v>E</v>
      </c>
      <c r="M128" s="24">
        <f t="shared" si="57"/>
        <v>8.0946900036364369</v>
      </c>
      <c r="N128" s="41" t="str">
        <f t="shared" si="44"/>
        <v>8</v>
      </c>
      <c r="O128" s="24">
        <f t="shared" si="58"/>
        <v>1.1362800436372424</v>
      </c>
      <c r="P128" s="41" t="str">
        <f t="shared" si="45"/>
        <v>1</v>
      </c>
      <c r="Q128" s="24">
        <f t="shared" si="59"/>
        <v>1.6353605236469093</v>
      </c>
      <c r="R128" s="41" t="str">
        <f t="shared" si="46"/>
        <v>1</v>
      </c>
      <c r="S128" s="24">
        <f t="shared" si="60"/>
        <v>7.6243262837629118</v>
      </c>
      <c r="T128" s="41" t="str">
        <f t="shared" si="47"/>
        <v>7</v>
      </c>
      <c r="U128" s="24">
        <f t="shared" si="61"/>
        <v>7.4919154051549413</v>
      </c>
      <c r="V128" s="41" t="str">
        <f t="shared" si="48"/>
        <v>7</v>
      </c>
      <c r="W128" s="24">
        <f t="shared" si="62"/>
        <v>5.9029848618592951</v>
      </c>
      <c r="X128" s="41" t="str">
        <f t="shared" si="49"/>
        <v>5</v>
      </c>
      <c r="Y128" s="24">
        <f t="shared" si="63"/>
        <v>10.835818342311541</v>
      </c>
      <c r="Z128" s="41" t="str">
        <f t="shared" si="50"/>
        <v>X</v>
      </c>
      <c r="AA128" s="24">
        <f t="shared" si="64"/>
        <v>10.029820107738487</v>
      </c>
      <c r="AB128" s="41" t="str">
        <f t="shared" si="51"/>
        <v>X</v>
      </c>
      <c r="AC128" s="24">
        <f t="shared" si="65"/>
        <v>0.35784129286184907</v>
      </c>
      <c r="AD128" s="41" t="str">
        <f t="shared" si="52"/>
        <v>0</v>
      </c>
      <c r="AE128" s="24">
        <f t="shared" si="66"/>
        <v>4.2940955143421888</v>
      </c>
      <c r="AF128" s="41" t="str">
        <f t="shared" si="53"/>
        <v/>
      </c>
      <c r="AG128" s="24">
        <f t="shared" si="67"/>
        <v>3.529146172106266</v>
      </c>
      <c r="AH128" s="41" t="str">
        <f t="shared" si="54"/>
        <v/>
      </c>
      <c r="AI128" s="24">
        <f t="shared" si="68"/>
        <v>6.3497540652751923</v>
      </c>
      <c r="AJ128" s="41" t="str">
        <f t="shared" si="55"/>
        <v/>
      </c>
    </row>
    <row r="129" spans="1:36" x14ac:dyDescent="0.2">
      <c r="A129" s="314" t="s">
        <v>884</v>
      </c>
      <c r="B129" s="315">
        <v>59</v>
      </c>
      <c r="C129" s="316" t="s">
        <v>883</v>
      </c>
      <c r="D129" s="317">
        <v>140.90764999999999</v>
      </c>
      <c r="E129" s="316"/>
      <c r="F129" s="8">
        <v>8</v>
      </c>
      <c r="G129" s="21">
        <f t="shared" si="41"/>
        <v>141.09826174364963</v>
      </c>
      <c r="H129" s="37" t="str">
        <f t="shared" si="56"/>
        <v>E;9121967</v>
      </c>
      <c r="I129" s="38">
        <v>1</v>
      </c>
      <c r="J129" s="128">
        <f t="shared" si="42"/>
        <v>11.75818847863747</v>
      </c>
      <c r="K129" s="39" t="str">
        <f>INDEX(powers!$H$2:$H$75,33+I129)</f>
        <v>dozen</v>
      </c>
      <c r="L129" s="40" t="str">
        <f t="shared" si="43"/>
        <v>E</v>
      </c>
      <c r="M129" s="24">
        <f t="shared" si="57"/>
        <v>9.0982617436496369</v>
      </c>
      <c r="N129" s="41" t="str">
        <f t="shared" si="44"/>
        <v>9</v>
      </c>
      <c r="O129" s="24">
        <f t="shared" si="58"/>
        <v>1.1791409237956429</v>
      </c>
      <c r="P129" s="41" t="str">
        <f t="shared" si="45"/>
        <v>1</v>
      </c>
      <c r="Q129" s="24">
        <f t="shared" si="59"/>
        <v>2.1496910855477154</v>
      </c>
      <c r="R129" s="41" t="str">
        <f t="shared" si="46"/>
        <v>2</v>
      </c>
      <c r="S129" s="24">
        <f t="shared" si="60"/>
        <v>1.7962930265725845</v>
      </c>
      <c r="T129" s="41" t="str">
        <f t="shared" si="47"/>
        <v>1</v>
      </c>
      <c r="U129" s="24">
        <f t="shared" si="61"/>
        <v>9.5555163188710139</v>
      </c>
      <c r="V129" s="41" t="str">
        <f t="shared" si="48"/>
        <v>9</v>
      </c>
      <c r="W129" s="24">
        <f t="shared" si="62"/>
        <v>6.6661958264521672</v>
      </c>
      <c r="X129" s="41" t="str">
        <f t="shared" si="49"/>
        <v>6</v>
      </c>
      <c r="Y129" s="24">
        <f t="shared" si="63"/>
        <v>7.9943499174260069</v>
      </c>
      <c r="Z129" s="41" t="str">
        <f t="shared" si="50"/>
        <v>7</v>
      </c>
      <c r="AA129" s="24">
        <f t="shared" si="64"/>
        <v>11.932199009112082</v>
      </c>
      <c r="AB129" s="41" t="str">
        <f t="shared" si="51"/>
        <v/>
      </c>
      <c r="AC129" s="24">
        <f t="shared" si="65"/>
        <v>11.186388109344989</v>
      </c>
      <c r="AD129" s="41" t="str">
        <f t="shared" si="52"/>
        <v/>
      </c>
      <c r="AE129" s="24">
        <f t="shared" si="66"/>
        <v>2.2366573121398687</v>
      </c>
      <c r="AF129" s="41" t="str">
        <f t="shared" si="53"/>
        <v/>
      </c>
      <c r="AG129" s="24">
        <f t="shared" si="67"/>
        <v>2.8398877456784248</v>
      </c>
      <c r="AH129" s="41" t="str">
        <f t="shared" si="54"/>
        <v/>
      </c>
      <c r="AI129" s="24">
        <f t="shared" si="68"/>
        <v>10.078652948141098</v>
      </c>
      <c r="AJ129" s="41" t="str">
        <f t="shared" si="55"/>
        <v/>
      </c>
    </row>
    <row r="130" spans="1:36" x14ac:dyDescent="0.2">
      <c r="A130" s="314"/>
      <c r="B130" s="315"/>
      <c r="C130" s="316"/>
      <c r="D130" s="317"/>
      <c r="E130" s="316">
        <v>140.90764999999999</v>
      </c>
      <c r="F130" s="8">
        <v>8</v>
      </c>
      <c r="G130" s="21">
        <f t="shared" si="41"/>
        <v>141.09826174364963</v>
      </c>
      <c r="H130" s="37" t="str">
        <f t="shared" si="56"/>
        <v>E;9121967</v>
      </c>
      <c r="I130" s="38">
        <v>1</v>
      </c>
      <c r="J130" s="128">
        <f t="shared" si="42"/>
        <v>11.75818847863747</v>
      </c>
      <c r="K130" s="39" t="str">
        <f>INDEX(powers!$H$2:$H$75,33+I130)</f>
        <v>dozen</v>
      </c>
      <c r="L130" s="40" t="str">
        <f t="shared" si="43"/>
        <v>E</v>
      </c>
      <c r="M130" s="24">
        <f t="shared" si="57"/>
        <v>9.0982617436496369</v>
      </c>
      <c r="N130" s="41" t="str">
        <f t="shared" si="44"/>
        <v>9</v>
      </c>
      <c r="O130" s="24">
        <f t="shared" si="58"/>
        <v>1.1791409237956429</v>
      </c>
      <c r="P130" s="41" t="str">
        <f t="shared" si="45"/>
        <v>1</v>
      </c>
      <c r="Q130" s="24">
        <f t="shared" si="59"/>
        <v>2.1496910855477154</v>
      </c>
      <c r="R130" s="41" t="str">
        <f t="shared" si="46"/>
        <v>2</v>
      </c>
      <c r="S130" s="24">
        <f t="shared" si="60"/>
        <v>1.7962930265725845</v>
      </c>
      <c r="T130" s="41" t="str">
        <f t="shared" si="47"/>
        <v>1</v>
      </c>
      <c r="U130" s="24">
        <f t="shared" si="61"/>
        <v>9.5555163188710139</v>
      </c>
      <c r="V130" s="41" t="str">
        <f t="shared" si="48"/>
        <v>9</v>
      </c>
      <c r="W130" s="24">
        <f t="shared" si="62"/>
        <v>6.6661958264521672</v>
      </c>
      <c r="X130" s="41" t="str">
        <f t="shared" si="49"/>
        <v>6</v>
      </c>
      <c r="Y130" s="24">
        <f t="shared" si="63"/>
        <v>7.9943499174260069</v>
      </c>
      <c r="Z130" s="41" t="str">
        <f t="shared" si="50"/>
        <v>7</v>
      </c>
      <c r="AA130" s="24">
        <f t="shared" si="64"/>
        <v>11.932199009112082</v>
      </c>
      <c r="AB130" s="41" t="str">
        <f t="shared" si="51"/>
        <v/>
      </c>
      <c r="AC130" s="24">
        <f t="shared" si="65"/>
        <v>11.186388109344989</v>
      </c>
      <c r="AD130" s="41" t="str">
        <f t="shared" si="52"/>
        <v/>
      </c>
      <c r="AE130" s="24">
        <f t="shared" si="66"/>
        <v>2.2366573121398687</v>
      </c>
      <c r="AF130" s="41" t="str">
        <f t="shared" si="53"/>
        <v/>
      </c>
      <c r="AG130" s="24">
        <f t="shared" si="67"/>
        <v>2.8398877456784248</v>
      </c>
      <c r="AH130" s="41" t="str">
        <f t="shared" si="54"/>
        <v/>
      </c>
      <c r="AI130" s="24">
        <f t="shared" si="68"/>
        <v>10.078652948141098</v>
      </c>
      <c r="AJ130" s="41" t="str">
        <f t="shared" si="55"/>
        <v/>
      </c>
    </row>
    <row r="131" spans="1:36" x14ac:dyDescent="0.2">
      <c r="A131" s="314" t="s">
        <v>886</v>
      </c>
      <c r="B131" s="315">
        <v>60</v>
      </c>
      <c r="C131" s="316" t="s">
        <v>885</v>
      </c>
      <c r="D131" s="317">
        <v>144.24199999999999</v>
      </c>
      <c r="E131" s="316"/>
      <c r="F131" s="8">
        <v>6</v>
      </c>
      <c r="G131" s="21">
        <f t="shared" si="41"/>
        <v>144.43712226005835</v>
      </c>
      <c r="H131" s="37" t="str">
        <f t="shared" si="56"/>
        <v>1;0052E4</v>
      </c>
      <c r="I131" s="38">
        <v>2</v>
      </c>
      <c r="J131" s="128">
        <f t="shared" si="42"/>
        <v>1.0030355712504051</v>
      </c>
      <c r="K131" s="39" t="str">
        <f>INDEX(powers!$H$2:$H$75,33+I131)</f>
        <v>gross</v>
      </c>
      <c r="L131" s="40" t="str">
        <f t="shared" si="43"/>
        <v>1</v>
      </c>
      <c r="M131" s="24">
        <f t="shared" si="57"/>
        <v>3.6426855004861203E-2</v>
      </c>
      <c r="N131" s="41" t="str">
        <f t="shared" si="44"/>
        <v>0</v>
      </c>
      <c r="O131" s="24">
        <f t="shared" si="58"/>
        <v>0.43712226005833443</v>
      </c>
      <c r="P131" s="41" t="str">
        <f t="shared" si="45"/>
        <v>0</v>
      </c>
      <c r="Q131" s="24">
        <f t="shared" si="59"/>
        <v>5.2454671207000132</v>
      </c>
      <c r="R131" s="41" t="str">
        <f t="shared" si="46"/>
        <v>5</v>
      </c>
      <c r="S131" s="24">
        <f t="shared" si="60"/>
        <v>2.9456054484001584</v>
      </c>
      <c r="T131" s="41" t="str">
        <f t="shared" si="47"/>
        <v>2</v>
      </c>
      <c r="U131" s="24">
        <f t="shared" si="61"/>
        <v>11.3472653808019</v>
      </c>
      <c r="V131" s="41" t="str">
        <f t="shared" si="48"/>
        <v>E</v>
      </c>
      <c r="W131" s="24">
        <f t="shared" si="62"/>
        <v>4.1671845696228047</v>
      </c>
      <c r="X131" s="41" t="str">
        <f t="shared" si="49"/>
        <v>4</v>
      </c>
      <c r="Y131" s="24">
        <f t="shared" si="63"/>
        <v>2.0062148354736564</v>
      </c>
      <c r="Z131" s="41" t="str">
        <f t="shared" si="50"/>
        <v/>
      </c>
      <c r="AA131" s="24">
        <f t="shared" si="64"/>
        <v>7.4578025683877058E-2</v>
      </c>
      <c r="AB131" s="41" t="str">
        <f t="shared" si="51"/>
        <v/>
      </c>
      <c r="AC131" s="24">
        <f t="shared" si="65"/>
        <v>0.8949363082065247</v>
      </c>
      <c r="AD131" s="41" t="str">
        <f t="shared" si="52"/>
        <v/>
      </c>
      <c r="AE131" s="24">
        <f t="shared" si="66"/>
        <v>10.739235698478296</v>
      </c>
      <c r="AF131" s="41" t="str">
        <f t="shared" si="53"/>
        <v/>
      </c>
      <c r="AG131" s="24">
        <f t="shared" si="67"/>
        <v>8.8708283817395568</v>
      </c>
      <c r="AH131" s="41" t="str">
        <f t="shared" si="54"/>
        <v/>
      </c>
      <c r="AI131" s="24">
        <f t="shared" si="68"/>
        <v>10.449940580874681</v>
      </c>
      <c r="AJ131" s="41" t="str">
        <f t="shared" si="55"/>
        <v/>
      </c>
    </row>
    <row r="132" spans="1:36" x14ac:dyDescent="0.2">
      <c r="A132" s="314"/>
      <c r="B132" s="315"/>
      <c r="C132" s="316"/>
      <c r="D132" s="317"/>
      <c r="E132" s="316">
        <v>143.91008299999999</v>
      </c>
      <c r="F132" s="8">
        <v>9</v>
      </c>
      <c r="G132" s="21">
        <f t="shared" si="41"/>
        <v>144.10475626188034</v>
      </c>
      <c r="H132" s="37" t="str">
        <f t="shared" si="56"/>
        <v>;013102863</v>
      </c>
      <c r="I132" s="38">
        <v>1</v>
      </c>
      <c r="J132" s="128">
        <f t="shared" si="42"/>
        <v>12.008729688490028</v>
      </c>
      <c r="K132" s="39" t="str">
        <f>INDEX(powers!$H$2:$H$75,33+I132)</f>
        <v>dozen</v>
      </c>
      <c r="L132" s="40" t="str">
        <f t="shared" si="43"/>
        <v/>
      </c>
      <c r="M132" s="24">
        <f t="shared" si="57"/>
        <v>0.10475626188033971</v>
      </c>
      <c r="N132" s="41" t="str">
        <f t="shared" si="44"/>
        <v>0</v>
      </c>
      <c r="O132" s="24">
        <f t="shared" si="58"/>
        <v>1.2570751425640765</v>
      </c>
      <c r="P132" s="41" t="str">
        <f t="shared" si="45"/>
        <v>1</v>
      </c>
      <c r="Q132" s="24">
        <f t="shared" si="59"/>
        <v>3.0849017107689178</v>
      </c>
      <c r="R132" s="41" t="str">
        <f t="shared" si="46"/>
        <v>3</v>
      </c>
      <c r="S132" s="24">
        <f t="shared" si="60"/>
        <v>1.018820529227014</v>
      </c>
      <c r="T132" s="41" t="str">
        <f t="shared" si="47"/>
        <v>1</v>
      </c>
      <c r="U132" s="24">
        <f t="shared" si="61"/>
        <v>0.22584635072416859</v>
      </c>
      <c r="V132" s="41" t="str">
        <f t="shared" si="48"/>
        <v>0</v>
      </c>
      <c r="W132" s="24">
        <f t="shared" si="62"/>
        <v>2.710156208690023</v>
      </c>
      <c r="X132" s="41" t="str">
        <f t="shared" si="49"/>
        <v>2</v>
      </c>
      <c r="Y132" s="24">
        <f t="shared" si="63"/>
        <v>8.5218745042802766</v>
      </c>
      <c r="Z132" s="41" t="str">
        <f t="shared" si="50"/>
        <v>8</v>
      </c>
      <c r="AA132" s="24">
        <f t="shared" si="64"/>
        <v>6.2624940513633192</v>
      </c>
      <c r="AB132" s="41" t="str">
        <f t="shared" si="51"/>
        <v>6</v>
      </c>
      <c r="AC132" s="24">
        <f t="shared" si="65"/>
        <v>3.1499286163598299</v>
      </c>
      <c r="AD132" s="41" t="str">
        <f t="shared" si="52"/>
        <v>3</v>
      </c>
      <c r="AE132" s="24">
        <f t="shared" si="66"/>
        <v>1.7991433963179588</v>
      </c>
      <c r="AF132" s="41" t="str">
        <f t="shared" si="53"/>
        <v/>
      </c>
      <c r="AG132" s="24">
        <f t="shared" si="67"/>
        <v>9.589720755815506</v>
      </c>
      <c r="AH132" s="41" t="str">
        <f t="shared" si="54"/>
        <v/>
      </c>
      <c r="AI132" s="24">
        <f t="shared" si="68"/>
        <v>7.0766490697860718</v>
      </c>
      <c r="AJ132" s="41" t="str">
        <f t="shared" si="55"/>
        <v/>
      </c>
    </row>
    <row r="133" spans="1:36" x14ac:dyDescent="0.2">
      <c r="A133" s="314" t="s">
        <v>888</v>
      </c>
      <c r="B133" s="315">
        <v>61</v>
      </c>
      <c r="C133" s="316" t="s">
        <v>887</v>
      </c>
      <c r="D133" s="317">
        <v>145</v>
      </c>
      <c r="E133" s="316"/>
      <c r="F133" s="8">
        <v>2</v>
      </c>
      <c r="G133" s="21">
        <f t="shared" si="41"/>
        <v>145.19614763874918</v>
      </c>
      <c r="H133" s="37" t="str">
        <f t="shared" si="56"/>
        <v>1;01</v>
      </c>
      <c r="I133" s="38">
        <v>2</v>
      </c>
      <c r="J133" s="128">
        <f t="shared" si="42"/>
        <v>1.0083065808246472</v>
      </c>
      <c r="K133" s="39" t="str">
        <f>INDEX(powers!$H$2:$H$75,33+I133)</f>
        <v>gross</v>
      </c>
      <c r="L133" s="40" t="str">
        <f t="shared" si="43"/>
        <v>1</v>
      </c>
      <c r="M133" s="24">
        <f t="shared" si="57"/>
        <v>9.9678969895766301E-2</v>
      </c>
      <c r="N133" s="41" t="str">
        <f t="shared" si="44"/>
        <v>0</v>
      </c>
      <c r="O133" s="24">
        <f t="shared" si="58"/>
        <v>1.1961476387491956</v>
      </c>
      <c r="P133" s="41" t="str">
        <f t="shared" si="45"/>
        <v>1</v>
      </c>
      <c r="Q133" s="24">
        <f t="shared" si="59"/>
        <v>2.3537716649903473</v>
      </c>
      <c r="R133" s="41" t="str">
        <f t="shared" si="46"/>
        <v/>
      </c>
      <c r="S133" s="24">
        <f t="shared" si="60"/>
        <v>4.2452599798841675</v>
      </c>
      <c r="T133" s="41" t="str">
        <f t="shared" si="47"/>
        <v/>
      </c>
      <c r="U133" s="24">
        <f t="shared" si="61"/>
        <v>2.9431197586100097</v>
      </c>
      <c r="V133" s="41" t="str">
        <f t="shared" si="48"/>
        <v/>
      </c>
      <c r="W133" s="24">
        <f t="shared" si="62"/>
        <v>11.317437103320117</v>
      </c>
      <c r="X133" s="41" t="str">
        <f t="shared" si="49"/>
        <v/>
      </c>
      <c r="Y133" s="24">
        <f t="shared" si="63"/>
        <v>3.8092452398414025</v>
      </c>
      <c r="Z133" s="41" t="str">
        <f t="shared" si="50"/>
        <v/>
      </c>
      <c r="AA133" s="24">
        <f t="shared" si="64"/>
        <v>9.7109428780968301</v>
      </c>
      <c r="AB133" s="41" t="str">
        <f t="shared" si="51"/>
        <v/>
      </c>
      <c r="AC133" s="24">
        <f t="shared" si="65"/>
        <v>8.5313145371619612</v>
      </c>
      <c r="AD133" s="41" t="str">
        <f t="shared" si="52"/>
        <v/>
      </c>
      <c r="AE133" s="24">
        <f t="shared" si="66"/>
        <v>6.3757744459435344</v>
      </c>
      <c r="AF133" s="41" t="str">
        <f t="shared" si="53"/>
        <v/>
      </c>
      <c r="AG133" s="24">
        <f t="shared" si="67"/>
        <v>4.5092933513224125</v>
      </c>
      <c r="AH133" s="41" t="str">
        <f t="shared" si="54"/>
        <v/>
      </c>
      <c r="AI133" s="24">
        <f t="shared" si="68"/>
        <v>6.1115202158689499</v>
      </c>
      <c r="AJ133" s="41" t="str">
        <f t="shared" si="55"/>
        <v/>
      </c>
    </row>
    <row r="134" spans="1:36" x14ac:dyDescent="0.2">
      <c r="A134" s="314"/>
      <c r="B134" s="315"/>
      <c r="C134" s="316"/>
      <c r="D134" s="317"/>
      <c r="E134" s="316">
        <v>144.912744</v>
      </c>
      <c r="F134" s="8">
        <v>9</v>
      </c>
      <c r="G134" s="21">
        <f t="shared" si="41"/>
        <v>145.10877360386391</v>
      </c>
      <c r="H134" s="37" t="str">
        <f t="shared" si="56"/>
        <v>1;01137E643</v>
      </c>
      <c r="I134" s="38">
        <v>2</v>
      </c>
      <c r="J134" s="128">
        <f t="shared" si="42"/>
        <v>1.0076998166934994</v>
      </c>
      <c r="K134" s="39" t="str">
        <f>INDEX(powers!$H$2:$H$75,33+I134)</f>
        <v>gross</v>
      </c>
      <c r="L134" s="40" t="str">
        <f t="shared" si="43"/>
        <v>1</v>
      </c>
      <c r="M134" s="24">
        <f t="shared" si="57"/>
        <v>9.239780032199274E-2</v>
      </c>
      <c r="N134" s="41" t="str">
        <f t="shared" si="44"/>
        <v>0</v>
      </c>
      <c r="O134" s="24">
        <f t="shared" si="58"/>
        <v>1.1087736038639129</v>
      </c>
      <c r="P134" s="41" t="str">
        <f t="shared" si="45"/>
        <v>1</v>
      </c>
      <c r="Q134" s="24">
        <f t="shared" si="59"/>
        <v>1.3052832463669546</v>
      </c>
      <c r="R134" s="41" t="str">
        <f t="shared" si="46"/>
        <v>1</v>
      </c>
      <c r="S134" s="24">
        <f t="shared" si="60"/>
        <v>3.663398956403455</v>
      </c>
      <c r="T134" s="41" t="str">
        <f t="shared" si="47"/>
        <v>3</v>
      </c>
      <c r="U134" s="24">
        <f t="shared" si="61"/>
        <v>7.9607874768414604</v>
      </c>
      <c r="V134" s="41" t="str">
        <f t="shared" si="48"/>
        <v>7</v>
      </c>
      <c r="W134" s="24">
        <f t="shared" si="62"/>
        <v>11.529449722097524</v>
      </c>
      <c r="X134" s="41" t="str">
        <f t="shared" si="49"/>
        <v>E</v>
      </c>
      <c r="Y134" s="24">
        <f t="shared" si="63"/>
        <v>6.353396665170294</v>
      </c>
      <c r="Z134" s="41" t="str">
        <f t="shared" si="50"/>
        <v>6</v>
      </c>
      <c r="AA134" s="24">
        <f t="shared" si="64"/>
        <v>4.240759982043528</v>
      </c>
      <c r="AB134" s="41" t="str">
        <f t="shared" si="51"/>
        <v>4</v>
      </c>
      <c r="AC134" s="24">
        <f t="shared" si="65"/>
        <v>2.889119784522336</v>
      </c>
      <c r="AD134" s="41" t="str">
        <f t="shared" si="52"/>
        <v>3</v>
      </c>
      <c r="AE134" s="24">
        <f t="shared" si="66"/>
        <v>10.669437414268032</v>
      </c>
      <c r="AF134" s="41" t="str">
        <f t="shared" si="53"/>
        <v/>
      </c>
      <c r="AG134" s="24">
        <f t="shared" si="67"/>
        <v>8.0332489712163806</v>
      </c>
      <c r="AH134" s="41" t="str">
        <f t="shared" si="54"/>
        <v/>
      </c>
      <c r="AI134" s="24">
        <f t="shared" si="68"/>
        <v>0.39898765459656715</v>
      </c>
      <c r="AJ134" s="41" t="str">
        <f t="shared" si="55"/>
        <v/>
      </c>
    </row>
    <row r="135" spans="1:36" x14ac:dyDescent="0.2">
      <c r="A135" s="314" t="s">
        <v>890</v>
      </c>
      <c r="B135" s="315">
        <v>62</v>
      </c>
      <c r="C135" s="316" t="s">
        <v>889</v>
      </c>
      <c r="D135" s="317">
        <v>150.36000000000001</v>
      </c>
      <c r="E135" s="316"/>
      <c r="F135" s="8">
        <v>5</v>
      </c>
      <c r="G135" s="21">
        <f t="shared" si="41"/>
        <v>150.56339833767123</v>
      </c>
      <c r="H135" s="37" t="str">
        <f t="shared" si="56"/>
        <v>1;06692</v>
      </c>
      <c r="I135" s="38">
        <v>2</v>
      </c>
      <c r="J135" s="128">
        <f t="shared" si="42"/>
        <v>1.0455791551227169</v>
      </c>
      <c r="K135" s="39" t="str">
        <f>INDEX(powers!$H$2:$H$75,33+I135)</f>
        <v>gross</v>
      </c>
      <c r="L135" s="40" t="str">
        <f t="shared" si="43"/>
        <v>1</v>
      </c>
      <c r="M135" s="24">
        <f t="shared" si="57"/>
        <v>0.54694986147260316</v>
      </c>
      <c r="N135" s="41" t="str">
        <f t="shared" si="44"/>
        <v>0</v>
      </c>
      <c r="O135" s="24">
        <f t="shared" si="58"/>
        <v>6.5633983376712379</v>
      </c>
      <c r="P135" s="41" t="str">
        <f t="shared" si="45"/>
        <v>6</v>
      </c>
      <c r="Q135" s="24">
        <f t="shared" si="59"/>
        <v>6.7607800520548551</v>
      </c>
      <c r="R135" s="41" t="str">
        <f t="shared" si="46"/>
        <v>6</v>
      </c>
      <c r="S135" s="24">
        <f t="shared" si="60"/>
        <v>9.1293606246582613</v>
      </c>
      <c r="T135" s="41" t="str">
        <f t="shared" si="47"/>
        <v>9</v>
      </c>
      <c r="U135" s="24">
        <f t="shared" si="61"/>
        <v>1.5523274958991351</v>
      </c>
      <c r="V135" s="41" t="str">
        <f t="shared" si="48"/>
        <v>2</v>
      </c>
      <c r="W135" s="24">
        <f t="shared" si="62"/>
        <v>6.6279299507896212</v>
      </c>
      <c r="X135" s="41" t="str">
        <f t="shared" si="49"/>
        <v/>
      </c>
      <c r="Y135" s="24">
        <f t="shared" si="63"/>
        <v>7.5351594094754546</v>
      </c>
      <c r="Z135" s="41" t="str">
        <f t="shared" si="50"/>
        <v/>
      </c>
      <c r="AA135" s="24">
        <f t="shared" si="64"/>
        <v>6.4219129137054551</v>
      </c>
      <c r="AB135" s="41" t="str">
        <f t="shared" si="51"/>
        <v/>
      </c>
      <c r="AC135" s="24">
        <f t="shared" si="65"/>
        <v>5.0629549644654617</v>
      </c>
      <c r="AD135" s="41" t="str">
        <f t="shared" si="52"/>
        <v/>
      </c>
      <c r="AE135" s="24">
        <f t="shared" si="66"/>
        <v>0.75545957358554006</v>
      </c>
      <c r="AF135" s="41" t="str">
        <f t="shared" si="53"/>
        <v/>
      </c>
      <c r="AG135" s="24">
        <f t="shared" si="67"/>
        <v>9.0655148830264807</v>
      </c>
      <c r="AH135" s="41" t="str">
        <f t="shared" si="54"/>
        <v/>
      </c>
      <c r="AI135" s="24">
        <f t="shared" si="68"/>
        <v>0.7861785963177681</v>
      </c>
      <c r="AJ135" s="41" t="str">
        <f t="shared" si="55"/>
        <v/>
      </c>
    </row>
    <row r="136" spans="1:36" x14ac:dyDescent="0.2">
      <c r="A136" s="314"/>
      <c r="B136" s="315"/>
      <c r="C136" s="316"/>
      <c r="D136" s="317"/>
      <c r="E136" s="316">
        <v>151.91972799999999</v>
      </c>
      <c r="F136" s="8">
        <v>9</v>
      </c>
      <c r="G136" s="21">
        <f t="shared" si="41"/>
        <v>152.12523624776978</v>
      </c>
      <c r="H136" s="37" t="str">
        <f t="shared" si="56"/>
        <v>1;081604X95</v>
      </c>
      <c r="I136" s="38">
        <v>2</v>
      </c>
      <c r="J136" s="128">
        <f t="shared" si="42"/>
        <v>1.0564252517206234</v>
      </c>
      <c r="K136" s="39" t="str">
        <f>INDEX(powers!$H$2:$H$75,33+I136)</f>
        <v>gross</v>
      </c>
      <c r="L136" s="40" t="str">
        <f t="shared" si="43"/>
        <v>1</v>
      </c>
      <c r="M136" s="24">
        <f t="shared" si="57"/>
        <v>0.67710302064748085</v>
      </c>
      <c r="N136" s="41" t="str">
        <f t="shared" si="44"/>
        <v>0</v>
      </c>
      <c r="O136" s="24">
        <f t="shared" si="58"/>
        <v>8.1252362477697702</v>
      </c>
      <c r="P136" s="41" t="str">
        <f t="shared" si="45"/>
        <v>8</v>
      </c>
      <c r="Q136" s="24">
        <f t="shared" si="59"/>
        <v>1.5028349732372419</v>
      </c>
      <c r="R136" s="41" t="str">
        <f t="shared" si="46"/>
        <v>1</v>
      </c>
      <c r="S136" s="24">
        <f t="shared" si="60"/>
        <v>6.0340196788469029</v>
      </c>
      <c r="T136" s="41" t="str">
        <f t="shared" si="47"/>
        <v>6</v>
      </c>
      <c r="U136" s="24">
        <f t="shared" si="61"/>
        <v>0.40823614616283521</v>
      </c>
      <c r="V136" s="41" t="str">
        <f t="shared" si="48"/>
        <v>0</v>
      </c>
      <c r="W136" s="24">
        <f t="shared" si="62"/>
        <v>4.8988337539540225</v>
      </c>
      <c r="X136" s="41" t="str">
        <f t="shared" si="49"/>
        <v>4</v>
      </c>
      <c r="Y136" s="24">
        <f t="shared" si="63"/>
        <v>10.78600504744827</v>
      </c>
      <c r="Z136" s="41" t="str">
        <f t="shared" si="50"/>
        <v>X</v>
      </c>
      <c r="AA136" s="24">
        <f t="shared" si="64"/>
        <v>9.4320605693792459</v>
      </c>
      <c r="AB136" s="41" t="str">
        <f t="shared" si="51"/>
        <v>9</v>
      </c>
      <c r="AC136" s="24">
        <f t="shared" si="65"/>
        <v>5.1847268325509503</v>
      </c>
      <c r="AD136" s="41" t="str">
        <f t="shared" si="52"/>
        <v>5</v>
      </c>
      <c r="AE136" s="24">
        <f t="shared" si="66"/>
        <v>2.2167219906114042</v>
      </c>
      <c r="AF136" s="41" t="str">
        <f t="shared" si="53"/>
        <v/>
      </c>
      <c r="AG136" s="24">
        <f t="shared" si="67"/>
        <v>2.6006638873368502</v>
      </c>
      <c r="AH136" s="41" t="str">
        <f t="shared" si="54"/>
        <v/>
      </c>
      <c r="AI136" s="24">
        <f t="shared" si="68"/>
        <v>7.207966648042202</v>
      </c>
      <c r="AJ136" s="41" t="str">
        <f t="shared" si="55"/>
        <v/>
      </c>
    </row>
    <row r="137" spans="1:36" x14ac:dyDescent="0.2">
      <c r="A137" s="314" t="s">
        <v>892</v>
      </c>
      <c r="B137" s="315">
        <v>63</v>
      </c>
      <c r="C137" s="316" t="s">
        <v>891</v>
      </c>
      <c r="D137" s="317">
        <v>151.964</v>
      </c>
      <c r="E137" s="316"/>
      <c r="F137" s="8">
        <v>6</v>
      </c>
      <c r="G137" s="21">
        <f t="shared" si="41"/>
        <v>152.1695681363785</v>
      </c>
      <c r="H137" s="37" t="str">
        <f t="shared" si="56"/>
        <v>1;082050</v>
      </c>
      <c r="I137" s="38">
        <v>2</v>
      </c>
      <c r="J137" s="128">
        <f t="shared" si="42"/>
        <v>1.056733112058184</v>
      </c>
      <c r="K137" s="39" t="str">
        <f>INDEX(powers!$H$2:$H$75,33+I137)</f>
        <v>gross</v>
      </c>
      <c r="L137" s="40" t="str">
        <f t="shared" si="43"/>
        <v>1</v>
      </c>
      <c r="M137" s="24">
        <f t="shared" si="57"/>
        <v>0.68079734469820785</v>
      </c>
      <c r="N137" s="41" t="str">
        <f t="shared" si="44"/>
        <v>0</v>
      </c>
      <c r="O137" s="24">
        <f t="shared" si="58"/>
        <v>8.1695681363784942</v>
      </c>
      <c r="P137" s="41" t="str">
        <f t="shared" si="45"/>
        <v>8</v>
      </c>
      <c r="Q137" s="24">
        <f t="shared" si="59"/>
        <v>2.0348176365419306</v>
      </c>
      <c r="R137" s="41" t="str">
        <f t="shared" si="46"/>
        <v>2</v>
      </c>
      <c r="S137" s="24">
        <f t="shared" si="60"/>
        <v>0.41781163850316716</v>
      </c>
      <c r="T137" s="41" t="str">
        <f t="shared" si="47"/>
        <v>0</v>
      </c>
      <c r="U137" s="24">
        <f t="shared" si="61"/>
        <v>5.0137396620380059</v>
      </c>
      <c r="V137" s="41" t="str">
        <f t="shared" si="48"/>
        <v>5</v>
      </c>
      <c r="W137" s="24">
        <f t="shared" si="62"/>
        <v>0.16487594445607101</v>
      </c>
      <c r="X137" s="41" t="str">
        <f t="shared" si="49"/>
        <v>0</v>
      </c>
      <c r="Y137" s="24">
        <f t="shared" si="63"/>
        <v>1.9785113334728521</v>
      </c>
      <c r="Z137" s="41" t="str">
        <f t="shared" si="50"/>
        <v/>
      </c>
      <c r="AA137" s="24">
        <f t="shared" si="64"/>
        <v>11.742136001674226</v>
      </c>
      <c r="AB137" s="41" t="str">
        <f t="shared" si="51"/>
        <v/>
      </c>
      <c r="AC137" s="24">
        <f t="shared" si="65"/>
        <v>8.9056320200907066</v>
      </c>
      <c r="AD137" s="41" t="str">
        <f t="shared" si="52"/>
        <v/>
      </c>
      <c r="AE137" s="24">
        <f t="shared" si="66"/>
        <v>10.86758424108848</v>
      </c>
      <c r="AF137" s="41" t="str">
        <f t="shared" si="53"/>
        <v/>
      </c>
      <c r="AG137" s="24">
        <f t="shared" si="67"/>
        <v>10.411010893061757</v>
      </c>
      <c r="AH137" s="41" t="str">
        <f t="shared" si="54"/>
        <v/>
      </c>
      <c r="AI137" s="24">
        <f t="shared" si="68"/>
        <v>4.9321307167410851</v>
      </c>
      <c r="AJ137" s="41" t="str">
        <f t="shared" si="55"/>
        <v/>
      </c>
    </row>
    <row r="138" spans="1:36" x14ac:dyDescent="0.2">
      <c r="A138" s="314"/>
      <c r="B138" s="315"/>
      <c r="C138" s="316"/>
      <c r="D138" s="317"/>
      <c r="E138" s="316">
        <v>152.92122599999999</v>
      </c>
      <c r="F138" s="8">
        <v>9</v>
      </c>
      <c r="G138" s="21">
        <f t="shared" ref="G138:G201" si="69">MAX(D138,E138)*G$7+0.0000000000001</f>
        <v>153.128089016514</v>
      </c>
      <c r="H138" s="37" t="str">
        <f t="shared" si="56"/>
        <v>1;091654079</v>
      </c>
      <c r="I138" s="38">
        <v>2</v>
      </c>
      <c r="J138" s="128">
        <f t="shared" ref="J138:J201" si="70">G138/POWER(12,I138)</f>
        <v>1.063389507059125</v>
      </c>
      <c r="K138" s="39" t="str">
        <f>INDEX(powers!$H$2:$H$75,33+I138)</f>
        <v>gross</v>
      </c>
      <c r="L138" s="40" t="str">
        <f t="shared" ref="L138:L201" si="71">IF($F138&gt;=L$9,MID($I$9,IF($F138&gt;L$9,INT(J138),ROUND(J138,0))+1,1),"")</f>
        <v>1</v>
      </c>
      <c r="M138" s="24">
        <f t="shared" si="57"/>
        <v>0.7606740847095006</v>
      </c>
      <c r="N138" s="41" t="str">
        <f t="shared" ref="N138:N201" si="72">IF($F138&gt;=N$9,MID($I$9,IF($F138&gt;N$9,INT(M138),ROUND(M138,0))+1,1),"")</f>
        <v>0</v>
      </c>
      <c r="O138" s="24">
        <f t="shared" si="58"/>
        <v>9.1280890165140072</v>
      </c>
      <c r="P138" s="41" t="str">
        <f t="shared" ref="P138:P201" si="73">IF($F138&gt;=P$9,MID($I$9,IF($F138&gt;P$9,INT(O138),ROUND(O138,0))+1,1),"")</f>
        <v>9</v>
      </c>
      <c r="Q138" s="24">
        <f t="shared" si="59"/>
        <v>1.537068198168086</v>
      </c>
      <c r="R138" s="41" t="str">
        <f t="shared" ref="R138:R201" si="74">IF($F138&gt;=R$9,MID($I$9,IF($F138&gt;R$9,INT(Q138),ROUND(Q138,0))+1,1),"")</f>
        <v>1</v>
      </c>
      <c r="S138" s="24">
        <f t="shared" si="60"/>
        <v>6.4448183780170325</v>
      </c>
      <c r="T138" s="41" t="str">
        <f t="shared" ref="T138:T201" si="75">IF($F138&gt;=T$9,MID($I$9,IF($F138&gt;T$9,INT(S138),ROUND(S138,0))+1,1),"")</f>
        <v>6</v>
      </c>
      <c r="U138" s="24">
        <f t="shared" si="61"/>
        <v>5.33782053620439</v>
      </c>
      <c r="V138" s="41" t="str">
        <f t="shared" ref="V138:V201" si="76">IF($F138&gt;=V$9,MID($I$9,IF($F138&gt;V$9,INT(U138),ROUND(U138,0))+1,1),"")</f>
        <v>5</v>
      </c>
      <c r="W138" s="24">
        <f t="shared" si="62"/>
        <v>4.0538464344526801</v>
      </c>
      <c r="X138" s="41" t="str">
        <f t="shared" ref="X138:X201" si="77">IF($F138&gt;=X$9,MID($I$9,IF($F138&gt;X$9,INT(W138),ROUND(W138,0))+1,1),"")</f>
        <v>4</v>
      </c>
      <c r="Y138" s="24">
        <f t="shared" si="63"/>
        <v>0.64615721343216137</v>
      </c>
      <c r="Z138" s="41" t="str">
        <f t="shared" ref="Z138:Z201" si="78">IF($F138&gt;=Z$9,MID($I$9,IF($F138&gt;Z$9,INT(Y138),ROUND(Y138,0))+1,1),"")</f>
        <v>0</v>
      </c>
      <c r="AA138" s="24">
        <f t="shared" si="64"/>
        <v>7.7538865611859364</v>
      </c>
      <c r="AB138" s="41" t="str">
        <f t="shared" ref="AB138:AB201" si="79">IF($F138&gt;=AB$9,MID($I$9,IF($F138&gt;AB$9,INT(AA138),ROUND(AA138,0))+1,1),"")</f>
        <v>7</v>
      </c>
      <c r="AC138" s="24">
        <f t="shared" si="65"/>
        <v>9.0466387342312373</v>
      </c>
      <c r="AD138" s="41" t="str">
        <f t="shared" ref="AD138:AD201" si="80">IF($F138&gt;=AD$9,MID($I$9,IF($F138&gt;AD$9,INT(AC138),ROUND(AC138,0))+1,1),"")</f>
        <v>9</v>
      </c>
      <c r="AE138" s="24">
        <f t="shared" si="66"/>
        <v>0.55966481077484787</v>
      </c>
      <c r="AF138" s="41" t="str">
        <f t="shared" ref="AF138:AF201" si="81">IF($F138&gt;=AF$9,MID($I$9,IF($F138&gt;AF$9,INT(AE138),ROUND(AE138,0))+1,1),"")</f>
        <v/>
      </c>
      <c r="AG138" s="24">
        <f t="shared" si="67"/>
        <v>6.7159777292981744</v>
      </c>
      <c r="AH138" s="41" t="str">
        <f t="shared" ref="AH138:AH201" si="82">IF($F138&gt;=AH$9,MID($I$9,IF($F138&gt;AH$9,INT(AG138),ROUND(AG138,0))+1,1),"")</f>
        <v/>
      </c>
      <c r="AI138" s="24">
        <f t="shared" si="68"/>
        <v>8.5917327515780926</v>
      </c>
      <c r="AJ138" s="41" t="str">
        <f t="shared" ref="AJ138:AJ201" si="83">IF($F138&gt;=AJ$9,MID($I$9,IF($F138&gt;AJ$9,INT(AI138),ROUND(AI138,0))+1,1),"")</f>
        <v/>
      </c>
    </row>
    <row r="139" spans="1:36" x14ac:dyDescent="0.2">
      <c r="A139" s="314" t="s">
        <v>894</v>
      </c>
      <c r="B139" s="315">
        <v>64</v>
      </c>
      <c r="C139" s="316" t="s">
        <v>893</v>
      </c>
      <c r="D139" s="317">
        <v>157.25</v>
      </c>
      <c r="E139" s="316"/>
      <c r="F139" s="8">
        <v>5</v>
      </c>
      <c r="G139" s="21">
        <f t="shared" si="69"/>
        <v>157.46271873236765</v>
      </c>
      <c r="H139" s="37" t="str">
        <f t="shared" si="56"/>
        <v>1;11568</v>
      </c>
      <c r="I139" s="38">
        <v>2</v>
      </c>
      <c r="J139" s="128">
        <f t="shared" si="70"/>
        <v>1.0934911023081086</v>
      </c>
      <c r="K139" s="39" t="str">
        <f>INDEX(powers!$H$2:$H$75,33+I139)</f>
        <v>gross</v>
      </c>
      <c r="L139" s="40" t="str">
        <f t="shared" si="71"/>
        <v>1</v>
      </c>
      <c r="M139" s="24">
        <f t="shared" si="57"/>
        <v>1.1218932276973037</v>
      </c>
      <c r="N139" s="41" t="str">
        <f t="shared" si="72"/>
        <v>1</v>
      </c>
      <c r="O139" s="24">
        <f t="shared" si="58"/>
        <v>1.4627187323676445</v>
      </c>
      <c r="P139" s="41" t="str">
        <f t="shared" si="73"/>
        <v>1</v>
      </c>
      <c r="Q139" s="24">
        <f t="shared" si="59"/>
        <v>5.5526247884117339</v>
      </c>
      <c r="R139" s="41" t="str">
        <f t="shared" si="74"/>
        <v>5</v>
      </c>
      <c r="S139" s="24">
        <f t="shared" si="60"/>
        <v>6.6314974609408068</v>
      </c>
      <c r="T139" s="41" t="str">
        <f t="shared" si="75"/>
        <v>6</v>
      </c>
      <c r="U139" s="24">
        <f t="shared" si="61"/>
        <v>7.577969531289682</v>
      </c>
      <c r="V139" s="41" t="str">
        <f t="shared" si="76"/>
        <v>8</v>
      </c>
      <c r="W139" s="24">
        <f t="shared" si="62"/>
        <v>6.9356343754761838</v>
      </c>
      <c r="X139" s="41" t="str">
        <f t="shared" si="77"/>
        <v/>
      </c>
      <c r="Y139" s="24">
        <f t="shared" si="63"/>
        <v>11.227612505714205</v>
      </c>
      <c r="Z139" s="41" t="str">
        <f t="shared" si="78"/>
        <v/>
      </c>
      <c r="AA139" s="24">
        <f t="shared" si="64"/>
        <v>2.7313500685704639</v>
      </c>
      <c r="AB139" s="41" t="str">
        <f t="shared" si="79"/>
        <v/>
      </c>
      <c r="AC139" s="24">
        <f t="shared" si="65"/>
        <v>8.776200822845567</v>
      </c>
      <c r="AD139" s="41" t="str">
        <f t="shared" si="80"/>
        <v/>
      </c>
      <c r="AE139" s="24">
        <f t="shared" si="66"/>
        <v>9.3144098741468042</v>
      </c>
      <c r="AF139" s="41" t="str">
        <f t="shared" si="81"/>
        <v/>
      </c>
      <c r="AG139" s="24">
        <f t="shared" si="67"/>
        <v>3.7729184897616506</v>
      </c>
      <c r="AH139" s="41" t="str">
        <f t="shared" si="82"/>
        <v/>
      </c>
      <c r="AI139" s="24">
        <f t="shared" si="68"/>
        <v>9.2750218771398067</v>
      </c>
      <c r="AJ139" s="41" t="str">
        <f t="shared" si="83"/>
        <v/>
      </c>
    </row>
    <row r="140" spans="1:36" x14ac:dyDescent="0.2">
      <c r="A140" s="314"/>
      <c r="B140" s="315"/>
      <c r="C140" s="316"/>
      <c r="D140" s="317"/>
      <c r="E140" s="316">
        <v>157.92410100000001</v>
      </c>
      <c r="F140" s="8">
        <v>9</v>
      </c>
      <c r="G140" s="21">
        <f t="shared" si="69"/>
        <v>158.13773161732922</v>
      </c>
      <c r="H140" s="37" t="str">
        <f t="shared" si="56"/>
        <v>1;1217X0005</v>
      </c>
      <c r="I140" s="38">
        <v>2</v>
      </c>
      <c r="J140" s="128">
        <f t="shared" si="70"/>
        <v>1.0981786917870084</v>
      </c>
      <c r="K140" s="39" t="str">
        <f>INDEX(powers!$H$2:$H$75,33+I140)</f>
        <v>gross</v>
      </c>
      <c r="L140" s="40" t="str">
        <f t="shared" si="71"/>
        <v>1</v>
      </c>
      <c r="M140" s="24">
        <f t="shared" si="57"/>
        <v>1.1781443014441013</v>
      </c>
      <c r="N140" s="41" t="str">
        <f t="shared" si="72"/>
        <v>1</v>
      </c>
      <c r="O140" s="24">
        <f t="shared" si="58"/>
        <v>2.1377316173292158</v>
      </c>
      <c r="P140" s="41" t="str">
        <f t="shared" si="73"/>
        <v>2</v>
      </c>
      <c r="Q140" s="24">
        <f t="shared" si="59"/>
        <v>1.6527794079505895</v>
      </c>
      <c r="R140" s="41" t="str">
        <f t="shared" si="74"/>
        <v>1</v>
      </c>
      <c r="S140" s="24">
        <f t="shared" si="60"/>
        <v>7.8333528954070744</v>
      </c>
      <c r="T140" s="41" t="str">
        <f t="shared" si="75"/>
        <v>7</v>
      </c>
      <c r="U140" s="24">
        <f t="shared" si="61"/>
        <v>10.000234744884892</v>
      </c>
      <c r="V140" s="41" t="str">
        <f t="shared" si="76"/>
        <v>X</v>
      </c>
      <c r="W140" s="24">
        <f t="shared" si="62"/>
        <v>2.8169386187073542E-3</v>
      </c>
      <c r="X140" s="41" t="str">
        <f t="shared" si="77"/>
        <v>0</v>
      </c>
      <c r="Y140" s="24">
        <f t="shared" si="63"/>
        <v>3.380326342448825E-2</v>
      </c>
      <c r="Z140" s="41" t="str">
        <f t="shared" si="78"/>
        <v>0</v>
      </c>
      <c r="AA140" s="24">
        <f t="shared" si="64"/>
        <v>0.405639161093859</v>
      </c>
      <c r="AB140" s="41" t="str">
        <f t="shared" si="79"/>
        <v>0</v>
      </c>
      <c r="AC140" s="24">
        <f t="shared" si="65"/>
        <v>4.867669933126308</v>
      </c>
      <c r="AD140" s="41" t="str">
        <f t="shared" si="80"/>
        <v>5</v>
      </c>
      <c r="AE140" s="24">
        <f t="shared" si="66"/>
        <v>10.412039197515696</v>
      </c>
      <c r="AF140" s="41" t="str">
        <f t="shared" si="81"/>
        <v/>
      </c>
      <c r="AG140" s="24">
        <f t="shared" si="67"/>
        <v>4.9444703701883554</v>
      </c>
      <c r="AH140" s="41" t="str">
        <f t="shared" si="82"/>
        <v/>
      </c>
      <c r="AI140" s="24">
        <f t="shared" si="68"/>
        <v>11.333644442260265</v>
      </c>
      <c r="AJ140" s="41" t="str">
        <f t="shared" si="83"/>
        <v/>
      </c>
    </row>
    <row r="141" spans="1:36" x14ac:dyDescent="0.2">
      <c r="A141" s="314" t="s">
        <v>896</v>
      </c>
      <c r="B141" s="315">
        <v>65</v>
      </c>
      <c r="C141" s="316" t="s">
        <v>895</v>
      </c>
      <c r="D141" s="317">
        <v>158.92535000000001</v>
      </c>
      <c r="E141" s="316"/>
      <c r="F141" s="8">
        <v>8</v>
      </c>
      <c r="G141" s="21">
        <f t="shared" si="69"/>
        <v>159.1403350492406</v>
      </c>
      <c r="H141" s="37" t="str">
        <f t="shared" si="56"/>
        <v>1;131825EX</v>
      </c>
      <c r="I141" s="38">
        <v>2</v>
      </c>
      <c r="J141" s="128">
        <f t="shared" si="70"/>
        <v>1.1051412156197264</v>
      </c>
      <c r="K141" s="39" t="str">
        <f>INDEX(powers!$H$2:$H$75,33+I141)</f>
        <v>gross</v>
      </c>
      <c r="L141" s="40" t="str">
        <f t="shared" si="71"/>
        <v>1</v>
      </c>
      <c r="M141" s="24">
        <f t="shared" si="57"/>
        <v>1.2616945874367174</v>
      </c>
      <c r="N141" s="41" t="str">
        <f t="shared" si="72"/>
        <v>1</v>
      </c>
      <c r="O141" s="24">
        <f t="shared" si="58"/>
        <v>3.1403350492406084</v>
      </c>
      <c r="P141" s="41" t="str">
        <f t="shared" si="73"/>
        <v>3</v>
      </c>
      <c r="Q141" s="24">
        <f t="shared" si="59"/>
        <v>1.6840205908873003</v>
      </c>
      <c r="R141" s="41" t="str">
        <f t="shared" si="74"/>
        <v>1</v>
      </c>
      <c r="S141" s="24">
        <f t="shared" si="60"/>
        <v>8.2082470906476033</v>
      </c>
      <c r="T141" s="41" t="str">
        <f t="shared" si="75"/>
        <v>8</v>
      </c>
      <c r="U141" s="24">
        <f t="shared" si="61"/>
        <v>2.4989650877712393</v>
      </c>
      <c r="V141" s="41" t="str">
        <f t="shared" si="76"/>
        <v>2</v>
      </c>
      <c r="W141" s="24">
        <f t="shared" si="62"/>
        <v>5.9875810532548712</v>
      </c>
      <c r="X141" s="41" t="str">
        <f t="shared" si="77"/>
        <v>5</v>
      </c>
      <c r="Y141" s="24">
        <f t="shared" si="63"/>
        <v>11.850972639058455</v>
      </c>
      <c r="Z141" s="41" t="str">
        <f t="shared" si="78"/>
        <v>E</v>
      </c>
      <c r="AA141" s="24">
        <f t="shared" si="64"/>
        <v>10.211671668701456</v>
      </c>
      <c r="AB141" s="41" t="str">
        <f t="shared" si="79"/>
        <v>X</v>
      </c>
      <c r="AC141" s="24">
        <f t="shared" si="65"/>
        <v>2.5400600244174711</v>
      </c>
      <c r="AD141" s="41" t="str">
        <f t="shared" si="80"/>
        <v/>
      </c>
      <c r="AE141" s="24">
        <f t="shared" si="66"/>
        <v>6.4807202930096537</v>
      </c>
      <c r="AF141" s="41" t="str">
        <f t="shared" si="81"/>
        <v/>
      </c>
      <c r="AG141" s="24">
        <f t="shared" si="67"/>
        <v>5.7686435161158442</v>
      </c>
      <c r="AH141" s="41" t="str">
        <f t="shared" si="82"/>
        <v/>
      </c>
      <c r="AI141" s="24">
        <f t="shared" si="68"/>
        <v>9.223722193390131</v>
      </c>
      <c r="AJ141" s="41" t="str">
        <f t="shared" si="83"/>
        <v/>
      </c>
    </row>
    <row r="142" spans="1:36" x14ac:dyDescent="0.2">
      <c r="A142" s="314"/>
      <c r="B142" s="315"/>
      <c r="C142" s="316"/>
      <c r="D142" s="317"/>
      <c r="E142" s="316">
        <v>158.92534000000001</v>
      </c>
      <c r="F142" s="8">
        <v>8</v>
      </c>
      <c r="G142" s="21">
        <f t="shared" si="69"/>
        <v>159.14032503571318</v>
      </c>
      <c r="H142" s="37" t="str">
        <f t="shared" si="56"/>
        <v>1;13182594</v>
      </c>
      <c r="I142" s="38">
        <v>2</v>
      </c>
      <c r="J142" s="128">
        <f t="shared" si="70"/>
        <v>1.1051411460813414</v>
      </c>
      <c r="K142" s="39" t="str">
        <f>INDEX(powers!$H$2:$H$75,33+I142)</f>
        <v>gross</v>
      </c>
      <c r="L142" s="40" t="str">
        <f t="shared" si="71"/>
        <v>1</v>
      </c>
      <c r="M142" s="24">
        <f t="shared" si="57"/>
        <v>1.2616937529760968</v>
      </c>
      <c r="N142" s="41" t="str">
        <f t="shared" si="72"/>
        <v>1</v>
      </c>
      <c r="O142" s="24">
        <f t="shared" si="58"/>
        <v>3.1403250357131611</v>
      </c>
      <c r="P142" s="41" t="str">
        <f t="shared" si="73"/>
        <v>3</v>
      </c>
      <c r="Q142" s="24">
        <f t="shared" si="59"/>
        <v>1.6839004285579335</v>
      </c>
      <c r="R142" s="41" t="str">
        <f t="shared" si="74"/>
        <v>1</v>
      </c>
      <c r="S142" s="24">
        <f t="shared" si="60"/>
        <v>8.2068051426952024</v>
      </c>
      <c r="T142" s="41" t="str">
        <f t="shared" si="75"/>
        <v>8</v>
      </c>
      <c r="U142" s="24">
        <f t="shared" si="61"/>
        <v>2.4816617123424294</v>
      </c>
      <c r="V142" s="41" t="str">
        <f t="shared" si="76"/>
        <v>2</v>
      </c>
      <c r="W142" s="24">
        <f t="shared" si="62"/>
        <v>5.7799405481091526</v>
      </c>
      <c r="X142" s="41" t="str">
        <f t="shared" si="77"/>
        <v>5</v>
      </c>
      <c r="Y142" s="24">
        <f t="shared" si="63"/>
        <v>9.359286577309831</v>
      </c>
      <c r="Z142" s="41" t="str">
        <f t="shared" si="78"/>
        <v>9</v>
      </c>
      <c r="AA142" s="24">
        <f t="shared" si="64"/>
        <v>4.3114389277179725</v>
      </c>
      <c r="AB142" s="41" t="str">
        <f t="shared" si="79"/>
        <v>4</v>
      </c>
      <c r="AC142" s="24">
        <f t="shared" si="65"/>
        <v>3.7372671326156706</v>
      </c>
      <c r="AD142" s="41" t="str">
        <f t="shared" si="80"/>
        <v/>
      </c>
      <c r="AE142" s="24">
        <f t="shared" si="66"/>
        <v>8.8472055913880467</v>
      </c>
      <c r="AF142" s="41" t="str">
        <f t="shared" si="81"/>
        <v/>
      </c>
      <c r="AG142" s="24">
        <f t="shared" si="67"/>
        <v>10.166467096656561</v>
      </c>
      <c r="AH142" s="41" t="str">
        <f t="shared" si="82"/>
        <v/>
      </c>
      <c r="AI142" s="24">
        <f t="shared" si="68"/>
        <v>1.9976051598787308</v>
      </c>
      <c r="AJ142" s="41" t="str">
        <f t="shared" si="83"/>
        <v/>
      </c>
    </row>
    <row r="143" spans="1:36" x14ac:dyDescent="0.2">
      <c r="A143" s="314" t="s">
        <v>898</v>
      </c>
      <c r="B143" s="315">
        <v>66</v>
      </c>
      <c r="C143" s="316" t="s">
        <v>897</v>
      </c>
      <c r="D143" s="317">
        <v>162.5</v>
      </c>
      <c r="E143" s="316"/>
      <c r="F143" s="8">
        <v>4</v>
      </c>
      <c r="G143" s="21">
        <f t="shared" si="69"/>
        <v>162.71982062963269</v>
      </c>
      <c r="H143" s="37" t="str">
        <f t="shared" si="56"/>
        <v>1;1688</v>
      </c>
      <c r="I143" s="38">
        <v>2</v>
      </c>
      <c r="J143" s="128">
        <f t="shared" si="70"/>
        <v>1.1299987543724492</v>
      </c>
      <c r="K143" s="39" t="str">
        <f>INDEX(powers!$H$2:$H$75,33+I143)</f>
        <v>gross</v>
      </c>
      <c r="L143" s="40" t="str">
        <f t="shared" si="71"/>
        <v>1</v>
      </c>
      <c r="M143" s="24">
        <f t="shared" si="57"/>
        <v>1.5599850524693908</v>
      </c>
      <c r="N143" s="41" t="str">
        <f t="shared" si="72"/>
        <v>1</v>
      </c>
      <c r="O143" s="24">
        <f t="shared" si="58"/>
        <v>6.7198206296326894</v>
      </c>
      <c r="P143" s="41" t="str">
        <f t="shared" si="73"/>
        <v>6</v>
      </c>
      <c r="Q143" s="24">
        <f t="shared" si="59"/>
        <v>8.6378475555922734</v>
      </c>
      <c r="R143" s="41" t="str">
        <f t="shared" si="74"/>
        <v>8</v>
      </c>
      <c r="S143" s="24">
        <f t="shared" si="60"/>
        <v>7.6541706671072802</v>
      </c>
      <c r="T143" s="41" t="str">
        <f t="shared" si="75"/>
        <v>8</v>
      </c>
      <c r="U143" s="24">
        <f t="shared" si="61"/>
        <v>7.8500480052873627</v>
      </c>
      <c r="V143" s="41" t="str">
        <f t="shared" si="76"/>
        <v/>
      </c>
      <c r="W143" s="24">
        <f t="shared" si="62"/>
        <v>10.200576063448352</v>
      </c>
      <c r="X143" s="41" t="str">
        <f t="shared" si="77"/>
        <v/>
      </c>
      <c r="Y143" s="24">
        <f t="shared" si="63"/>
        <v>2.4069127613802266</v>
      </c>
      <c r="Z143" s="41" t="str">
        <f t="shared" si="78"/>
        <v/>
      </c>
      <c r="AA143" s="24">
        <f t="shared" si="64"/>
        <v>4.882953136562719</v>
      </c>
      <c r="AB143" s="41" t="str">
        <f t="shared" si="79"/>
        <v/>
      </c>
      <c r="AC143" s="24">
        <f t="shared" si="65"/>
        <v>10.595437638752628</v>
      </c>
      <c r="AD143" s="41" t="str">
        <f t="shared" si="80"/>
        <v/>
      </c>
      <c r="AE143" s="24">
        <f t="shared" si="66"/>
        <v>7.1452516650315374</v>
      </c>
      <c r="AF143" s="41" t="str">
        <f t="shared" si="81"/>
        <v/>
      </c>
      <c r="AG143" s="24">
        <f t="shared" si="67"/>
        <v>1.743019980378449</v>
      </c>
      <c r="AH143" s="41" t="str">
        <f t="shared" si="82"/>
        <v/>
      </c>
      <c r="AI143" s="24">
        <f t="shared" si="68"/>
        <v>8.9162397645413876</v>
      </c>
      <c r="AJ143" s="41" t="str">
        <f t="shared" si="83"/>
        <v/>
      </c>
    </row>
    <row r="144" spans="1:36" x14ac:dyDescent="0.2">
      <c r="A144" s="314"/>
      <c r="B144" s="315"/>
      <c r="C144" s="316"/>
      <c r="D144" s="317"/>
      <c r="E144" s="316">
        <v>163.929171</v>
      </c>
      <c r="F144" s="8">
        <v>9</v>
      </c>
      <c r="G144" s="21">
        <f t="shared" si="69"/>
        <v>164.15092492975006</v>
      </c>
      <c r="H144" s="37" t="str">
        <f t="shared" si="56"/>
        <v>1;1819896E5</v>
      </c>
      <c r="I144" s="38">
        <v>2</v>
      </c>
      <c r="J144" s="128">
        <f t="shared" si="70"/>
        <v>1.1399369786788198</v>
      </c>
      <c r="K144" s="39" t="str">
        <f>INDEX(powers!$H$2:$H$75,33+I144)</f>
        <v>gross</v>
      </c>
      <c r="L144" s="40" t="str">
        <f t="shared" si="71"/>
        <v>1</v>
      </c>
      <c r="M144" s="24">
        <f t="shared" si="57"/>
        <v>1.6792437441458379</v>
      </c>
      <c r="N144" s="41" t="str">
        <f t="shared" si="72"/>
        <v>1</v>
      </c>
      <c r="O144" s="24">
        <f t="shared" si="58"/>
        <v>8.1509249297500546</v>
      </c>
      <c r="P144" s="41" t="str">
        <f t="shared" si="73"/>
        <v>8</v>
      </c>
      <c r="Q144" s="24">
        <f t="shared" si="59"/>
        <v>1.8110991570006547</v>
      </c>
      <c r="R144" s="41" t="str">
        <f t="shared" si="74"/>
        <v>1</v>
      </c>
      <c r="S144" s="24">
        <f t="shared" si="60"/>
        <v>9.7331898840078566</v>
      </c>
      <c r="T144" s="41" t="str">
        <f t="shared" si="75"/>
        <v>9</v>
      </c>
      <c r="U144" s="24">
        <f t="shared" si="61"/>
        <v>8.7982786080942788</v>
      </c>
      <c r="V144" s="41" t="str">
        <f t="shared" si="76"/>
        <v>8</v>
      </c>
      <c r="W144" s="24">
        <f t="shared" si="62"/>
        <v>9.579343297131345</v>
      </c>
      <c r="X144" s="41" t="str">
        <f t="shared" si="77"/>
        <v>9</v>
      </c>
      <c r="Y144" s="24">
        <f t="shared" si="63"/>
        <v>6.9521195655761403</v>
      </c>
      <c r="Z144" s="41" t="str">
        <f t="shared" si="78"/>
        <v>6</v>
      </c>
      <c r="AA144" s="24">
        <f t="shared" si="64"/>
        <v>11.425434786913684</v>
      </c>
      <c r="AB144" s="41" t="str">
        <f t="shared" si="79"/>
        <v>E</v>
      </c>
      <c r="AC144" s="24">
        <f t="shared" si="65"/>
        <v>5.1052174429642037</v>
      </c>
      <c r="AD144" s="41" t="str">
        <f t="shared" si="80"/>
        <v>5</v>
      </c>
      <c r="AE144" s="24">
        <f t="shared" si="66"/>
        <v>1.2626093155704439</v>
      </c>
      <c r="AF144" s="41" t="str">
        <f t="shared" si="81"/>
        <v/>
      </c>
      <c r="AG144" s="24">
        <f t="shared" si="67"/>
        <v>3.1513117868453264</v>
      </c>
      <c r="AH144" s="41" t="str">
        <f t="shared" si="82"/>
        <v/>
      </c>
      <c r="AI144" s="24">
        <f t="shared" si="68"/>
        <v>1.8157414421439171</v>
      </c>
      <c r="AJ144" s="41" t="str">
        <f t="shared" si="83"/>
        <v/>
      </c>
    </row>
    <row r="145" spans="1:36" x14ac:dyDescent="0.2">
      <c r="A145" s="314" t="s">
        <v>900</v>
      </c>
      <c r="B145" s="315">
        <v>67</v>
      </c>
      <c r="C145" s="316" t="s">
        <v>899</v>
      </c>
      <c r="D145" s="317">
        <v>164.93031999999999</v>
      </c>
      <c r="E145" s="316"/>
      <c r="F145" s="8">
        <v>8</v>
      </c>
      <c r="G145" s="21">
        <f t="shared" si="69"/>
        <v>165.15342822638721</v>
      </c>
      <c r="H145" s="37" t="str">
        <f t="shared" si="56"/>
        <v>1;191X115X</v>
      </c>
      <c r="I145" s="38">
        <v>2</v>
      </c>
      <c r="J145" s="128">
        <f t="shared" si="70"/>
        <v>1.1468988071276889</v>
      </c>
      <c r="K145" s="39" t="str">
        <f>INDEX(powers!$H$2:$H$75,33+I145)</f>
        <v>gross</v>
      </c>
      <c r="L145" s="40" t="str">
        <f t="shared" si="71"/>
        <v>1</v>
      </c>
      <c r="M145" s="24">
        <f t="shared" si="57"/>
        <v>1.7627856855322666</v>
      </c>
      <c r="N145" s="41" t="str">
        <f t="shared" si="72"/>
        <v>1</v>
      </c>
      <c r="O145" s="24">
        <f t="shared" si="58"/>
        <v>9.1534282263871987</v>
      </c>
      <c r="P145" s="41" t="str">
        <f t="shared" si="73"/>
        <v>9</v>
      </c>
      <c r="Q145" s="24">
        <f t="shared" si="59"/>
        <v>1.841138716646384</v>
      </c>
      <c r="R145" s="41" t="str">
        <f t="shared" si="74"/>
        <v>1</v>
      </c>
      <c r="S145" s="24">
        <f t="shared" si="60"/>
        <v>10.093664599756607</v>
      </c>
      <c r="T145" s="41" t="str">
        <f t="shared" si="75"/>
        <v>X</v>
      </c>
      <c r="U145" s="24">
        <f t="shared" si="61"/>
        <v>1.1239751970792895</v>
      </c>
      <c r="V145" s="41" t="str">
        <f t="shared" si="76"/>
        <v>1</v>
      </c>
      <c r="W145" s="24">
        <f t="shared" si="62"/>
        <v>1.487702364951474</v>
      </c>
      <c r="X145" s="41" t="str">
        <f t="shared" si="77"/>
        <v>1</v>
      </c>
      <c r="Y145" s="24">
        <f t="shared" si="63"/>
        <v>5.8524283794176881</v>
      </c>
      <c r="Z145" s="41" t="str">
        <f t="shared" si="78"/>
        <v>5</v>
      </c>
      <c r="AA145" s="24">
        <f t="shared" si="64"/>
        <v>10.229140553012257</v>
      </c>
      <c r="AB145" s="41" t="str">
        <f t="shared" si="79"/>
        <v>X</v>
      </c>
      <c r="AC145" s="24">
        <f t="shared" si="65"/>
        <v>2.7496866361470893</v>
      </c>
      <c r="AD145" s="41" t="str">
        <f t="shared" si="80"/>
        <v/>
      </c>
      <c r="AE145" s="24">
        <f t="shared" si="66"/>
        <v>8.9962396337650716</v>
      </c>
      <c r="AF145" s="41" t="str">
        <f t="shared" si="81"/>
        <v/>
      </c>
      <c r="AG145" s="24">
        <f t="shared" si="67"/>
        <v>11.95487560518086</v>
      </c>
      <c r="AH145" s="41" t="str">
        <f t="shared" si="82"/>
        <v/>
      </c>
      <c r="AI145" s="24">
        <f t="shared" si="68"/>
        <v>11.458507262170315</v>
      </c>
      <c r="AJ145" s="41" t="str">
        <f t="shared" si="83"/>
        <v/>
      </c>
    </row>
    <row r="146" spans="1:36" x14ac:dyDescent="0.2">
      <c r="A146" s="314"/>
      <c r="B146" s="315"/>
      <c r="C146" s="316"/>
      <c r="D146" s="317"/>
      <c r="E146" s="316">
        <v>164.93031999999999</v>
      </c>
      <c r="F146" s="8">
        <v>8</v>
      </c>
      <c r="G146" s="21">
        <f t="shared" si="69"/>
        <v>165.15342822638721</v>
      </c>
      <c r="H146" s="37" t="str">
        <f t="shared" si="56"/>
        <v>1;191X115X</v>
      </c>
      <c r="I146" s="38">
        <v>2</v>
      </c>
      <c r="J146" s="128">
        <f t="shared" si="70"/>
        <v>1.1468988071276889</v>
      </c>
      <c r="K146" s="39" t="str">
        <f>INDEX(powers!$H$2:$H$75,33+I146)</f>
        <v>gross</v>
      </c>
      <c r="L146" s="40" t="str">
        <f t="shared" si="71"/>
        <v>1</v>
      </c>
      <c r="M146" s="24">
        <f t="shared" si="57"/>
        <v>1.7627856855322666</v>
      </c>
      <c r="N146" s="41" t="str">
        <f t="shared" si="72"/>
        <v>1</v>
      </c>
      <c r="O146" s="24">
        <f t="shared" si="58"/>
        <v>9.1534282263871987</v>
      </c>
      <c r="P146" s="41" t="str">
        <f t="shared" si="73"/>
        <v>9</v>
      </c>
      <c r="Q146" s="24">
        <f t="shared" si="59"/>
        <v>1.841138716646384</v>
      </c>
      <c r="R146" s="41" t="str">
        <f t="shared" si="74"/>
        <v>1</v>
      </c>
      <c r="S146" s="24">
        <f t="shared" si="60"/>
        <v>10.093664599756607</v>
      </c>
      <c r="T146" s="41" t="str">
        <f t="shared" si="75"/>
        <v>X</v>
      </c>
      <c r="U146" s="24">
        <f t="shared" si="61"/>
        <v>1.1239751970792895</v>
      </c>
      <c r="V146" s="41" t="str">
        <f t="shared" si="76"/>
        <v>1</v>
      </c>
      <c r="W146" s="24">
        <f t="shared" si="62"/>
        <v>1.487702364951474</v>
      </c>
      <c r="X146" s="41" t="str">
        <f t="shared" si="77"/>
        <v>1</v>
      </c>
      <c r="Y146" s="24">
        <f t="shared" si="63"/>
        <v>5.8524283794176881</v>
      </c>
      <c r="Z146" s="41" t="str">
        <f t="shared" si="78"/>
        <v>5</v>
      </c>
      <c r="AA146" s="24">
        <f t="shared" si="64"/>
        <v>10.229140553012257</v>
      </c>
      <c r="AB146" s="41" t="str">
        <f t="shared" si="79"/>
        <v>X</v>
      </c>
      <c r="AC146" s="24">
        <f t="shared" si="65"/>
        <v>2.7496866361470893</v>
      </c>
      <c r="AD146" s="41" t="str">
        <f t="shared" si="80"/>
        <v/>
      </c>
      <c r="AE146" s="24">
        <f t="shared" si="66"/>
        <v>8.9962396337650716</v>
      </c>
      <c r="AF146" s="41" t="str">
        <f t="shared" si="81"/>
        <v/>
      </c>
      <c r="AG146" s="24">
        <f t="shared" si="67"/>
        <v>11.95487560518086</v>
      </c>
      <c r="AH146" s="41" t="str">
        <f t="shared" si="82"/>
        <v/>
      </c>
      <c r="AI146" s="24">
        <f t="shared" si="68"/>
        <v>11.458507262170315</v>
      </c>
      <c r="AJ146" s="41" t="str">
        <f t="shared" si="83"/>
        <v/>
      </c>
    </row>
    <row r="147" spans="1:36" x14ac:dyDescent="0.2">
      <c r="A147" s="314" t="s">
        <v>902</v>
      </c>
      <c r="B147" s="315">
        <v>68</v>
      </c>
      <c r="C147" s="316" t="s">
        <v>901</v>
      </c>
      <c r="D147" s="317">
        <v>167.25899999999999</v>
      </c>
      <c r="E147" s="316"/>
      <c r="F147" s="8">
        <v>6</v>
      </c>
      <c r="G147" s="21">
        <f t="shared" si="69"/>
        <v>167.48525833041066</v>
      </c>
      <c r="H147" s="37" t="str">
        <f t="shared" si="56"/>
        <v>1;1E59X6</v>
      </c>
      <c r="I147" s="38">
        <v>2</v>
      </c>
      <c r="J147" s="128">
        <f t="shared" si="70"/>
        <v>1.163092071738963</v>
      </c>
      <c r="K147" s="39" t="str">
        <f>INDEX(powers!$H$2:$H$75,33+I147)</f>
        <v>gross</v>
      </c>
      <c r="L147" s="40" t="str">
        <f t="shared" si="71"/>
        <v>1</v>
      </c>
      <c r="M147" s="24">
        <f t="shared" si="57"/>
        <v>1.9571048608675561</v>
      </c>
      <c r="N147" s="41" t="str">
        <f t="shared" si="72"/>
        <v>1</v>
      </c>
      <c r="O147" s="24">
        <f t="shared" si="58"/>
        <v>11.485258330410673</v>
      </c>
      <c r="P147" s="41" t="str">
        <f t="shared" si="73"/>
        <v>E</v>
      </c>
      <c r="Q147" s="24">
        <f t="shared" si="59"/>
        <v>5.8230999649280761</v>
      </c>
      <c r="R147" s="41" t="str">
        <f t="shared" si="74"/>
        <v>5</v>
      </c>
      <c r="S147" s="24">
        <f t="shared" si="60"/>
        <v>9.8771995791369136</v>
      </c>
      <c r="T147" s="41" t="str">
        <f t="shared" si="75"/>
        <v>9</v>
      </c>
      <c r="U147" s="24">
        <f t="shared" si="61"/>
        <v>10.526394949642963</v>
      </c>
      <c r="V147" s="41" t="str">
        <f t="shared" si="76"/>
        <v>X</v>
      </c>
      <c r="W147" s="24">
        <f t="shared" si="62"/>
        <v>6.3167393957155582</v>
      </c>
      <c r="X147" s="41" t="str">
        <f t="shared" si="77"/>
        <v>6</v>
      </c>
      <c r="Y147" s="24">
        <f t="shared" si="63"/>
        <v>3.8008727485866984</v>
      </c>
      <c r="Z147" s="41" t="str">
        <f t="shared" si="78"/>
        <v/>
      </c>
      <c r="AA147" s="24">
        <f t="shared" si="64"/>
        <v>9.6104729830403812</v>
      </c>
      <c r="AB147" s="41" t="str">
        <f t="shared" si="79"/>
        <v/>
      </c>
      <c r="AC147" s="24">
        <f t="shared" si="65"/>
        <v>7.3256757964845747</v>
      </c>
      <c r="AD147" s="41" t="str">
        <f t="shared" si="80"/>
        <v/>
      </c>
      <c r="AE147" s="24">
        <f t="shared" si="66"/>
        <v>3.9081095578148961</v>
      </c>
      <c r="AF147" s="41" t="str">
        <f t="shared" si="81"/>
        <v/>
      </c>
      <c r="AG147" s="24">
        <f t="shared" si="67"/>
        <v>10.897314693778753</v>
      </c>
      <c r="AH147" s="41" t="str">
        <f t="shared" si="82"/>
        <v/>
      </c>
      <c r="AI147" s="24">
        <f t="shared" si="68"/>
        <v>10.767776325345039</v>
      </c>
      <c r="AJ147" s="41" t="str">
        <f t="shared" si="83"/>
        <v/>
      </c>
    </row>
    <row r="148" spans="1:36" x14ac:dyDescent="0.2">
      <c r="A148" s="314"/>
      <c r="B148" s="315"/>
      <c r="C148" s="316"/>
      <c r="D148" s="317"/>
      <c r="E148" s="316">
        <v>165.93029000000001</v>
      </c>
      <c r="F148" s="8">
        <v>8</v>
      </c>
      <c r="G148" s="21">
        <f t="shared" si="69"/>
        <v>166.15475092814117</v>
      </c>
      <c r="H148" s="37" t="str">
        <f t="shared" si="56"/>
        <v>1;1X1X34X</v>
      </c>
      <c r="I148" s="38">
        <v>2</v>
      </c>
      <c r="J148" s="128">
        <f t="shared" si="70"/>
        <v>1.1538524370009804</v>
      </c>
      <c r="K148" s="39" t="str">
        <f>INDEX(powers!$H$2:$H$75,33+I148)</f>
        <v>gross</v>
      </c>
      <c r="L148" s="40" t="str">
        <f t="shared" si="71"/>
        <v>1</v>
      </c>
      <c r="M148" s="24">
        <f t="shared" si="57"/>
        <v>1.8462292440117647</v>
      </c>
      <c r="N148" s="41" t="str">
        <f t="shared" si="72"/>
        <v>1</v>
      </c>
      <c r="O148" s="24">
        <f t="shared" si="58"/>
        <v>10.154750928141176</v>
      </c>
      <c r="P148" s="41" t="str">
        <f t="shared" si="73"/>
        <v>X</v>
      </c>
      <c r="Q148" s="24">
        <f t="shared" si="59"/>
        <v>1.8570111376941156</v>
      </c>
      <c r="R148" s="41" t="str">
        <f t="shared" si="74"/>
        <v>1</v>
      </c>
      <c r="S148" s="24">
        <f t="shared" si="60"/>
        <v>10.284133652329388</v>
      </c>
      <c r="T148" s="41" t="str">
        <f t="shared" si="75"/>
        <v>X</v>
      </c>
      <c r="U148" s="24">
        <f t="shared" si="61"/>
        <v>3.409603827952651</v>
      </c>
      <c r="V148" s="41" t="str">
        <f t="shared" si="76"/>
        <v>3</v>
      </c>
      <c r="W148" s="24">
        <f t="shared" si="62"/>
        <v>4.9152459354318125</v>
      </c>
      <c r="X148" s="41" t="str">
        <f t="shared" si="77"/>
        <v>4</v>
      </c>
      <c r="Y148" s="24">
        <f t="shared" si="63"/>
        <v>10.98295122518175</v>
      </c>
      <c r="Z148" s="41" t="str">
        <f t="shared" si="78"/>
        <v>X</v>
      </c>
      <c r="AA148" s="24">
        <f t="shared" si="64"/>
        <v>11.795414702181006</v>
      </c>
      <c r="AB148" s="41" t="str">
        <f t="shared" si="79"/>
        <v/>
      </c>
      <c r="AC148" s="24">
        <f t="shared" si="65"/>
        <v>9.5449764261720702</v>
      </c>
      <c r="AD148" s="41" t="str">
        <f t="shared" si="80"/>
        <v/>
      </c>
      <c r="AE148" s="24">
        <f t="shared" si="66"/>
        <v>6.5397171140648425</v>
      </c>
      <c r="AF148" s="41" t="str">
        <f t="shared" si="81"/>
        <v/>
      </c>
      <c r="AG148" s="24">
        <f t="shared" si="67"/>
        <v>6.4766053687781096</v>
      </c>
      <c r="AH148" s="41" t="str">
        <f t="shared" si="82"/>
        <v/>
      </c>
      <c r="AI148" s="24">
        <f t="shared" si="68"/>
        <v>5.7192644253373146</v>
      </c>
      <c r="AJ148" s="41" t="str">
        <f t="shared" si="83"/>
        <v/>
      </c>
    </row>
    <row r="149" spans="1:36" x14ac:dyDescent="0.2">
      <c r="A149" s="314" t="s">
        <v>904</v>
      </c>
      <c r="B149" s="315">
        <v>69</v>
      </c>
      <c r="C149" s="316" t="s">
        <v>903</v>
      </c>
      <c r="D149" s="317">
        <v>168.93421000000001</v>
      </c>
      <c r="E149" s="316"/>
      <c r="F149" s="8">
        <v>8</v>
      </c>
      <c r="G149" s="21">
        <f t="shared" si="69"/>
        <v>169.16273445789972</v>
      </c>
      <c r="H149" s="37" t="str">
        <f t="shared" si="56"/>
        <v>1;211E5256</v>
      </c>
      <c r="I149" s="38">
        <v>2</v>
      </c>
      <c r="J149" s="128">
        <f t="shared" si="70"/>
        <v>1.1747412115131926</v>
      </c>
      <c r="K149" s="39" t="str">
        <f>INDEX(powers!$H$2:$H$75,33+I149)</f>
        <v>gross</v>
      </c>
      <c r="L149" s="40" t="str">
        <f t="shared" si="71"/>
        <v>1</v>
      </c>
      <c r="M149" s="24">
        <f t="shared" si="57"/>
        <v>2.0968945381583106</v>
      </c>
      <c r="N149" s="41" t="str">
        <f t="shared" si="72"/>
        <v>2</v>
      </c>
      <c r="O149" s="24">
        <f t="shared" si="58"/>
        <v>1.1627344578997274</v>
      </c>
      <c r="P149" s="41" t="str">
        <f t="shared" si="73"/>
        <v>1</v>
      </c>
      <c r="Q149" s="24">
        <f t="shared" si="59"/>
        <v>1.9528134947967288</v>
      </c>
      <c r="R149" s="41" t="str">
        <f t="shared" si="74"/>
        <v>1</v>
      </c>
      <c r="S149" s="24">
        <f t="shared" si="60"/>
        <v>11.433761937560746</v>
      </c>
      <c r="T149" s="41" t="str">
        <f t="shared" si="75"/>
        <v>E</v>
      </c>
      <c r="U149" s="24">
        <f t="shared" si="61"/>
        <v>5.2051432507289519</v>
      </c>
      <c r="V149" s="41" t="str">
        <f t="shared" si="76"/>
        <v>5</v>
      </c>
      <c r="W149" s="24">
        <f t="shared" si="62"/>
        <v>2.4617190087474228</v>
      </c>
      <c r="X149" s="41" t="str">
        <f t="shared" si="77"/>
        <v>2</v>
      </c>
      <c r="Y149" s="24">
        <f t="shared" si="63"/>
        <v>5.5406281049690733</v>
      </c>
      <c r="Z149" s="41" t="str">
        <f t="shared" si="78"/>
        <v>5</v>
      </c>
      <c r="AA149" s="24">
        <f t="shared" si="64"/>
        <v>6.4875372596288798</v>
      </c>
      <c r="AB149" s="41" t="str">
        <f t="shared" si="79"/>
        <v>6</v>
      </c>
      <c r="AC149" s="24">
        <f t="shared" si="65"/>
        <v>5.8504471155465581</v>
      </c>
      <c r="AD149" s="41" t="str">
        <f t="shared" si="80"/>
        <v/>
      </c>
      <c r="AE149" s="24">
        <f t="shared" si="66"/>
        <v>10.205365386558697</v>
      </c>
      <c r="AF149" s="41" t="str">
        <f t="shared" si="81"/>
        <v/>
      </c>
      <c r="AG149" s="24">
        <f t="shared" si="67"/>
        <v>2.4643846387043595</v>
      </c>
      <c r="AH149" s="41" t="str">
        <f t="shared" si="82"/>
        <v/>
      </c>
      <c r="AI149" s="24">
        <f t="shared" si="68"/>
        <v>5.5726156644523144</v>
      </c>
      <c r="AJ149" s="41" t="str">
        <f t="shared" si="83"/>
        <v/>
      </c>
    </row>
    <row r="150" spans="1:36" x14ac:dyDescent="0.2">
      <c r="A150" s="314"/>
      <c r="B150" s="315"/>
      <c r="C150" s="316"/>
      <c r="D150" s="317"/>
      <c r="E150" s="316">
        <v>168.93421000000001</v>
      </c>
      <c r="F150" s="8">
        <v>8</v>
      </c>
      <c r="G150" s="21">
        <f t="shared" si="69"/>
        <v>169.16273445789972</v>
      </c>
      <c r="H150" s="37" t="str">
        <f t="shared" si="56"/>
        <v>1;211E5256</v>
      </c>
      <c r="I150" s="38">
        <v>2</v>
      </c>
      <c r="J150" s="128">
        <f t="shared" si="70"/>
        <v>1.1747412115131926</v>
      </c>
      <c r="K150" s="39" t="str">
        <f>INDEX(powers!$H$2:$H$75,33+I150)</f>
        <v>gross</v>
      </c>
      <c r="L150" s="40" t="str">
        <f t="shared" si="71"/>
        <v>1</v>
      </c>
      <c r="M150" s="24">
        <f t="shared" si="57"/>
        <v>2.0968945381583106</v>
      </c>
      <c r="N150" s="41" t="str">
        <f t="shared" si="72"/>
        <v>2</v>
      </c>
      <c r="O150" s="24">
        <f t="shared" si="58"/>
        <v>1.1627344578997274</v>
      </c>
      <c r="P150" s="41" t="str">
        <f t="shared" si="73"/>
        <v>1</v>
      </c>
      <c r="Q150" s="24">
        <f t="shared" si="59"/>
        <v>1.9528134947967288</v>
      </c>
      <c r="R150" s="41" t="str">
        <f t="shared" si="74"/>
        <v>1</v>
      </c>
      <c r="S150" s="24">
        <f t="shared" si="60"/>
        <v>11.433761937560746</v>
      </c>
      <c r="T150" s="41" t="str">
        <f t="shared" si="75"/>
        <v>E</v>
      </c>
      <c r="U150" s="24">
        <f t="shared" si="61"/>
        <v>5.2051432507289519</v>
      </c>
      <c r="V150" s="41" t="str">
        <f t="shared" si="76"/>
        <v>5</v>
      </c>
      <c r="W150" s="24">
        <f t="shared" si="62"/>
        <v>2.4617190087474228</v>
      </c>
      <c r="X150" s="41" t="str">
        <f t="shared" si="77"/>
        <v>2</v>
      </c>
      <c r="Y150" s="24">
        <f t="shared" si="63"/>
        <v>5.5406281049690733</v>
      </c>
      <c r="Z150" s="41" t="str">
        <f t="shared" si="78"/>
        <v>5</v>
      </c>
      <c r="AA150" s="24">
        <f t="shared" si="64"/>
        <v>6.4875372596288798</v>
      </c>
      <c r="AB150" s="41" t="str">
        <f t="shared" si="79"/>
        <v>6</v>
      </c>
      <c r="AC150" s="24">
        <f t="shared" si="65"/>
        <v>5.8504471155465581</v>
      </c>
      <c r="AD150" s="41" t="str">
        <f t="shared" si="80"/>
        <v/>
      </c>
      <c r="AE150" s="24">
        <f t="shared" si="66"/>
        <v>10.205365386558697</v>
      </c>
      <c r="AF150" s="41" t="str">
        <f t="shared" si="81"/>
        <v/>
      </c>
      <c r="AG150" s="24">
        <f t="shared" si="67"/>
        <v>2.4643846387043595</v>
      </c>
      <c r="AH150" s="41" t="str">
        <f t="shared" si="82"/>
        <v/>
      </c>
      <c r="AI150" s="24">
        <f t="shared" si="68"/>
        <v>5.5726156644523144</v>
      </c>
      <c r="AJ150" s="41" t="str">
        <f t="shared" si="83"/>
        <v/>
      </c>
    </row>
    <row r="151" spans="1:36" x14ac:dyDescent="0.2">
      <c r="A151" s="314" t="s">
        <v>906</v>
      </c>
      <c r="B151" s="315">
        <v>70</v>
      </c>
      <c r="C151" s="316" t="s">
        <v>905</v>
      </c>
      <c r="D151" s="317">
        <v>173.054</v>
      </c>
      <c r="E151" s="316"/>
      <c r="F151" s="8">
        <v>6</v>
      </c>
      <c r="G151" s="21">
        <f t="shared" si="69"/>
        <v>173.28809747224895</v>
      </c>
      <c r="H151" s="37" t="str">
        <f t="shared" si="56"/>
        <v>1;25355X</v>
      </c>
      <c r="I151" s="38">
        <v>2</v>
      </c>
      <c r="J151" s="128">
        <f t="shared" si="70"/>
        <v>1.2033895657795066</v>
      </c>
      <c r="K151" s="39" t="str">
        <f>INDEX(powers!$H$2:$H$75,33+I151)</f>
        <v>gross</v>
      </c>
      <c r="L151" s="40" t="str">
        <f t="shared" si="71"/>
        <v>1</v>
      </c>
      <c r="M151" s="24">
        <f t="shared" si="57"/>
        <v>2.4406747893540794</v>
      </c>
      <c r="N151" s="41" t="str">
        <f t="shared" si="72"/>
        <v>2</v>
      </c>
      <c r="O151" s="24">
        <f t="shared" si="58"/>
        <v>5.2880974722489533</v>
      </c>
      <c r="P151" s="41" t="str">
        <f t="shared" si="73"/>
        <v>5</v>
      </c>
      <c r="Q151" s="24">
        <f t="shared" si="59"/>
        <v>3.4571696669874399</v>
      </c>
      <c r="R151" s="41" t="str">
        <f t="shared" si="74"/>
        <v>3</v>
      </c>
      <c r="S151" s="24">
        <f t="shared" si="60"/>
        <v>5.4860360038492786</v>
      </c>
      <c r="T151" s="41" t="str">
        <f t="shared" si="75"/>
        <v>5</v>
      </c>
      <c r="U151" s="24">
        <f t="shared" si="61"/>
        <v>5.832432046191343</v>
      </c>
      <c r="V151" s="41" t="str">
        <f t="shared" si="76"/>
        <v>5</v>
      </c>
      <c r="W151" s="24">
        <f t="shared" si="62"/>
        <v>9.9891845542961164</v>
      </c>
      <c r="X151" s="41" t="str">
        <f t="shared" si="77"/>
        <v>X</v>
      </c>
      <c r="Y151" s="24">
        <f t="shared" si="63"/>
        <v>11.870214651553397</v>
      </c>
      <c r="Z151" s="41" t="str">
        <f t="shared" si="78"/>
        <v/>
      </c>
      <c r="AA151" s="24">
        <f t="shared" si="64"/>
        <v>10.442575818640762</v>
      </c>
      <c r="AB151" s="41" t="str">
        <f t="shared" si="79"/>
        <v/>
      </c>
      <c r="AC151" s="24">
        <f t="shared" si="65"/>
        <v>5.3109098236891441</v>
      </c>
      <c r="AD151" s="41" t="str">
        <f t="shared" si="80"/>
        <v/>
      </c>
      <c r="AE151" s="24">
        <f t="shared" si="66"/>
        <v>3.7309178842697293</v>
      </c>
      <c r="AF151" s="41" t="str">
        <f t="shared" si="81"/>
        <v/>
      </c>
      <c r="AG151" s="24">
        <f t="shared" si="67"/>
        <v>8.7710146112367511</v>
      </c>
      <c r="AH151" s="41" t="str">
        <f t="shared" si="82"/>
        <v/>
      </c>
      <c r="AI151" s="24">
        <f t="shared" si="68"/>
        <v>9.252175334841013</v>
      </c>
      <c r="AJ151" s="41" t="str">
        <f t="shared" si="83"/>
        <v/>
      </c>
    </row>
    <row r="152" spans="1:36" x14ac:dyDescent="0.2">
      <c r="A152" s="314"/>
      <c r="B152" s="315"/>
      <c r="C152" s="316"/>
      <c r="D152" s="317"/>
      <c r="E152" s="316">
        <v>173.9388581</v>
      </c>
      <c r="F152" s="8">
        <v>10</v>
      </c>
      <c r="G152" s="21">
        <f t="shared" si="69"/>
        <v>174.17415255726237</v>
      </c>
      <c r="H152" s="37" t="str">
        <f t="shared" si="56"/>
        <v>1;26210E288</v>
      </c>
      <c r="I152" s="38">
        <v>2</v>
      </c>
      <c r="J152" s="128">
        <f t="shared" si="70"/>
        <v>1.2095427260920999</v>
      </c>
      <c r="K152" s="39" t="str">
        <f>INDEX(powers!$H$2:$H$75,33+I152)</f>
        <v>gross</v>
      </c>
      <c r="L152" s="40" t="str">
        <f t="shared" si="71"/>
        <v>1</v>
      </c>
      <c r="M152" s="24">
        <f t="shared" si="57"/>
        <v>2.5145127131051987</v>
      </c>
      <c r="N152" s="41" t="str">
        <f t="shared" si="72"/>
        <v>2</v>
      </c>
      <c r="O152" s="24">
        <f t="shared" si="58"/>
        <v>6.174152557262385</v>
      </c>
      <c r="P152" s="41" t="str">
        <f t="shared" si="73"/>
        <v>6</v>
      </c>
      <c r="Q152" s="24">
        <f t="shared" si="59"/>
        <v>2.0898306871486199</v>
      </c>
      <c r="R152" s="41" t="str">
        <f t="shared" si="74"/>
        <v>2</v>
      </c>
      <c r="S152" s="24">
        <f t="shared" si="60"/>
        <v>1.0779682457834383</v>
      </c>
      <c r="T152" s="41" t="str">
        <f t="shared" si="75"/>
        <v>1</v>
      </c>
      <c r="U152" s="24">
        <f t="shared" si="61"/>
        <v>0.93561894940125967</v>
      </c>
      <c r="V152" s="41" t="str">
        <f t="shared" si="76"/>
        <v>0</v>
      </c>
      <c r="W152" s="24">
        <f t="shared" si="62"/>
        <v>11.227427392815116</v>
      </c>
      <c r="X152" s="41" t="str">
        <f t="shared" si="77"/>
        <v>E</v>
      </c>
      <c r="Y152" s="24">
        <f t="shared" si="63"/>
        <v>2.7291287137813924</v>
      </c>
      <c r="Z152" s="41" t="str">
        <f t="shared" si="78"/>
        <v>2</v>
      </c>
      <c r="AA152" s="24">
        <f t="shared" si="64"/>
        <v>8.7495445653767092</v>
      </c>
      <c r="AB152" s="41" t="str">
        <f t="shared" si="79"/>
        <v>8</v>
      </c>
      <c r="AC152" s="24">
        <f t="shared" si="65"/>
        <v>8.9945347845205106</v>
      </c>
      <c r="AD152" s="41" t="str">
        <f t="shared" si="80"/>
        <v>8</v>
      </c>
      <c r="AE152" s="24">
        <f t="shared" si="66"/>
        <v>11.934417414246127</v>
      </c>
      <c r="AF152" s="41" t="str">
        <f t="shared" si="81"/>
        <v/>
      </c>
      <c r="AG152" s="24">
        <f t="shared" si="67"/>
        <v>11.213008970953524</v>
      </c>
      <c r="AH152" s="41" t="str">
        <f t="shared" si="82"/>
        <v/>
      </c>
      <c r="AI152" s="24">
        <f t="shared" si="68"/>
        <v>2.5561076514422894</v>
      </c>
      <c r="AJ152" s="41" t="str">
        <f t="shared" si="83"/>
        <v/>
      </c>
    </row>
    <row r="153" spans="1:36" x14ac:dyDescent="0.2">
      <c r="A153" s="314" t="s">
        <v>908</v>
      </c>
      <c r="B153" s="315">
        <v>71</v>
      </c>
      <c r="C153" s="316" t="s">
        <v>907</v>
      </c>
      <c r="D153" s="317">
        <v>174.96680000000001</v>
      </c>
      <c r="E153" s="316"/>
      <c r="F153" s="8">
        <v>7</v>
      </c>
      <c r="G153" s="21">
        <f t="shared" si="69"/>
        <v>175.20348499778964</v>
      </c>
      <c r="H153" s="37" t="str">
        <f t="shared" si="56"/>
        <v>1;2725376</v>
      </c>
      <c r="I153" s="38">
        <v>2</v>
      </c>
      <c r="J153" s="128">
        <f t="shared" si="70"/>
        <v>1.2166908680402058</v>
      </c>
      <c r="K153" s="39" t="str">
        <f>INDEX(powers!$H$2:$H$75,33+I153)</f>
        <v>gross</v>
      </c>
      <c r="L153" s="40" t="str">
        <f t="shared" si="71"/>
        <v>1</v>
      </c>
      <c r="M153" s="24">
        <f t="shared" si="57"/>
        <v>2.6002904164824692</v>
      </c>
      <c r="N153" s="41" t="str">
        <f t="shared" si="72"/>
        <v>2</v>
      </c>
      <c r="O153" s="24">
        <f t="shared" si="58"/>
        <v>7.20348499778963</v>
      </c>
      <c r="P153" s="41" t="str">
        <f t="shared" si="73"/>
        <v>7</v>
      </c>
      <c r="Q153" s="24">
        <f t="shared" si="59"/>
        <v>2.4418199734755603</v>
      </c>
      <c r="R153" s="41" t="str">
        <f t="shared" si="74"/>
        <v>2</v>
      </c>
      <c r="S153" s="24">
        <f t="shared" si="60"/>
        <v>5.3018396817067241</v>
      </c>
      <c r="T153" s="41" t="str">
        <f t="shared" si="75"/>
        <v>5</v>
      </c>
      <c r="U153" s="24">
        <f t="shared" si="61"/>
        <v>3.6220761804806898</v>
      </c>
      <c r="V153" s="41" t="str">
        <f t="shared" si="76"/>
        <v>3</v>
      </c>
      <c r="W153" s="24">
        <f t="shared" si="62"/>
        <v>7.4649141657682776</v>
      </c>
      <c r="X153" s="41" t="str">
        <f t="shared" si="77"/>
        <v>7</v>
      </c>
      <c r="Y153" s="24">
        <f t="shared" si="63"/>
        <v>5.5789699892193312</v>
      </c>
      <c r="Z153" s="41" t="str">
        <f t="shared" si="78"/>
        <v>6</v>
      </c>
      <c r="AA153" s="24">
        <f t="shared" si="64"/>
        <v>6.9476398706319742</v>
      </c>
      <c r="AB153" s="41" t="str">
        <f t="shared" si="79"/>
        <v/>
      </c>
      <c r="AC153" s="24">
        <f t="shared" si="65"/>
        <v>11.37167844758369</v>
      </c>
      <c r="AD153" s="41" t="str">
        <f t="shared" si="80"/>
        <v/>
      </c>
      <c r="AE153" s="24">
        <f t="shared" si="66"/>
        <v>4.4601413710042834</v>
      </c>
      <c r="AF153" s="41" t="str">
        <f t="shared" si="81"/>
        <v/>
      </c>
      <c r="AG153" s="24">
        <f t="shared" si="67"/>
        <v>5.5216964520514011</v>
      </c>
      <c r="AH153" s="41" t="str">
        <f t="shared" si="82"/>
        <v/>
      </c>
      <c r="AI153" s="24">
        <f t="shared" si="68"/>
        <v>6.2603574246168137</v>
      </c>
      <c r="AJ153" s="41" t="str">
        <f t="shared" si="83"/>
        <v/>
      </c>
    </row>
    <row r="154" spans="1:36" x14ac:dyDescent="0.2">
      <c r="A154" s="314"/>
      <c r="B154" s="315"/>
      <c r="C154" s="316"/>
      <c r="D154" s="317"/>
      <c r="E154" s="316">
        <v>174.9407679</v>
      </c>
      <c r="F154" s="8">
        <v>10</v>
      </c>
      <c r="G154" s="21">
        <f t="shared" si="69"/>
        <v>175.17741768306587</v>
      </c>
      <c r="H154" s="37" t="str">
        <f t="shared" si="56"/>
        <v>1;272166E244</v>
      </c>
      <c r="I154" s="38">
        <v>2</v>
      </c>
      <c r="J154" s="128">
        <f t="shared" si="70"/>
        <v>1.2165098450212908</v>
      </c>
      <c r="K154" s="39" t="str">
        <f>INDEX(powers!$H$2:$H$75,33+I154)</f>
        <v>gross</v>
      </c>
      <c r="L154" s="40" t="str">
        <f t="shared" si="71"/>
        <v>1</v>
      </c>
      <c r="M154" s="24">
        <f t="shared" si="57"/>
        <v>2.5981181402554894</v>
      </c>
      <c r="N154" s="41" t="str">
        <f t="shared" si="72"/>
        <v>2</v>
      </c>
      <c r="O154" s="24">
        <f t="shared" si="58"/>
        <v>7.1774176830658725</v>
      </c>
      <c r="P154" s="41" t="str">
        <f t="shared" si="73"/>
        <v>7</v>
      </c>
      <c r="Q154" s="24">
        <f t="shared" si="59"/>
        <v>2.1290121967904696</v>
      </c>
      <c r="R154" s="41" t="str">
        <f t="shared" si="74"/>
        <v>2</v>
      </c>
      <c r="S154" s="24">
        <f t="shared" si="60"/>
        <v>1.5481463614856352</v>
      </c>
      <c r="T154" s="41" t="str">
        <f t="shared" si="75"/>
        <v>1</v>
      </c>
      <c r="U154" s="24">
        <f t="shared" si="61"/>
        <v>6.5777563378276227</v>
      </c>
      <c r="V154" s="41" t="str">
        <f t="shared" si="76"/>
        <v>6</v>
      </c>
      <c r="W154" s="24">
        <f t="shared" si="62"/>
        <v>6.9330760539314724</v>
      </c>
      <c r="X154" s="41" t="str">
        <f t="shared" si="77"/>
        <v>6</v>
      </c>
      <c r="Y154" s="24">
        <f t="shared" si="63"/>
        <v>11.196912647177669</v>
      </c>
      <c r="Z154" s="41" t="str">
        <f t="shared" si="78"/>
        <v>E</v>
      </c>
      <c r="AA154" s="24">
        <f t="shared" si="64"/>
        <v>2.3629517661320278</v>
      </c>
      <c r="AB154" s="41" t="str">
        <f t="shared" si="79"/>
        <v>2</v>
      </c>
      <c r="AC154" s="24">
        <f t="shared" si="65"/>
        <v>4.3554211935843341</v>
      </c>
      <c r="AD154" s="41" t="str">
        <f t="shared" si="80"/>
        <v>4</v>
      </c>
      <c r="AE154" s="24">
        <f t="shared" si="66"/>
        <v>4.2650543230120093</v>
      </c>
      <c r="AF154" s="41" t="str">
        <f t="shared" si="81"/>
        <v>4</v>
      </c>
      <c r="AG154" s="24">
        <f t="shared" si="67"/>
        <v>3.1806518761441112</v>
      </c>
      <c r="AH154" s="41" t="str">
        <f t="shared" si="82"/>
        <v/>
      </c>
      <c r="AI154" s="24">
        <f t="shared" si="68"/>
        <v>2.1678225137293339</v>
      </c>
      <c r="AJ154" s="41" t="str">
        <f t="shared" si="83"/>
        <v/>
      </c>
    </row>
    <row r="155" spans="1:36" x14ac:dyDescent="0.2">
      <c r="A155" s="314" t="s">
        <v>910</v>
      </c>
      <c r="B155" s="315">
        <v>72</v>
      </c>
      <c r="C155" s="316" t="s">
        <v>909</v>
      </c>
      <c r="D155" s="317">
        <v>178.49</v>
      </c>
      <c r="E155" s="316"/>
      <c r="F155" s="8">
        <v>5</v>
      </c>
      <c r="G155" s="21">
        <f t="shared" si="69"/>
        <v>178.73145097958854</v>
      </c>
      <c r="H155" s="37" t="str">
        <f t="shared" si="56"/>
        <v>1;2X894</v>
      </c>
      <c r="I155" s="38">
        <v>2</v>
      </c>
      <c r="J155" s="128">
        <f t="shared" si="70"/>
        <v>1.2411906318026982</v>
      </c>
      <c r="K155" s="39" t="str">
        <f>INDEX(powers!$H$2:$H$75,33+I155)</f>
        <v>gross</v>
      </c>
      <c r="L155" s="40" t="str">
        <f t="shared" si="71"/>
        <v>1</v>
      </c>
      <c r="M155" s="24">
        <f t="shared" si="57"/>
        <v>2.8942875816323781</v>
      </c>
      <c r="N155" s="41" t="str">
        <f t="shared" si="72"/>
        <v>2</v>
      </c>
      <c r="O155" s="24">
        <f t="shared" si="58"/>
        <v>10.731450979588537</v>
      </c>
      <c r="P155" s="41" t="str">
        <f t="shared" si="73"/>
        <v>X</v>
      </c>
      <c r="Q155" s="24">
        <f t="shared" si="59"/>
        <v>8.7774117550624453</v>
      </c>
      <c r="R155" s="41" t="str">
        <f t="shared" si="74"/>
        <v>8</v>
      </c>
      <c r="S155" s="24">
        <f t="shared" si="60"/>
        <v>9.3289410607493437</v>
      </c>
      <c r="T155" s="41" t="str">
        <f t="shared" si="75"/>
        <v>9</v>
      </c>
      <c r="U155" s="24">
        <f t="shared" si="61"/>
        <v>3.9472927289921245</v>
      </c>
      <c r="V155" s="41" t="str">
        <f t="shared" si="76"/>
        <v>4</v>
      </c>
      <c r="W155" s="24">
        <f t="shared" si="62"/>
        <v>11.367512747905494</v>
      </c>
      <c r="X155" s="41" t="str">
        <f t="shared" si="77"/>
        <v/>
      </c>
      <c r="Y155" s="24">
        <f t="shared" si="63"/>
        <v>4.4101529748659232</v>
      </c>
      <c r="Z155" s="41" t="str">
        <f t="shared" si="78"/>
        <v/>
      </c>
      <c r="AA155" s="24">
        <f t="shared" si="64"/>
        <v>4.921835698391078</v>
      </c>
      <c r="AB155" s="41" t="str">
        <f t="shared" si="79"/>
        <v/>
      </c>
      <c r="AC155" s="24">
        <f t="shared" si="65"/>
        <v>11.062028380692936</v>
      </c>
      <c r="AD155" s="41" t="str">
        <f t="shared" si="80"/>
        <v/>
      </c>
      <c r="AE155" s="24">
        <f t="shared" si="66"/>
        <v>0.74434056831523776</v>
      </c>
      <c r="AF155" s="41" t="str">
        <f t="shared" si="81"/>
        <v/>
      </c>
      <c r="AG155" s="24">
        <f t="shared" si="67"/>
        <v>8.9320868197828531</v>
      </c>
      <c r="AH155" s="41" t="str">
        <f t="shared" si="82"/>
        <v/>
      </c>
      <c r="AI155" s="24">
        <f t="shared" si="68"/>
        <v>11.185041837394238</v>
      </c>
      <c r="AJ155" s="41" t="str">
        <f t="shared" si="83"/>
        <v/>
      </c>
    </row>
    <row r="156" spans="1:36" x14ac:dyDescent="0.2">
      <c r="A156" s="314"/>
      <c r="B156" s="315"/>
      <c r="C156" s="316"/>
      <c r="D156" s="317"/>
      <c r="E156" s="316">
        <v>179.94654879999999</v>
      </c>
      <c r="F156" s="8">
        <v>10</v>
      </c>
      <c r="G156" s="21">
        <f t="shared" si="69"/>
        <v>180.18997011481503</v>
      </c>
      <c r="H156" s="37" t="str">
        <f t="shared" si="56"/>
        <v>1;3023432788</v>
      </c>
      <c r="I156" s="38">
        <v>2</v>
      </c>
      <c r="J156" s="128">
        <f t="shared" si="70"/>
        <v>1.2513192369084376</v>
      </c>
      <c r="K156" s="39" t="str">
        <f>INDEX(powers!$H$2:$H$75,33+I156)</f>
        <v>gross</v>
      </c>
      <c r="L156" s="40" t="str">
        <f t="shared" si="71"/>
        <v>1</v>
      </c>
      <c r="M156" s="24">
        <f t="shared" si="57"/>
        <v>3.0158308429012513</v>
      </c>
      <c r="N156" s="41" t="str">
        <f t="shared" si="72"/>
        <v>3</v>
      </c>
      <c r="O156" s="24">
        <f t="shared" si="58"/>
        <v>0.18997011481501502</v>
      </c>
      <c r="P156" s="41" t="str">
        <f t="shared" si="73"/>
        <v>0</v>
      </c>
      <c r="Q156" s="24">
        <f t="shared" si="59"/>
        <v>2.2796413777801803</v>
      </c>
      <c r="R156" s="41" t="str">
        <f t="shared" si="74"/>
        <v>2</v>
      </c>
      <c r="S156" s="24">
        <f t="shared" si="60"/>
        <v>3.3556965333621633</v>
      </c>
      <c r="T156" s="41" t="str">
        <f t="shared" si="75"/>
        <v>3</v>
      </c>
      <c r="U156" s="24">
        <f t="shared" si="61"/>
        <v>4.26835840034596</v>
      </c>
      <c r="V156" s="41" t="str">
        <f t="shared" si="76"/>
        <v>4</v>
      </c>
      <c r="W156" s="24">
        <f t="shared" si="62"/>
        <v>3.2203008041515204</v>
      </c>
      <c r="X156" s="41" t="str">
        <f t="shared" si="77"/>
        <v>3</v>
      </c>
      <c r="Y156" s="24">
        <f t="shared" si="63"/>
        <v>2.6436096498182451</v>
      </c>
      <c r="Z156" s="41" t="str">
        <f t="shared" si="78"/>
        <v>2</v>
      </c>
      <c r="AA156" s="24">
        <f t="shared" si="64"/>
        <v>7.7233157978189411</v>
      </c>
      <c r="AB156" s="41" t="str">
        <f t="shared" si="79"/>
        <v>7</v>
      </c>
      <c r="AC156" s="24">
        <f t="shared" si="65"/>
        <v>8.6797895738272928</v>
      </c>
      <c r="AD156" s="41" t="str">
        <f t="shared" si="80"/>
        <v>8</v>
      </c>
      <c r="AE156" s="24">
        <f t="shared" si="66"/>
        <v>8.1574748859275132</v>
      </c>
      <c r="AF156" s="41" t="str">
        <f t="shared" si="81"/>
        <v>8</v>
      </c>
      <c r="AG156" s="24">
        <f t="shared" si="67"/>
        <v>1.8896986311301589</v>
      </c>
      <c r="AH156" s="41" t="str">
        <f t="shared" si="82"/>
        <v/>
      </c>
      <c r="AI156" s="24">
        <f t="shared" si="68"/>
        <v>10.676383573561907</v>
      </c>
      <c r="AJ156" s="41" t="str">
        <f t="shared" si="83"/>
        <v/>
      </c>
    </row>
    <row r="157" spans="1:36" x14ac:dyDescent="0.2">
      <c r="A157" s="314" t="s">
        <v>912</v>
      </c>
      <c r="B157" s="315">
        <v>73</v>
      </c>
      <c r="C157" s="316" t="s">
        <v>911</v>
      </c>
      <c r="D157" s="317">
        <v>180.94788</v>
      </c>
      <c r="E157" s="316"/>
      <c r="F157" s="8">
        <v>8</v>
      </c>
      <c r="G157" s="21">
        <f t="shared" si="69"/>
        <v>181.19265585792184</v>
      </c>
      <c r="H157" s="37" t="str">
        <f t="shared" si="56"/>
        <v>1;31238XXE</v>
      </c>
      <c r="I157" s="38">
        <v>2</v>
      </c>
      <c r="J157" s="128">
        <f t="shared" si="70"/>
        <v>1.2582823323466794</v>
      </c>
      <c r="K157" s="39" t="str">
        <f>INDEX(powers!$H$2:$H$75,33+I157)</f>
        <v>gross</v>
      </c>
      <c r="L157" s="40" t="str">
        <f t="shared" si="71"/>
        <v>1</v>
      </c>
      <c r="M157" s="24">
        <f t="shared" si="57"/>
        <v>3.0993879881601529</v>
      </c>
      <c r="N157" s="41" t="str">
        <f t="shared" si="72"/>
        <v>3</v>
      </c>
      <c r="O157" s="24">
        <f t="shared" si="58"/>
        <v>1.1926558579218351</v>
      </c>
      <c r="P157" s="41" t="str">
        <f t="shared" si="73"/>
        <v>1</v>
      </c>
      <c r="Q157" s="24">
        <f t="shared" si="59"/>
        <v>2.3118702950620218</v>
      </c>
      <c r="R157" s="41" t="str">
        <f t="shared" si="74"/>
        <v>2</v>
      </c>
      <c r="S157" s="24">
        <f t="shared" si="60"/>
        <v>3.7424435407442616</v>
      </c>
      <c r="T157" s="41" t="str">
        <f t="shared" si="75"/>
        <v>3</v>
      </c>
      <c r="U157" s="24">
        <f t="shared" si="61"/>
        <v>8.9093224889311387</v>
      </c>
      <c r="V157" s="41" t="str">
        <f t="shared" si="76"/>
        <v>8</v>
      </c>
      <c r="W157" s="24">
        <f t="shared" si="62"/>
        <v>10.911869867173664</v>
      </c>
      <c r="X157" s="41" t="str">
        <f t="shared" si="77"/>
        <v>X</v>
      </c>
      <c r="Y157" s="24">
        <f t="shared" si="63"/>
        <v>10.942438406083966</v>
      </c>
      <c r="Z157" s="41" t="str">
        <f t="shared" si="78"/>
        <v>X</v>
      </c>
      <c r="AA157" s="24">
        <f t="shared" si="64"/>
        <v>11.309260873007588</v>
      </c>
      <c r="AB157" s="41" t="str">
        <f t="shared" si="79"/>
        <v>E</v>
      </c>
      <c r="AC157" s="24">
        <f t="shared" si="65"/>
        <v>3.7111304760910571</v>
      </c>
      <c r="AD157" s="41" t="str">
        <f t="shared" si="80"/>
        <v/>
      </c>
      <c r="AE157" s="24">
        <f t="shared" si="66"/>
        <v>8.5335657130926847</v>
      </c>
      <c r="AF157" s="41" t="str">
        <f t="shared" si="81"/>
        <v/>
      </c>
      <c r="AG157" s="24">
        <f t="shared" si="67"/>
        <v>6.4027885571122169</v>
      </c>
      <c r="AH157" s="41" t="str">
        <f t="shared" si="82"/>
        <v/>
      </c>
      <c r="AI157" s="24">
        <f t="shared" si="68"/>
        <v>4.8334626853466034</v>
      </c>
      <c r="AJ157" s="41" t="str">
        <f t="shared" si="83"/>
        <v/>
      </c>
    </row>
    <row r="158" spans="1:36" x14ac:dyDescent="0.2">
      <c r="A158" s="314"/>
      <c r="B158" s="315"/>
      <c r="C158" s="316"/>
      <c r="D158" s="317"/>
      <c r="E158" s="316">
        <v>180.94799599999999</v>
      </c>
      <c r="F158" s="8">
        <v>9</v>
      </c>
      <c r="G158" s="21">
        <f t="shared" si="69"/>
        <v>181.19277201483996</v>
      </c>
      <c r="H158" s="37" t="str">
        <f t="shared" si="56"/>
        <v>1;3123913X2</v>
      </c>
      <c r="I158" s="38">
        <v>2</v>
      </c>
      <c r="J158" s="128">
        <f t="shared" si="70"/>
        <v>1.2582831389919442</v>
      </c>
      <c r="K158" s="39" t="str">
        <f>INDEX(powers!$H$2:$H$75,33+I158)</f>
        <v>gross</v>
      </c>
      <c r="L158" s="40" t="str">
        <f t="shared" si="71"/>
        <v>1</v>
      </c>
      <c r="M158" s="24">
        <f t="shared" si="57"/>
        <v>3.0993976679033306</v>
      </c>
      <c r="N158" s="41" t="str">
        <f t="shared" si="72"/>
        <v>3</v>
      </c>
      <c r="O158" s="24">
        <f t="shared" si="58"/>
        <v>1.1927720148399672</v>
      </c>
      <c r="P158" s="41" t="str">
        <f t="shared" si="73"/>
        <v>1</v>
      </c>
      <c r="Q158" s="24">
        <f t="shared" si="59"/>
        <v>2.3132641780796064</v>
      </c>
      <c r="R158" s="41" t="str">
        <f t="shared" si="74"/>
        <v>2</v>
      </c>
      <c r="S158" s="24">
        <f t="shared" si="60"/>
        <v>3.7591701369552766</v>
      </c>
      <c r="T158" s="41" t="str">
        <f t="shared" si="75"/>
        <v>3</v>
      </c>
      <c r="U158" s="24">
        <f t="shared" si="61"/>
        <v>9.1100416434633189</v>
      </c>
      <c r="V158" s="41" t="str">
        <f t="shared" si="76"/>
        <v>9</v>
      </c>
      <c r="W158" s="24">
        <f t="shared" si="62"/>
        <v>1.3204997215598269</v>
      </c>
      <c r="X158" s="41" t="str">
        <f t="shared" si="77"/>
        <v>1</v>
      </c>
      <c r="Y158" s="24">
        <f t="shared" si="63"/>
        <v>3.8459966587179224</v>
      </c>
      <c r="Z158" s="41" t="str">
        <f t="shared" si="78"/>
        <v>3</v>
      </c>
      <c r="AA158" s="24">
        <f t="shared" si="64"/>
        <v>10.151959904615069</v>
      </c>
      <c r="AB158" s="41" t="str">
        <f t="shared" si="79"/>
        <v>X</v>
      </c>
      <c r="AC158" s="24">
        <f t="shared" si="65"/>
        <v>1.8235188553808257</v>
      </c>
      <c r="AD158" s="41" t="str">
        <f t="shared" si="80"/>
        <v>2</v>
      </c>
      <c r="AE158" s="24">
        <f t="shared" si="66"/>
        <v>9.8822262645699084</v>
      </c>
      <c r="AF158" s="41" t="str">
        <f t="shared" si="81"/>
        <v/>
      </c>
      <c r="AG158" s="24">
        <f t="shared" si="67"/>
        <v>10.586715174838901</v>
      </c>
      <c r="AH158" s="41" t="str">
        <f t="shared" si="82"/>
        <v/>
      </c>
      <c r="AI158" s="24">
        <f t="shared" si="68"/>
        <v>7.0405820980668068</v>
      </c>
      <c r="AJ158" s="41" t="str">
        <f t="shared" si="83"/>
        <v/>
      </c>
    </row>
    <row r="159" spans="1:36" x14ac:dyDescent="0.2">
      <c r="A159" s="314" t="s">
        <v>1008</v>
      </c>
      <c r="B159" s="315">
        <v>74</v>
      </c>
      <c r="C159" s="316" t="s">
        <v>913</v>
      </c>
      <c r="D159" s="317">
        <v>183.84</v>
      </c>
      <c r="E159" s="316"/>
      <c r="F159" s="8">
        <v>5</v>
      </c>
      <c r="G159" s="21">
        <f t="shared" si="69"/>
        <v>184.08868815108721</v>
      </c>
      <c r="H159" s="37" t="str">
        <f t="shared" si="56"/>
        <v>1;34109</v>
      </c>
      <c r="I159" s="38">
        <v>2</v>
      </c>
      <c r="J159" s="128">
        <f t="shared" si="70"/>
        <v>1.2783936677158834</v>
      </c>
      <c r="K159" s="39" t="str">
        <f>INDEX(powers!$H$2:$H$75,33+I159)</f>
        <v>gross</v>
      </c>
      <c r="L159" s="40" t="str">
        <f t="shared" si="71"/>
        <v>1</v>
      </c>
      <c r="M159" s="24">
        <f t="shared" si="57"/>
        <v>3.3407240125906004</v>
      </c>
      <c r="N159" s="41" t="str">
        <f t="shared" si="72"/>
        <v>3</v>
      </c>
      <c r="O159" s="24">
        <f t="shared" si="58"/>
        <v>4.0886881510872044</v>
      </c>
      <c r="P159" s="41" t="str">
        <f t="shared" si="73"/>
        <v>4</v>
      </c>
      <c r="Q159" s="24">
        <f t="shared" si="59"/>
        <v>1.0642578130464528</v>
      </c>
      <c r="R159" s="41" t="str">
        <f t="shared" si="74"/>
        <v>1</v>
      </c>
      <c r="S159" s="24">
        <f t="shared" si="60"/>
        <v>0.77109375655743406</v>
      </c>
      <c r="T159" s="41" t="str">
        <f t="shared" si="75"/>
        <v>0</v>
      </c>
      <c r="U159" s="24">
        <f t="shared" si="61"/>
        <v>9.2531250786892087</v>
      </c>
      <c r="V159" s="41" t="str">
        <f t="shared" si="76"/>
        <v>9</v>
      </c>
      <c r="W159" s="24">
        <f t="shared" si="62"/>
        <v>3.037500944270505</v>
      </c>
      <c r="X159" s="41" t="str">
        <f t="shared" si="77"/>
        <v/>
      </c>
      <c r="Y159" s="24">
        <f t="shared" si="63"/>
        <v>0.45001133124605985</v>
      </c>
      <c r="Z159" s="41" t="str">
        <f t="shared" si="78"/>
        <v/>
      </c>
      <c r="AA159" s="24">
        <f t="shared" si="64"/>
        <v>5.4001359749527182</v>
      </c>
      <c r="AB159" s="41" t="str">
        <f t="shared" si="79"/>
        <v/>
      </c>
      <c r="AC159" s="24">
        <f t="shared" si="65"/>
        <v>4.8016316994326189</v>
      </c>
      <c r="AD159" s="41" t="str">
        <f t="shared" si="80"/>
        <v/>
      </c>
      <c r="AE159" s="24">
        <f t="shared" si="66"/>
        <v>9.619580393191427</v>
      </c>
      <c r="AF159" s="41" t="str">
        <f t="shared" si="81"/>
        <v/>
      </c>
      <c r="AG159" s="24">
        <f t="shared" si="67"/>
        <v>7.4349647182971239</v>
      </c>
      <c r="AH159" s="41" t="str">
        <f t="shared" si="82"/>
        <v/>
      </c>
      <c r="AI159" s="24">
        <f t="shared" si="68"/>
        <v>5.2195766195654869</v>
      </c>
      <c r="AJ159" s="41" t="str">
        <f t="shared" si="83"/>
        <v/>
      </c>
    </row>
    <row r="160" spans="1:36" x14ac:dyDescent="0.2">
      <c r="A160" s="314"/>
      <c r="B160" s="315"/>
      <c r="C160" s="316"/>
      <c r="D160" s="317"/>
      <c r="E160" s="316">
        <v>183.95093259999999</v>
      </c>
      <c r="F160" s="8">
        <v>10</v>
      </c>
      <c r="G160" s="21">
        <f t="shared" si="69"/>
        <v>184.19977081431171</v>
      </c>
      <c r="H160" s="37" t="str">
        <f t="shared" si="56"/>
        <v>1;3424925456</v>
      </c>
      <c r="I160" s="38">
        <v>2</v>
      </c>
      <c r="J160" s="128">
        <f t="shared" si="70"/>
        <v>1.2791650750993868</v>
      </c>
      <c r="K160" s="39" t="str">
        <f>INDEX(powers!$H$2:$H$75,33+I160)</f>
        <v>gross</v>
      </c>
      <c r="L160" s="40" t="str">
        <f t="shared" si="71"/>
        <v>1</v>
      </c>
      <c r="M160" s="24">
        <f t="shared" si="57"/>
        <v>3.3499809011926418</v>
      </c>
      <c r="N160" s="41" t="str">
        <f t="shared" si="72"/>
        <v>3</v>
      </c>
      <c r="O160" s="24">
        <f t="shared" si="58"/>
        <v>4.1997708143117016</v>
      </c>
      <c r="P160" s="41" t="str">
        <f t="shared" si="73"/>
        <v>4</v>
      </c>
      <c r="Q160" s="24">
        <f t="shared" si="59"/>
        <v>2.3972497717404195</v>
      </c>
      <c r="R160" s="41" t="str">
        <f t="shared" si="74"/>
        <v>2</v>
      </c>
      <c r="S160" s="24">
        <f t="shared" si="60"/>
        <v>4.7669972608850344</v>
      </c>
      <c r="T160" s="41" t="str">
        <f t="shared" si="75"/>
        <v>4</v>
      </c>
      <c r="U160" s="24">
        <f t="shared" si="61"/>
        <v>9.2039671306204127</v>
      </c>
      <c r="V160" s="41" t="str">
        <f t="shared" si="76"/>
        <v>9</v>
      </c>
      <c r="W160" s="24">
        <f t="shared" si="62"/>
        <v>2.4476055674449526</v>
      </c>
      <c r="X160" s="41" t="str">
        <f t="shared" si="77"/>
        <v>2</v>
      </c>
      <c r="Y160" s="24">
        <f t="shared" si="63"/>
        <v>5.3712668093394313</v>
      </c>
      <c r="Z160" s="41" t="str">
        <f t="shared" si="78"/>
        <v>5</v>
      </c>
      <c r="AA160" s="24">
        <f t="shared" si="64"/>
        <v>4.4552017120731762</v>
      </c>
      <c r="AB160" s="41" t="str">
        <f t="shared" si="79"/>
        <v>4</v>
      </c>
      <c r="AC160" s="24">
        <f t="shared" si="65"/>
        <v>5.462420544878114</v>
      </c>
      <c r="AD160" s="41" t="str">
        <f t="shared" si="80"/>
        <v>5</v>
      </c>
      <c r="AE160" s="24">
        <f t="shared" si="66"/>
        <v>5.5490465385373682</v>
      </c>
      <c r="AF160" s="41" t="str">
        <f t="shared" si="81"/>
        <v>6</v>
      </c>
      <c r="AG160" s="24">
        <f t="shared" si="67"/>
        <v>6.5885584624484181</v>
      </c>
      <c r="AH160" s="41" t="str">
        <f t="shared" si="82"/>
        <v/>
      </c>
      <c r="AI160" s="24">
        <f t="shared" si="68"/>
        <v>7.0627015493810177</v>
      </c>
      <c r="AJ160" s="41" t="str">
        <f t="shared" si="83"/>
        <v/>
      </c>
    </row>
    <row r="161" spans="1:36" x14ac:dyDescent="0.2">
      <c r="A161" s="314" t="s">
        <v>915</v>
      </c>
      <c r="B161" s="315">
        <v>75</v>
      </c>
      <c r="C161" s="316" t="s">
        <v>914</v>
      </c>
      <c r="D161" s="317">
        <v>186.20699999999999</v>
      </c>
      <c r="E161" s="316"/>
      <c r="F161" s="8">
        <v>6</v>
      </c>
      <c r="G161" s="21">
        <f t="shared" si="69"/>
        <v>186.45889009219701</v>
      </c>
      <c r="H161" s="37" t="str">
        <f t="shared" si="56"/>
        <v>1;36560</v>
      </c>
      <c r="I161" s="38">
        <v>2</v>
      </c>
      <c r="J161" s="128">
        <f t="shared" si="70"/>
        <v>1.2948534034180348</v>
      </c>
      <c r="K161" s="39" t="str">
        <f>INDEX(powers!$H$2:$H$75,33+I161)</f>
        <v>gross</v>
      </c>
      <c r="L161" s="40" t="str">
        <f t="shared" si="71"/>
        <v>1</v>
      </c>
      <c r="M161" s="24">
        <f t="shared" si="57"/>
        <v>3.5382408410164174</v>
      </c>
      <c r="N161" s="41" t="str">
        <f t="shared" si="72"/>
        <v>3</v>
      </c>
      <c r="O161" s="24">
        <f t="shared" si="58"/>
        <v>6.4588900921970094</v>
      </c>
      <c r="P161" s="41" t="str">
        <f t="shared" si="73"/>
        <v>6</v>
      </c>
      <c r="Q161" s="24">
        <f t="shared" si="59"/>
        <v>5.5066811063641126</v>
      </c>
      <c r="R161" s="41" t="str">
        <f t="shared" si="74"/>
        <v>5</v>
      </c>
      <c r="S161" s="24">
        <f t="shared" si="60"/>
        <v>6.0801732763693508</v>
      </c>
      <c r="T161" s="41" t="str">
        <f t="shared" si="75"/>
        <v>6</v>
      </c>
      <c r="U161" s="24">
        <f t="shared" si="61"/>
        <v>0.96207931643220945</v>
      </c>
      <c r="V161" s="41" t="str">
        <f t="shared" si="76"/>
        <v>0</v>
      </c>
      <c r="W161" s="24">
        <f t="shared" si="62"/>
        <v>11.544951797186513</v>
      </c>
      <c r="X161" s="41" t="str">
        <f t="shared" si="77"/>
        <v/>
      </c>
      <c r="Y161" s="24">
        <f t="shared" si="63"/>
        <v>6.5394215662381612</v>
      </c>
      <c r="Z161" s="41" t="str">
        <f t="shared" si="78"/>
        <v/>
      </c>
      <c r="AA161" s="24">
        <f t="shared" si="64"/>
        <v>6.4730587948579341</v>
      </c>
      <c r="AB161" s="41" t="str">
        <f t="shared" si="79"/>
        <v/>
      </c>
      <c r="AC161" s="24">
        <f t="shared" si="65"/>
        <v>5.6767055382952094</v>
      </c>
      <c r="AD161" s="41" t="str">
        <f t="shared" si="80"/>
        <v/>
      </c>
      <c r="AE161" s="24">
        <f t="shared" si="66"/>
        <v>8.1204664595425129</v>
      </c>
      <c r="AF161" s="41" t="str">
        <f t="shared" si="81"/>
        <v/>
      </c>
      <c r="AG161" s="24">
        <f t="shared" si="67"/>
        <v>1.4455975145101547</v>
      </c>
      <c r="AH161" s="41" t="str">
        <f t="shared" si="82"/>
        <v/>
      </c>
      <c r="AI161" s="24">
        <f t="shared" si="68"/>
        <v>5.3471701741218567</v>
      </c>
      <c r="AJ161" s="41" t="str">
        <f t="shared" si="83"/>
        <v/>
      </c>
    </row>
    <row r="162" spans="1:36" x14ac:dyDescent="0.2">
      <c r="A162" s="314"/>
      <c r="B162" s="315"/>
      <c r="C162" s="316"/>
      <c r="D162" s="317"/>
      <c r="E162" s="316">
        <v>186.9557508</v>
      </c>
      <c r="F162" s="8">
        <v>10</v>
      </c>
      <c r="G162" s="21">
        <f t="shared" si="69"/>
        <v>187.20865375910344</v>
      </c>
      <c r="H162" s="37" t="str">
        <f t="shared" si="56"/>
        <v>1;3726067895</v>
      </c>
      <c r="I162" s="38">
        <v>2</v>
      </c>
      <c r="J162" s="128">
        <f t="shared" si="70"/>
        <v>1.3000600955493296</v>
      </c>
      <c r="K162" s="39" t="str">
        <f>INDEX(powers!$H$2:$H$75,33+I162)</f>
        <v>gross</v>
      </c>
      <c r="L162" s="40" t="str">
        <f t="shared" si="71"/>
        <v>1</v>
      </c>
      <c r="M162" s="24">
        <f t="shared" si="57"/>
        <v>3.6007211465919546</v>
      </c>
      <c r="N162" s="41" t="str">
        <f t="shared" si="72"/>
        <v>3</v>
      </c>
      <c r="O162" s="24">
        <f t="shared" si="58"/>
        <v>7.2086537591034556</v>
      </c>
      <c r="P162" s="41" t="str">
        <f t="shared" si="73"/>
        <v>7</v>
      </c>
      <c r="Q162" s="24">
        <f t="shared" si="59"/>
        <v>2.5038451092414675</v>
      </c>
      <c r="R162" s="41" t="str">
        <f t="shared" si="74"/>
        <v>2</v>
      </c>
      <c r="S162" s="24">
        <f t="shared" si="60"/>
        <v>6.0461413108976103</v>
      </c>
      <c r="T162" s="41" t="str">
        <f t="shared" si="75"/>
        <v>6</v>
      </c>
      <c r="U162" s="24">
        <f t="shared" si="61"/>
        <v>0.55369573077132372</v>
      </c>
      <c r="V162" s="41" t="str">
        <f t="shared" si="76"/>
        <v>0</v>
      </c>
      <c r="W162" s="24">
        <f t="shared" si="62"/>
        <v>6.6443487692558847</v>
      </c>
      <c r="X162" s="41" t="str">
        <f t="shared" si="77"/>
        <v>6</v>
      </c>
      <c r="Y162" s="24">
        <f t="shared" si="63"/>
        <v>7.7321852310706163</v>
      </c>
      <c r="Z162" s="41" t="str">
        <f t="shared" si="78"/>
        <v>7</v>
      </c>
      <c r="AA162" s="24">
        <f t="shared" si="64"/>
        <v>8.7862227728473954</v>
      </c>
      <c r="AB162" s="41" t="str">
        <f t="shared" si="79"/>
        <v>8</v>
      </c>
      <c r="AC162" s="24">
        <f t="shared" si="65"/>
        <v>9.4346732741687447</v>
      </c>
      <c r="AD162" s="41" t="str">
        <f t="shared" si="80"/>
        <v>9</v>
      </c>
      <c r="AE162" s="24">
        <f t="shared" si="66"/>
        <v>5.2160792900249362</v>
      </c>
      <c r="AF162" s="41" t="str">
        <f t="shared" si="81"/>
        <v>5</v>
      </c>
      <c r="AG162" s="24">
        <f t="shared" si="67"/>
        <v>2.5929514802992344</v>
      </c>
      <c r="AH162" s="41" t="str">
        <f t="shared" si="82"/>
        <v/>
      </c>
      <c r="AI162" s="24">
        <f t="shared" si="68"/>
        <v>7.1154177635908127</v>
      </c>
      <c r="AJ162" s="41" t="str">
        <f t="shared" si="83"/>
        <v/>
      </c>
    </row>
    <row r="163" spans="1:36" x14ac:dyDescent="0.2">
      <c r="A163" s="314" t="s">
        <v>917</v>
      </c>
      <c r="B163" s="315">
        <v>76</v>
      </c>
      <c r="C163" s="316" t="s">
        <v>916</v>
      </c>
      <c r="D163" s="317">
        <v>190.23</v>
      </c>
      <c r="E163" s="316"/>
      <c r="F163" s="8">
        <v>5</v>
      </c>
      <c r="G163" s="21">
        <f t="shared" si="69"/>
        <v>190.48733217461552</v>
      </c>
      <c r="H163" s="37" t="str">
        <f t="shared" si="56"/>
        <v>1;3X5X2</v>
      </c>
      <c r="I163" s="38">
        <v>2</v>
      </c>
      <c r="J163" s="128">
        <f t="shared" si="70"/>
        <v>1.3228286956570523</v>
      </c>
      <c r="K163" s="39" t="str">
        <f>INDEX(powers!$H$2:$H$75,33+I163)</f>
        <v>gross</v>
      </c>
      <c r="L163" s="40" t="str">
        <f t="shared" si="71"/>
        <v>1</v>
      </c>
      <c r="M163" s="24">
        <f t="shared" si="57"/>
        <v>3.8739443478846276</v>
      </c>
      <c r="N163" s="41" t="str">
        <f t="shared" si="72"/>
        <v>3</v>
      </c>
      <c r="O163" s="24">
        <f t="shared" si="58"/>
        <v>10.487332174615531</v>
      </c>
      <c r="P163" s="41" t="str">
        <f t="shared" si="73"/>
        <v>X</v>
      </c>
      <c r="Q163" s="24">
        <f t="shared" si="59"/>
        <v>5.8479860953863749</v>
      </c>
      <c r="R163" s="41" t="str">
        <f t="shared" si="74"/>
        <v>5</v>
      </c>
      <c r="S163" s="24">
        <f t="shared" si="60"/>
        <v>10.175833144636499</v>
      </c>
      <c r="T163" s="41" t="str">
        <f t="shared" si="75"/>
        <v>X</v>
      </c>
      <c r="U163" s="24">
        <f t="shared" si="61"/>
        <v>2.1099977356379895</v>
      </c>
      <c r="V163" s="41" t="str">
        <f t="shared" si="76"/>
        <v>2</v>
      </c>
      <c r="W163" s="24">
        <f t="shared" si="62"/>
        <v>1.3199728276558744</v>
      </c>
      <c r="X163" s="41" t="str">
        <f t="shared" si="77"/>
        <v/>
      </c>
      <c r="Y163" s="24">
        <f t="shared" si="63"/>
        <v>3.8396739318704931</v>
      </c>
      <c r="Z163" s="41" t="str">
        <f t="shared" si="78"/>
        <v/>
      </c>
      <c r="AA163" s="24">
        <f t="shared" si="64"/>
        <v>10.076087182445917</v>
      </c>
      <c r="AB163" s="41" t="str">
        <f t="shared" si="79"/>
        <v/>
      </c>
      <c r="AC163" s="24">
        <f t="shared" si="65"/>
        <v>0.91304618935100734</v>
      </c>
      <c r="AD163" s="41" t="str">
        <f t="shared" si="80"/>
        <v/>
      </c>
      <c r="AE163" s="24">
        <f t="shared" si="66"/>
        <v>10.956554272212088</v>
      </c>
      <c r="AF163" s="41" t="str">
        <f t="shared" si="81"/>
        <v/>
      </c>
      <c r="AG163" s="24">
        <f t="shared" si="67"/>
        <v>11.478651266545057</v>
      </c>
      <c r="AH163" s="41" t="str">
        <f t="shared" si="82"/>
        <v/>
      </c>
      <c r="AI163" s="24">
        <f t="shared" si="68"/>
        <v>5.7438151985406876</v>
      </c>
      <c r="AJ163" s="41" t="str">
        <f t="shared" si="83"/>
        <v/>
      </c>
    </row>
    <row r="164" spans="1:36" x14ac:dyDescent="0.2">
      <c r="A164" s="314"/>
      <c r="B164" s="315"/>
      <c r="C164" s="316"/>
      <c r="D164" s="317"/>
      <c r="E164" s="316">
        <v>191.961479</v>
      </c>
      <c r="F164" s="8">
        <v>9</v>
      </c>
      <c r="G164" s="21">
        <f t="shared" si="69"/>
        <v>192.22115341956308</v>
      </c>
      <c r="H164" s="37" t="str">
        <f t="shared" si="56"/>
        <v>1;4027X1X07</v>
      </c>
      <c r="I164" s="38">
        <v>2</v>
      </c>
      <c r="J164" s="128">
        <f t="shared" si="70"/>
        <v>1.3348691209691881</v>
      </c>
      <c r="K164" s="39" t="str">
        <f>INDEX(powers!$H$2:$H$75,33+I164)</f>
        <v>gross</v>
      </c>
      <c r="L164" s="40" t="str">
        <f t="shared" si="71"/>
        <v>1</v>
      </c>
      <c r="M164" s="24">
        <f t="shared" si="57"/>
        <v>4.018429451630257</v>
      </c>
      <c r="N164" s="41" t="str">
        <f t="shared" si="72"/>
        <v>4</v>
      </c>
      <c r="O164" s="24">
        <f t="shared" si="58"/>
        <v>0.22115341956308399</v>
      </c>
      <c r="P164" s="41" t="str">
        <f t="shared" si="73"/>
        <v>0</v>
      </c>
      <c r="Q164" s="24">
        <f t="shared" si="59"/>
        <v>2.6538410347570078</v>
      </c>
      <c r="R164" s="41" t="str">
        <f t="shared" si="74"/>
        <v>2</v>
      </c>
      <c r="S164" s="24">
        <f t="shared" si="60"/>
        <v>7.846092417084094</v>
      </c>
      <c r="T164" s="41" t="str">
        <f t="shared" si="75"/>
        <v>7</v>
      </c>
      <c r="U164" s="24">
        <f t="shared" si="61"/>
        <v>10.153109005009128</v>
      </c>
      <c r="V164" s="41" t="str">
        <f t="shared" si="76"/>
        <v>X</v>
      </c>
      <c r="W164" s="24">
        <f t="shared" si="62"/>
        <v>1.8373080601095353</v>
      </c>
      <c r="X164" s="41" t="str">
        <f t="shared" si="77"/>
        <v>1</v>
      </c>
      <c r="Y164" s="24">
        <f t="shared" si="63"/>
        <v>10.047696721314423</v>
      </c>
      <c r="Z164" s="41" t="str">
        <f t="shared" si="78"/>
        <v>X</v>
      </c>
      <c r="AA164" s="24">
        <f t="shared" si="64"/>
        <v>0.57236065577308182</v>
      </c>
      <c r="AB164" s="41" t="str">
        <f t="shared" si="79"/>
        <v>0</v>
      </c>
      <c r="AC164" s="24">
        <f t="shared" si="65"/>
        <v>6.8683278692769818</v>
      </c>
      <c r="AD164" s="41" t="str">
        <f t="shared" si="80"/>
        <v>7</v>
      </c>
      <c r="AE164" s="24">
        <f t="shared" si="66"/>
        <v>10.419934431323782</v>
      </c>
      <c r="AF164" s="41" t="str">
        <f t="shared" si="81"/>
        <v/>
      </c>
      <c r="AG164" s="24">
        <f t="shared" si="67"/>
        <v>5.0392131758853793</v>
      </c>
      <c r="AH164" s="41" t="str">
        <f t="shared" si="82"/>
        <v/>
      </c>
      <c r="AI164" s="24">
        <f t="shared" si="68"/>
        <v>0.47055811062455177</v>
      </c>
      <c r="AJ164" s="41" t="str">
        <f t="shared" si="83"/>
        <v/>
      </c>
    </row>
    <row r="165" spans="1:36" x14ac:dyDescent="0.2">
      <c r="A165" s="314" t="s">
        <v>919</v>
      </c>
      <c r="B165" s="315">
        <v>77</v>
      </c>
      <c r="C165" s="316" t="s">
        <v>918</v>
      </c>
      <c r="D165" s="317">
        <v>192.21700000000001</v>
      </c>
      <c r="E165" s="316"/>
      <c r="F165" s="8">
        <v>6</v>
      </c>
      <c r="G165" s="21">
        <f t="shared" si="69"/>
        <v>192.47702007363759</v>
      </c>
      <c r="H165" s="37" t="str">
        <f t="shared" si="56"/>
        <v>1;405883</v>
      </c>
      <c r="I165" s="38">
        <v>2</v>
      </c>
      <c r="J165" s="128">
        <f t="shared" si="70"/>
        <v>1.3366459727335944</v>
      </c>
      <c r="K165" s="39" t="str">
        <f>INDEX(powers!$H$2:$H$75,33+I165)</f>
        <v>gross</v>
      </c>
      <c r="L165" s="40" t="str">
        <f t="shared" si="71"/>
        <v>1</v>
      </c>
      <c r="M165" s="24">
        <f t="shared" si="57"/>
        <v>4.0397516728031331</v>
      </c>
      <c r="N165" s="41" t="str">
        <f t="shared" si="72"/>
        <v>4</v>
      </c>
      <c r="O165" s="24">
        <f t="shared" si="58"/>
        <v>0.47702007363759691</v>
      </c>
      <c r="P165" s="41" t="str">
        <f t="shared" si="73"/>
        <v>0</v>
      </c>
      <c r="Q165" s="24">
        <f t="shared" si="59"/>
        <v>5.7242408836511629</v>
      </c>
      <c r="R165" s="41" t="str">
        <f t="shared" si="74"/>
        <v>5</v>
      </c>
      <c r="S165" s="24">
        <f t="shared" si="60"/>
        <v>8.6908906038139548</v>
      </c>
      <c r="T165" s="41" t="str">
        <f t="shared" si="75"/>
        <v>8</v>
      </c>
      <c r="U165" s="24">
        <f t="shared" si="61"/>
        <v>8.2906872457674581</v>
      </c>
      <c r="V165" s="41" t="str">
        <f t="shared" si="76"/>
        <v>8</v>
      </c>
      <c r="W165" s="24">
        <f t="shared" si="62"/>
        <v>3.488246949209497</v>
      </c>
      <c r="X165" s="41" t="str">
        <f t="shared" si="77"/>
        <v>3</v>
      </c>
      <c r="Y165" s="24">
        <f t="shared" si="63"/>
        <v>5.8589633905139635</v>
      </c>
      <c r="Z165" s="41" t="str">
        <f t="shared" si="78"/>
        <v/>
      </c>
      <c r="AA165" s="24">
        <f t="shared" si="64"/>
        <v>10.307560686167562</v>
      </c>
      <c r="AB165" s="41" t="str">
        <f t="shared" si="79"/>
        <v/>
      </c>
      <c r="AC165" s="24">
        <f t="shared" si="65"/>
        <v>3.6907282340107486</v>
      </c>
      <c r="AD165" s="41" t="str">
        <f t="shared" si="80"/>
        <v/>
      </c>
      <c r="AE165" s="24">
        <f t="shared" si="66"/>
        <v>8.2887388081289828</v>
      </c>
      <c r="AF165" s="41" t="str">
        <f t="shared" si="81"/>
        <v/>
      </c>
      <c r="AG165" s="24">
        <f t="shared" si="67"/>
        <v>3.4648656975477934</v>
      </c>
      <c r="AH165" s="41" t="str">
        <f t="shared" si="82"/>
        <v/>
      </c>
      <c r="AI165" s="24">
        <f t="shared" si="68"/>
        <v>5.5783883705735207</v>
      </c>
      <c r="AJ165" s="41" t="str">
        <f t="shared" si="83"/>
        <v/>
      </c>
    </row>
    <row r="166" spans="1:36" x14ac:dyDescent="0.2">
      <c r="A166" s="314"/>
      <c r="B166" s="315"/>
      <c r="C166" s="316"/>
      <c r="D166" s="317"/>
      <c r="E166" s="316">
        <v>192.96292399999999</v>
      </c>
      <c r="F166" s="8">
        <v>9</v>
      </c>
      <c r="G166" s="21">
        <f t="shared" si="69"/>
        <v>193.22395311661194</v>
      </c>
      <c r="H166" s="37" t="str">
        <f t="shared" si="56"/>
        <v>1;41282EX85</v>
      </c>
      <c r="I166" s="38">
        <v>2</v>
      </c>
      <c r="J166" s="128">
        <f t="shared" si="70"/>
        <v>1.3418330077542495</v>
      </c>
      <c r="K166" s="39" t="str">
        <f>INDEX(powers!$H$2:$H$75,33+I166)</f>
        <v>gross</v>
      </c>
      <c r="L166" s="40" t="str">
        <f t="shared" si="71"/>
        <v>1</v>
      </c>
      <c r="M166" s="24">
        <f t="shared" si="57"/>
        <v>4.1019960930509942</v>
      </c>
      <c r="N166" s="41" t="str">
        <f t="shared" si="72"/>
        <v>4</v>
      </c>
      <c r="O166" s="24">
        <f t="shared" si="58"/>
        <v>1.2239531166119306</v>
      </c>
      <c r="P166" s="41" t="str">
        <f t="shared" si="73"/>
        <v>1</v>
      </c>
      <c r="Q166" s="24">
        <f t="shared" si="59"/>
        <v>2.6874373993431675</v>
      </c>
      <c r="R166" s="41" t="str">
        <f t="shared" si="74"/>
        <v>2</v>
      </c>
      <c r="S166" s="24">
        <f t="shared" si="60"/>
        <v>8.24924879211801</v>
      </c>
      <c r="T166" s="41" t="str">
        <f t="shared" si="75"/>
        <v>8</v>
      </c>
      <c r="U166" s="24">
        <f t="shared" si="61"/>
        <v>2.9909855054161198</v>
      </c>
      <c r="V166" s="41" t="str">
        <f t="shared" si="76"/>
        <v>2</v>
      </c>
      <c r="W166" s="24">
        <f t="shared" si="62"/>
        <v>11.891826064993438</v>
      </c>
      <c r="X166" s="41" t="str">
        <f t="shared" si="77"/>
        <v>E</v>
      </c>
      <c r="Y166" s="24">
        <f t="shared" si="63"/>
        <v>10.701912779921258</v>
      </c>
      <c r="Z166" s="41" t="str">
        <f t="shared" si="78"/>
        <v>X</v>
      </c>
      <c r="AA166" s="24">
        <f t="shared" si="64"/>
        <v>8.4229533590551</v>
      </c>
      <c r="AB166" s="41" t="str">
        <f t="shared" si="79"/>
        <v>8</v>
      </c>
      <c r="AC166" s="24">
        <f t="shared" si="65"/>
        <v>5.0754403086612001</v>
      </c>
      <c r="AD166" s="41" t="str">
        <f t="shared" si="80"/>
        <v>5</v>
      </c>
      <c r="AE166" s="24">
        <f t="shared" si="66"/>
        <v>0.90528370393440127</v>
      </c>
      <c r="AF166" s="41" t="str">
        <f t="shared" si="81"/>
        <v/>
      </c>
      <c r="AG166" s="24">
        <f t="shared" si="67"/>
        <v>10.863404447212815</v>
      </c>
      <c r="AH166" s="41" t="str">
        <f t="shared" si="82"/>
        <v/>
      </c>
      <c r="AI166" s="24">
        <f t="shared" si="68"/>
        <v>10.360853366553783</v>
      </c>
      <c r="AJ166" s="41" t="str">
        <f t="shared" si="83"/>
        <v/>
      </c>
    </row>
    <row r="167" spans="1:36" x14ac:dyDescent="0.2">
      <c r="A167" s="314" t="s">
        <v>921</v>
      </c>
      <c r="B167" s="315">
        <v>78</v>
      </c>
      <c r="C167" s="316" t="s">
        <v>920</v>
      </c>
      <c r="D167" s="317">
        <v>195.084</v>
      </c>
      <c r="E167" s="316"/>
      <c r="F167" s="8">
        <v>6</v>
      </c>
      <c r="G167" s="21">
        <f t="shared" si="69"/>
        <v>195.34789838591547</v>
      </c>
      <c r="H167" s="37" t="str">
        <f t="shared" si="56"/>
        <v>1;434212</v>
      </c>
      <c r="I167" s="38">
        <v>2</v>
      </c>
      <c r="J167" s="128">
        <f t="shared" si="70"/>
        <v>1.3565826276799686</v>
      </c>
      <c r="K167" s="39" t="str">
        <f>INDEX(powers!$H$2:$H$75,33+I167)</f>
        <v>gross</v>
      </c>
      <c r="L167" s="40" t="str">
        <f t="shared" si="71"/>
        <v>1</v>
      </c>
      <c r="M167" s="24">
        <f t="shared" si="57"/>
        <v>4.2789915321596235</v>
      </c>
      <c r="N167" s="41" t="str">
        <f t="shared" si="72"/>
        <v>4</v>
      </c>
      <c r="O167" s="24">
        <f t="shared" si="58"/>
        <v>3.3478983859154816</v>
      </c>
      <c r="P167" s="41" t="str">
        <f t="shared" si="73"/>
        <v>3</v>
      </c>
      <c r="Q167" s="24">
        <f t="shared" si="59"/>
        <v>4.1747806309857793</v>
      </c>
      <c r="R167" s="41" t="str">
        <f t="shared" si="74"/>
        <v>4</v>
      </c>
      <c r="S167" s="24">
        <f t="shared" si="60"/>
        <v>2.0973675718293521</v>
      </c>
      <c r="T167" s="41" t="str">
        <f t="shared" si="75"/>
        <v>2</v>
      </c>
      <c r="U167" s="24">
        <f t="shared" si="61"/>
        <v>1.1684108619522249</v>
      </c>
      <c r="V167" s="41" t="str">
        <f t="shared" si="76"/>
        <v>1</v>
      </c>
      <c r="W167" s="24">
        <f t="shared" si="62"/>
        <v>2.0209303434266985</v>
      </c>
      <c r="X167" s="41" t="str">
        <f t="shared" si="77"/>
        <v>2</v>
      </c>
      <c r="Y167" s="24">
        <f t="shared" si="63"/>
        <v>0.25116412112038233</v>
      </c>
      <c r="Z167" s="41" t="str">
        <f t="shared" si="78"/>
        <v/>
      </c>
      <c r="AA167" s="24">
        <f t="shared" si="64"/>
        <v>3.013969453444588</v>
      </c>
      <c r="AB167" s="41" t="str">
        <f t="shared" si="79"/>
        <v/>
      </c>
      <c r="AC167" s="24">
        <f t="shared" si="65"/>
        <v>0.16763344133505598</v>
      </c>
      <c r="AD167" s="41" t="str">
        <f t="shared" si="80"/>
        <v/>
      </c>
      <c r="AE167" s="24">
        <f t="shared" si="66"/>
        <v>2.0116012960206717</v>
      </c>
      <c r="AF167" s="41" t="str">
        <f t="shared" si="81"/>
        <v/>
      </c>
      <c r="AG167" s="24">
        <f t="shared" si="67"/>
        <v>0.1392155522480607</v>
      </c>
      <c r="AH167" s="41" t="str">
        <f t="shared" si="82"/>
        <v/>
      </c>
      <c r="AI167" s="24">
        <f t="shared" si="68"/>
        <v>1.6705866269767284</v>
      </c>
      <c r="AJ167" s="41" t="str">
        <f t="shared" si="83"/>
        <v/>
      </c>
    </row>
    <row r="168" spans="1:36" x14ac:dyDescent="0.2">
      <c r="A168" s="314"/>
      <c r="B168" s="315"/>
      <c r="C168" s="316"/>
      <c r="D168" s="317"/>
      <c r="E168" s="316">
        <v>194.96477400000001</v>
      </c>
      <c r="F168" s="8">
        <v>9</v>
      </c>
      <c r="G168" s="21">
        <f t="shared" si="69"/>
        <v>195.2285111038577</v>
      </c>
      <c r="H168" s="37" t="str">
        <f t="shared" si="56"/>
        <v>1;4328XX4X6</v>
      </c>
      <c r="I168" s="38">
        <v>2</v>
      </c>
      <c r="J168" s="128">
        <f t="shared" si="70"/>
        <v>1.3557535493323452</v>
      </c>
      <c r="K168" s="39" t="str">
        <f>INDEX(powers!$H$2:$H$75,33+I168)</f>
        <v>gross</v>
      </c>
      <c r="L168" s="40" t="str">
        <f t="shared" si="71"/>
        <v>1</v>
      </c>
      <c r="M168" s="24">
        <f t="shared" si="57"/>
        <v>4.2690425919881418</v>
      </c>
      <c r="N168" s="41" t="str">
        <f t="shared" si="72"/>
        <v>4</v>
      </c>
      <c r="O168" s="24">
        <f t="shared" si="58"/>
        <v>3.2285111038577021</v>
      </c>
      <c r="P168" s="41" t="str">
        <f t="shared" si="73"/>
        <v>3</v>
      </c>
      <c r="Q168" s="24">
        <f t="shared" si="59"/>
        <v>2.7421332462924255</v>
      </c>
      <c r="R168" s="41" t="str">
        <f t="shared" si="74"/>
        <v>2</v>
      </c>
      <c r="S168" s="24">
        <f t="shared" si="60"/>
        <v>8.905598955509106</v>
      </c>
      <c r="T168" s="41" t="str">
        <f t="shared" si="75"/>
        <v>8</v>
      </c>
      <c r="U168" s="24">
        <f t="shared" si="61"/>
        <v>10.867187466109272</v>
      </c>
      <c r="V168" s="41" t="str">
        <f t="shared" si="76"/>
        <v>X</v>
      </c>
      <c r="W168" s="24">
        <f t="shared" si="62"/>
        <v>10.406249593311259</v>
      </c>
      <c r="X168" s="41" t="str">
        <f t="shared" si="77"/>
        <v>X</v>
      </c>
      <c r="Y168" s="24">
        <f t="shared" si="63"/>
        <v>4.8749951197351038</v>
      </c>
      <c r="Z168" s="41" t="str">
        <f t="shared" si="78"/>
        <v>4</v>
      </c>
      <c r="AA168" s="24">
        <f t="shared" si="64"/>
        <v>10.499941436821246</v>
      </c>
      <c r="AB168" s="41" t="str">
        <f t="shared" si="79"/>
        <v>X</v>
      </c>
      <c r="AC168" s="24">
        <f t="shared" si="65"/>
        <v>5.9992972418549471</v>
      </c>
      <c r="AD168" s="41" t="str">
        <f t="shared" si="80"/>
        <v>6</v>
      </c>
      <c r="AE168" s="24">
        <f t="shared" si="66"/>
        <v>11.991566902259365</v>
      </c>
      <c r="AF168" s="41" t="str">
        <f t="shared" si="81"/>
        <v/>
      </c>
      <c r="AG168" s="24">
        <f t="shared" si="67"/>
        <v>11.898802827112377</v>
      </c>
      <c r="AH168" s="41" t="str">
        <f t="shared" si="82"/>
        <v/>
      </c>
      <c r="AI168" s="24">
        <f t="shared" si="68"/>
        <v>10.78563392534852</v>
      </c>
      <c r="AJ168" s="41" t="str">
        <f t="shared" si="83"/>
        <v/>
      </c>
    </row>
    <row r="169" spans="1:36" x14ac:dyDescent="0.2">
      <c r="A169" s="314" t="s">
        <v>923</v>
      </c>
      <c r="B169" s="315">
        <v>79</v>
      </c>
      <c r="C169" s="316" t="s">
        <v>922</v>
      </c>
      <c r="D169" s="317">
        <v>196.96656899999999</v>
      </c>
      <c r="E169" s="316"/>
      <c r="F169" s="8">
        <v>9</v>
      </c>
      <c r="G169" s="21">
        <f t="shared" si="69"/>
        <v>197.23301401670258</v>
      </c>
      <c r="H169" s="37" t="str">
        <f t="shared" si="56"/>
        <v>1;452967942</v>
      </c>
      <c r="I169" s="38">
        <v>2</v>
      </c>
      <c r="J169" s="128">
        <f t="shared" si="70"/>
        <v>1.3696737084493236</v>
      </c>
      <c r="K169" s="39" t="str">
        <f>INDEX(powers!$H$2:$H$75,33+I169)</f>
        <v>gross</v>
      </c>
      <c r="L169" s="40" t="str">
        <f t="shared" si="71"/>
        <v>1</v>
      </c>
      <c r="M169" s="24">
        <f t="shared" si="57"/>
        <v>4.4360845013918828</v>
      </c>
      <c r="N169" s="41" t="str">
        <f t="shared" si="72"/>
        <v>4</v>
      </c>
      <c r="O169" s="24">
        <f t="shared" si="58"/>
        <v>5.2330140167025938</v>
      </c>
      <c r="P169" s="41" t="str">
        <f t="shared" si="73"/>
        <v>5</v>
      </c>
      <c r="Q169" s="24">
        <f t="shared" si="59"/>
        <v>2.7961682004311257</v>
      </c>
      <c r="R169" s="41" t="str">
        <f t="shared" si="74"/>
        <v>2</v>
      </c>
      <c r="S169" s="24">
        <f t="shared" si="60"/>
        <v>9.5540184051735082</v>
      </c>
      <c r="T169" s="41" t="str">
        <f t="shared" si="75"/>
        <v>9</v>
      </c>
      <c r="U169" s="24">
        <f t="shared" si="61"/>
        <v>6.6482208620820984</v>
      </c>
      <c r="V169" s="41" t="str">
        <f t="shared" si="76"/>
        <v>6</v>
      </c>
      <c r="W169" s="24">
        <f t="shared" si="62"/>
        <v>7.7786503449851807</v>
      </c>
      <c r="X169" s="41" t="str">
        <f t="shared" si="77"/>
        <v>7</v>
      </c>
      <c r="Y169" s="24">
        <f t="shared" si="63"/>
        <v>9.3438041398221685</v>
      </c>
      <c r="Z169" s="41" t="str">
        <f t="shared" si="78"/>
        <v>9</v>
      </c>
      <c r="AA169" s="24">
        <f t="shared" si="64"/>
        <v>4.1256496778660221</v>
      </c>
      <c r="AB169" s="41" t="str">
        <f t="shared" si="79"/>
        <v>4</v>
      </c>
      <c r="AC169" s="24">
        <f t="shared" si="65"/>
        <v>1.5077961343922652</v>
      </c>
      <c r="AD169" s="41" t="str">
        <f t="shared" si="80"/>
        <v>2</v>
      </c>
      <c r="AE169" s="24">
        <f t="shared" si="66"/>
        <v>6.0935536127071828</v>
      </c>
      <c r="AF169" s="41" t="str">
        <f t="shared" si="81"/>
        <v/>
      </c>
      <c r="AG169" s="24">
        <f t="shared" si="67"/>
        <v>1.1226433524861932</v>
      </c>
      <c r="AH169" s="41" t="str">
        <f t="shared" si="82"/>
        <v/>
      </c>
      <c r="AI169" s="24">
        <f t="shared" si="68"/>
        <v>1.4717202298343182</v>
      </c>
      <c r="AJ169" s="41" t="str">
        <f t="shared" si="83"/>
        <v/>
      </c>
    </row>
    <row r="170" spans="1:36" x14ac:dyDescent="0.2">
      <c r="A170" s="314"/>
      <c r="B170" s="315"/>
      <c r="C170" s="316"/>
      <c r="D170" s="317"/>
      <c r="E170" s="316">
        <v>196.96655000000001</v>
      </c>
      <c r="F170" s="8">
        <v>8</v>
      </c>
      <c r="G170" s="21">
        <f t="shared" si="69"/>
        <v>197.23299499100048</v>
      </c>
      <c r="H170" s="37" t="str">
        <f t="shared" si="56"/>
        <v>1;45296747</v>
      </c>
      <c r="I170" s="38">
        <v>2</v>
      </c>
      <c r="J170" s="128">
        <f t="shared" si="70"/>
        <v>1.3696735763263923</v>
      </c>
      <c r="K170" s="39" t="str">
        <f>INDEX(powers!$H$2:$H$75,33+I170)</f>
        <v>gross</v>
      </c>
      <c r="L170" s="40" t="str">
        <f t="shared" si="71"/>
        <v>1</v>
      </c>
      <c r="M170" s="24">
        <f t="shared" si="57"/>
        <v>4.4360829159167077</v>
      </c>
      <c r="N170" s="41" t="str">
        <f t="shared" si="72"/>
        <v>4</v>
      </c>
      <c r="O170" s="24">
        <f t="shared" si="58"/>
        <v>5.232994991000492</v>
      </c>
      <c r="P170" s="41" t="str">
        <f t="shared" si="73"/>
        <v>5</v>
      </c>
      <c r="Q170" s="24">
        <f t="shared" si="59"/>
        <v>2.7959398920059044</v>
      </c>
      <c r="R170" s="41" t="str">
        <f t="shared" si="74"/>
        <v>2</v>
      </c>
      <c r="S170" s="24">
        <f t="shared" si="60"/>
        <v>9.5512787040708531</v>
      </c>
      <c r="T170" s="41" t="str">
        <f t="shared" si="75"/>
        <v>9</v>
      </c>
      <c r="U170" s="24">
        <f t="shared" si="61"/>
        <v>6.6153444488502373</v>
      </c>
      <c r="V170" s="41" t="str">
        <f t="shared" si="76"/>
        <v>6</v>
      </c>
      <c r="W170" s="24">
        <f t="shared" si="62"/>
        <v>7.3841333862028478</v>
      </c>
      <c r="X170" s="41" t="str">
        <f t="shared" si="77"/>
        <v>7</v>
      </c>
      <c r="Y170" s="24">
        <f t="shared" si="63"/>
        <v>4.6096006344341731</v>
      </c>
      <c r="Z170" s="41" t="str">
        <f t="shared" si="78"/>
        <v>4</v>
      </c>
      <c r="AA170" s="24">
        <f t="shared" si="64"/>
        <v>7.3152076132100774</v>
      </c>
      <c r="AB170" s="41" t="str">
        <f t="shared" si="79"/>
        <v>7</v>
      </c>
      <c r="AC170" s="24">
        <f t="shared" si="65"/>
        <v>3.7824913585209288</v>
      </c>
      <c r="AD170" s="41" t="str">
        <f t="shared" si="80"/>
        <v/>
      </c>
      <c r="AE170" s="24">
        <f t="shared" si="66"/>
        <v>9.3898963022511452</v>
      </c>
      <c r="AF170" s="41" t="str">
        <f t="shared" si="81"/>
        <v/>
      </c>
      <c r="AG170" s="24">
        <f t="shared" si="67"/>
        <v>4.6787556270137429</v>
      </c>
      <c r="AH170" s="41" t="str">
        <f t="shared" si="82"/>
        <v/>
      </c>
      <c r="AI170" s="24">
        <f t="shared" si="68"/>
        <v>8.1450675241649151</v>
      </c>
      <c r="AJ170" s="41" t="str">
        <f t="shared" si="83"/>
        <v/>
      </c>
    </row>
    <row r="171" spans="1:36" x14ac:dyDescent="0.2">
      <c r="A171" s="314" t="s">
        <v>925</v>
      </c>
      <c r="B171" s="315">
        <v>80</v>
      </c>
      <c r="C171" s="316" t="s">
        <v>924</v>
      </c>
      <c r="D171" s="317">
        <v>200.59</v>
      </c>
      <c r="E171" s="316"/>
      <c r="F171" s="8">
        <v>5</v>
      </c>
      <c r="G171" s="21">
        <f t="shared" si="69"/>
        <v>200.86134658521857</v>
      </c>
      <c r="H171" s="37" t="str">
        <f t="shared" si="56"/>
        <v>1;48X40</v>
      </c>
      <c r="I171" s="38">
        <v>2</v>
      </c>
      <c r="J171" s="128">
        <f t="shared" si="70"/>
        <v>1.3948704623973511</v>
      </c>
      <c r="K171" s="39" t="str">
        <f>INDEX(powers!$H$2:$H$75,33+I171)</f>
        <v>gross</v>
      </c>
      <c r="L171" s="40" t="str">
        <f t="shared" si="71"/>
        <v>1</v>
      </c>
      <c r="M171" s="24">
        <f t="shared" si="57"/>
        <v>4.7384455487682136</v>
      </c>
      <c r="N171" s="41" t="str">
        <f t="shared" si="72"/>
        <v>4</v>
      </c>
      <c r="O171" s="24">
        <f t="shared" si="58"/>
        <v>8.8613465852185627</v>
      </c>
      <c r="P171" s="41" t="str">
        <f t="shared" si="73"/>
        <v>8</v>
      </c>
      <c r="Q171" s="24">
        <f t="shared" si="59"/>
        <v>10.336159022622752</v>
      </c>
      <c r="R171" s="41" t="str">
        <f t="shared" si="74"/>
        <v>X</v>
      </c>
      <c r="S171" s="24">
        <f t="shared" si="60"/>
        <v>4.0339082714730239</v>
      </c>
      <c r="T171" s="41" t="str">
        <f t="shared" si="75"/>
        <v>4</v>
      </c>
      <c r="U171" s="24">
        <f t="shared" si="61"/>
        <v>0.40689925767628665</v>
      </c>
      <c r="V171" s="41" t="str">
        <f t="shared" si="76"/>
        <v>0</v>
      </c>
      <c r="W171" s="24">
        <f t="shared" si="62"/>
        <v>4.8827910921154398</v>
      </c>
      <c r="X171" s="41" t="str">
        <f t="shared" si="77"/>
        <v/>
      </c>
      <c r="Y171" s="24">
        <f t="shared" si="63"/>
        <v>10.593493105385278</v>
      </c>
      <c r="Z171" s="41" t="str">
        <f t="shared" si="78"/>
        <v/>
      </c>
      <c r="AA171" s="24">
        <f t="shared" si="64"/>
        <v>7.1219172646233346</v>
      </c>
      <c r="AB171" s="41" t="str">
        <f t="shared" si="79"/>
        <v/>
      </c>
      <c r="AC171" s="24">
        <f t="shared" si="65"/>
        <v>1.4630071754800156</v>
      </c>
      <c r="AD171" s="41" t="str">
        <f t="shared" si="80"/>
        <v/>
      </c>
      <c r="AE171" s="24">
        <f t="shared" si="66"/>
        <v>5.5560861057601869</v>
      </c>
      <c r="AF171" s="41" t="str">
        <f t="shared" si="81"/>
        <v/>
      </c>
      <c r="AG171" s="24">
        <f t="shared" si="67"/>
        <v>6.6730332691222429</v>
      </c>
      <c r="AH171" s="41" t="str">
        <f t="shared" si="82"/>
        <v/>
      </c>
      <c r="AI171" s="24">
        <f t="shared" si="68"/>
        <v>8.0763992294669151</v>
      </c>
      <c r="AJ171" s="41" t="str">
        <f t="shared" si="83"/>
        <v/>
      </c>
    </row>
    <row r="172" spans="1:36" x14ac:dyDescent="0.2">
      <c r="A172" s="314"/>
      <c r="B172" s="315"/>
      <c r="C172" s="316"/>
      <c r="D172" s="317"/>
      <c r="E172" s="316">
        <v>201.97062600000001</v>
      </c>
      <c r="F172" s="8">
        <v>9</v>
      </c>
      <c r="G172" s="21">
        <f t="shared" si="69"/>
        <v>202.24384021645923</v>
      </c>
      <c r="H172" s="37" t="str">
        <f t="shared" si="56"/>
        <v>1;4X2E1432</v>
      </c>
      <c r="I172" s="38">
        <v>2</v>
      </c>
      <c r="J172" s="128">
        <f t="shared" si="70"/>
        <v>1.4044711126143001</v>
      </c>
      <c r="K172" s="39" t="str">
        <f>INDEX(powers!$H$2:$H$75,33+I172)</f>
        <v>gross</v>
      </c>
      <c r="L172" s="40" t="str">
        <f t="shared" si="71"/>
        <v>1</v>
      </c>
      <c r="M172" s="24">
        <f t="shared" si="57"/>
        <v>4.8536533513716016</v>
      </c>
      <c r="N172" s="41" t="str">
        <f t="shared" si="72"/>
        <v>4</v>
      </c>
      <c r="O172" s="24">
        <f t="shared" si="58"/>
        <v>10.243840216459219</v>
      </c>
      <c r="P172" s="41" t="str">
        <f t="shared" si="73"/>
        <v>X</v>
      </c>
      <c r="Q172" s="24">
        <f t="shared" si="59"/>
        <v>2.9260825975106286</v>
      </c>
      <c r="R172" s="41" t="str">
        <f t="shared" si="74"/>
        <v>2</v>
      </c>
      <c r="S172" s="24">
        <f t="shared" si="60"/>
        <v>11.112991170127543</v>
      </c>
      <c r="T172" s="41" t="str">
        <f t="shared" si="75"/>
        <v>E</v>
      </c>
      <c r="U172" s="24">
        <f t="shared" si="61"/>
        <v>1.3558940415305187</v>
      </c>
      <c r="V172" s="41" t="str">
        <f t="shared" si="76"/>
        <v>1</v>
      </c>
      <c r="W172" s="24">
        <f t="shared" si="62"/>
        <v>4.2707284983662248</v>
      </c>
      <c r="X172" s="41" t="str">
        <f t="shared" si="77"/>
        <v>4</v>
      </c>
      <c r="Y172" s="24">
        <f t="shared" si="63"/>
        <v>3.2487419803946977</v>
      </c>
      <c r="Z172" s="41" t="str">
        <f t="shared" si="78"/>
        <v>3</v>
      </c>
      <c r="AA172" s="24">
        <f t="shared" si="64"/>
        <v>2.984903764736373</v>
      </c>
      <c r="AB172" s="41" t="str">
        <f t="shared" si="79"/>
        <v>2</v>
      </c>
      <c r="AC172" s="24">
        <f t="shared" si="65"/>
        <v>11.818845176836476</v>
      </c>
      <c r="AD172" s="41" t="str">
        <f t="shared" si="80"/>
        <v/>
      </c>
      <c r="AE172" s="24">
        <f t="shared" si="66"/>
        <v>9.8261421220377088</v>
      </c>
      <c r="AF172" s="41" t="str">
        <f t="shared" si="81"/>
        <v/>
      </c>
      <c r="AG172" s="24">
        <f t="shared" si="67"/>
        <v>9.9137054644525051</v>
      </c>
      <c r="AH172" s="41" t="str">
        <f t="shared" si="82"/>
        <v/>
      </c>
      <c r="AI172" s="24">
        <f t="shared" si="68"/>
        <v>10.964465573430061</v>
      </c>
      <c r="AJ172" s="41" t="str">
        <f t="shared" si="83"/>
        <v/>
      </c>
    </row>
    <row r="173" spans="1:36" x14ac:dyDescent="0.2">
      <c r="A173" s="314" t="s">
        <v>927</v>
      </c>
      <c r="B173" s="315">
        <v>81</v>
      </c>
      <c r="C173" s="316" t="s">
        <v>926</v>
      </c>
      <c r="D173" s="317">
        <v>204.38329999999999</v>
      </c>
      <c r="E173" s="316"/>
      <c r="F173" s="8">
        <v>7</v>
      </c>
      <c r="G173" s="21">
        <f t="shared" si="69"/>
        <v>204.65977794272249</v>
      </c>
      <c r="H173" s="37" t="str">
        <f t="shared" si="56"/>
        <v>1;507E012</v>
      </c>
      <c r="I173" s="38">
        <v>2</v>
      </c>
      <c r="J173" s="128">
        <f t="shared" si="70"/>
        <v>1.4212484579355729</v>
      </c>
      <c r="K173" s="39" t="str">
        <f>INDEX(powers!$H$2:$H$75,33+I173)</f>
        <v>gross</v>
      </c>
      <c r="L173" s="40" t="str">
        <f t="shared" si="71"/>
        <v>1</v>
      </c>
      <c r="M173" s="24">
        <f t="shared" si="57"/>
        <v>5.0549814952268743</v>
      </c>
      <c r="N173" s="41" t="str">
        <f t="shared" si="72"/>
        <v>5</v>
      </c>
      <c r="O173" s="24">
        <f t="shared" si="58"/>
        <v>0.65977794272249213</v>
      </c>
      <c r="P173" s="41" t="str">
        <f t="shared" si="73"/>
        <v>0</v>
      </c>
      <c r="Q173" s="24">
        <f t="shared" si="59"/>
        <v>7.9173353126699055</v>
      </c>
      <c r="R173" s="41" t="str">
        <f t="shared" si="74"/>
        <v>7</v>
      </c>
      <c r="S173" s="24">
        <f t="shared" si="60"/>
        <v>11.008023752038866</v>
      </c>
      <c r="T173" s="41" t="str">
        <f t="shared" si="75"/>
        <v>E</v>
      </c>
      <c r="U173" s="24">
        <f t="shared" si="61"/>
        <v>9.6285024466396862E-2</v>
      </c>
      <c r="V173" s="41" t="str">
        <f t="shared" si="76"/>
        <v>0</v>
      </c>
      <c r="W173" s="24">
        <f t="shared" si="62"/>
        <v>1.1554202935967623</v>
      </c>
      <c r="X173" s="41" t="str">
        <f t="shared" si="77"/>
        <v>1</v>
      </c>
      <c r="Y173" s="24">
        <f t="shared" si="63"/>
        <v>1.8650435231611482</v>
      </c>
      <c r="Z173" s="41" t="str">
        <f t="shared" si="78"/>
        <v>2</v>
      </c>
      <c r="AA173" s="24">
        <f t="shared" si="64"/>
        <v>10.380522277933778</v>
      </c>
      <c r="AB173" s="41" t="str">
        <f t="shared" si="79"/>
        <v/>
      </c>
      <c r="AC173" s="24">
        <f t="shared" si="65"/>
        <v>4.5662673352053389</v>
      </c>
      <c r="AD173" s="41" t="str">
        <f t="shared" si="80"/>
        <v/>
      </c>
      <c r="AE173" s="24">
        <f t="shared" si="66"/>
        <v>6.7952080224640667</v>
      </c>
      <c r="AF173" s="41" t="str">
        <f t="shared" si="81"/>
        <v/>
      </c>
      <c r="AG173" s="24">
        <f t="shared" si="67"/>
        <v>9.5424962695688009</v>
      </c>
      <c r="AH173" s="41" t="str">
        <f t="shared" si="82"/>
        <v/>
      </c>
      <c r="AI173" s="24">
        <f t="shared" si="68"/>
        <v>6.5099552348256111</v>
      </c>
      <c r="AJ173" s="41" t="str">
        <f t="shared" si="83"/>
        <v/>
      </c>
    </row>
    <row r="174" spans="1:36" x14ac:dyDescent="0.2">
      <c r="A174" s="314"/>
      <c r="B174" s="315"/>
      <c r="C174" s="316"/>
      <c r="D174" s="317"/>
      <c r="E174" s="316">
        <v>204.974412</v>
      </c>
      <c r="F174" s="8">
        <v>9</v>
      </c>
      <c r="G174" s="21">
        <f t="shared" si="69"/>
        <v>205.25168956495031</v>
      </c>
      <c r="H174" s="37" t="str">
        <f t="shared" si="56"/>
        <v>1;51302E050</v>
      </c>
      <c r="I174" s="38">
        <v>2</v>
      </c>
      <c r="J174" s="128">
        <f t="shared" si="70"/>
        <v>1.4253589553121548</v>
      </c>
      <c r="K174" s="39" t="str">
        <f>INDEX(powers!$H$2:$H$75,33+I174)</f>
        <v>gross</v>
      </c>
      <c r="L174" s="40" t="str">
        <f t="shared" si="71"/>
        <v>1</v>
      </c>
      <c r="M174" s="24">
        <f t="shared" si="57"/>
        <v>5.1043074637458581</v>
      </c>
      <c r="N174" s="41" t="str">
        <f t="shared" si="72"/>
        <v>5</v>
      </c>
      <c r="O174" s="24">
        <f t="shared" si="58"/>
        <v>1.251689564950297</v>
      </c>
      <c r="P174" s="41" t="str">
        <f t="shared" si="73"/>
        <v>1</v>
      </c>
      <c r="Q174" s="24">
        <f t="shared" si="59"/>
        <v>3.0202747794035645</v>
      </c>
      <c r="R174" s="41" t="str">
        <f t="shared" si="74"/>
        <v>3</v>
      </c>
      <c r="S174" s="24">
        <f t="shared" si="60"/>
        <v>0.24329735284277376</v>
      </c>
      <c r="T174" s="41" t="str">
        <f t="shared" si="75"/>
        <v>0</v>
      </c>
      <c r="U174" s="24">
        <f t="shared" si="61"/>
        <v>2.9195682341132851</v>
      </c>
      <c r="V174" s="41" t="str">
        <f t="shared" si="76"/>
        <v>2</v>
      </c>
      <c r="W174" s="24">
        <f t="shared" si="62"/>
        <v>11.034818809359422</v>
      </c>
      <c r="X174" s="41" t="str">
        <f t="shared" si="77"/>
        <v>E</v>
      </c>
      <c r="Y174" s="24">
        <f t="shared" si="63"/>
        <v>0.41782571231306065</v>
      </c>
      <c r="Z174" s="41" t="str">
        <f t="shared" si="78"/>
        <v>0</v>
      </c>
      <c r="AA174" s="24">
        <f t="shared" si="64"/>
        <v>5.0139085477567278</v>
      </c>
      <c r="AB174" s="41" t="str">
        <f t="shared" si="79"/>
        <v>5</v>
      </c>
      <c r="AC174" s="24">
        <f t="shared" si="65"/>
        <v>0.16690257308073342</v>
      </c>
      <c r="AD174" s="41" t="str">
        <f t="shared" si="80"/>
        <v>0</v>
      </c>
      <c r="AE174" s="24">
        <f t="shared" si="66"/>
        <v>2.002830876968801</v>
      </c>
      <c r="AF174" s="41" t="str">
        <f t="shared" si="81"/>
        <v/>
      </c>
      <c r="AG174" s="24">
        <f t="shared" si="67"/>
        <v>3.3970523625612259E-2</v>
      </c>
      <c r="AH174" s="41" t="str">
        <f t="shared" si="82"/>
        <v/>
      </c>
      <c r="AI174" s="24">
        <f t="shared" si="68"/>
        <v>0.40764628350734711</v>
      </c>
      <c r="AJ174" s="41" t="str">
        <f t="shared" si="83"/>
        <v/>
      </c>
    </row>
    <row r="175" spans="1:36" x14ac:dyDescent="0.2">
      <c r="A175" s="314" t="s">
        <v>929</v>
      </c>
      <c r="B175" s="315">
        <v>82</v>
      </c>
      <c r="C175" s="316" t="s">
        <v>928</v>
      </c>
      <c r="D175" s="317">
        <v>207.2</v>
      </c>
      <c r="E175" s="316"/>
      <c r="F175" s="8">
        <v>4</v>
      </c>
      <c r="G175" s="21">
        <f t="shared" si="69"/>
        <v>207.48028821206086</v>
      </c>
      <c r="H175" s="37" t="str">
        <f t="shared" si="56"/>
        <v>1;5359</v>
      </c>
      <c r="I175" s="38">
        <v>2</v>
      </c>
      <c r="J175" s="128">
        <f t="shared" si="70"/>
        <v>1.4408353348059781</v>
      </c>
      <c r="K175" s="39" t="str">
        <f>INDEX(powers!$H$2:$H$75,33+I175)</f>
        <v>gross</v>
      </c>
      <c r="L175" s="40" t="str">
        <f t="shared" si="71"/>
        <v>1</v>
      </c>
      <c r="M175" s="24">
        <f t="shared" si="57"/>
        <v>5.2900240176717377</v>
      </c>
      <c r="N175" s="41" t="str">
        <f t="shared" si="72"/>
        <v>5</v>
      </c>
      <c r="O175" s="24">
        <f t="shared" si="58"/>
        <v>3.4802882120608523</v>
      </c>
      <c r="P175" s="41" t="str">
        <f t="shared" si="73"/>
        <v>3</v>
      </c>
      <c r="Q175" s="24">
        <f t="shared" si="59"/>
        <v>5.7634585447302271</v>
      </c>
      <c r="R175" s="41" t="str">
        <f t="shared" si="74"/>
        <v>5</v>
      </c>
      <c r="S175" s="24">
        <f t="shared" si="60"/>
        <v>9.1615025367627254</v>
      </c>
      <c r="T175" s="41" t="str">
        <f t="shared" si="75"/>
        <v>9</v>
      </c>
      <c r="U175" s="24">
        <f t="shared" si="61"/>
        <v>1.938030441152705</v>
      </c>
      <c r="V175" s="41" t="str">
        <f t="shared" si="76"/>
        <v/>
      </c>
      <c r="W175" s="24">
        <f t="shared" si="62"/>
        <v>11.256365293832459</v>
      </c>
      <c r="X175" s="41" t="str">
        <f t="shared" si="77"/>
        <v/>
      </c>
      <c r="Y175" s="24">
        <f t="shared" si="63"/>
        <v>3.0763835259895131</v>
      </c>
      <c r="Z175" s="41" t="str">
        <f t="shared" si="78"/>
        <v/>
      </c>
      <c r="AA175" s="24">
        <f t="shared" si="64"/>
        <v>0.91660231187415775</v>
      </c>
      <c r="AB175" s="41" t="str">
        <f t="shared" si="79"/>
        <v/>
      </c>
      <c r="AC175" s="24">
        <f t="shared" si="65"/>
        <v>10.999227742489893</v>
      </c>
      <c r="AD175" s="41" t="str">
        <f t="shared" si="80"/>
        <v/>
      </c>
      <c r="AE175" s="24">
        <f t="shared" si="66"/>
        <v>11.990732909878716</v>
      </c>
      <c r="AF175" s="41" t="str">
        <f t="shared" si="81"/>
        <v/>
      </c>
      <c r="AG175" s="24">
        <f t="shared" si="67"/>
        <v>11.88879491854459</v>
      </c>
      <c r="AH175" s="41" t="str">
        <f t="shared" si="82"/>
        <v/>
      </c>
      <c r="AI175" s="24">
        <f t="shared" si="68"/>
        <v>10.665539022535086</v>
      </c>
      <c r="AJ175" s="41" t="str">
        <f t="shared" si="83"/>
        <v/>
      </c>
    </row>
    <row r="176" spans="1:36" x14ac:dyDescent="0.2">
      <c r="A176" s="314"/>
      <c r="B176" s="315"/>
      <c r="C176" s="316"/>
      <c r="D176" s="317"/>
      <c r="E176" s="316">
        <v>207.97663600000001</v>
      </c>
      <c r="F176" s="8">
        <v>9</v>
      </c>
      <c r="G176" s="21">
        <f t="shared" si="69"/>
        <v>208.2579748004579</v>
      </c>
      <c r="H176" s="37" t="str">
        <f t="shared" si="56"/>
        <v>1;543119448</v>
      </c>
      <c r="I176" s="38">
        <v>2</v>
      </c>
      <c r="J176" s="128">
        <f t="shared" si="70"/>
        <v>1.4462359361142909</v>
      </c>
      <c r="K176" s="39" t="str">
        <f>INDEX(powers!$H$2:$H$75,33+I176)</f>
        <v>gross</v>
      </c>
      <c r="L176" s="40" t="str">
        <f t="shared" si="71"/>
        <v>1</v>
      </c>
      <c r="M176" s="24">
        <f t="shared" si="57"/>
        <v>5.3548312333714909</v>
      </c>
      <c r="N176" s="41" t="str">
        <f t="shared" si="72"/>
        <v>5</v>
      </c>
      <c r="O176" s="24">
        <f t="shared" si="58"/>
        <v>4.257974800457891</v>
      </c>
      <c r="P176" s="41" t="str">
        <f t="shared" si="73"/>
        <v>4</v>
      </c>
      <c r="Q176" s="24">
        <f t="shared" si="59"/>
        <v>3.0956976054946921</v>
      </c>
      <c r="R176" s="41" t="str">
        <f t="shared" si="74"/>
        <v>3</v>
      </c>
      <c r="S176" s="24">
        <f t="shared" si="60"/>
        <v>1.148371265936305</v>
      </c>
      <c r="T176" s="41" t="str">
        <f t="shared" si="75"/>
        <v>1</v>
      </c>
      <c r="U176" s="24">
        <f t="shared" si="61"/>
        <v>1.7804551912356601</v>
      </c>
      <c r="V176" s="41" t="str">
        <f t="shared" si="76"/>
        <v>1</v>
      </c>
      <c r="W176" s="24">
        <f t="shared" si="62"/>
        <v>9.3654622948279211</v>
      </c>
      <c r="X176" s="41" t="str">
        <f t="shared" si="77"/>
        <v>9</v>
      </c>
      <c r="Y176" s="24">
        <f t="shared" si="63"/>
        <v>4.3855475379350537</v>
      </c>
      <c r="Z176" s="41" t="str">
        <f t="shared" si="78"/>
        <v>4</v>
      </c>
      <c r="AA176" s="24">
        <f t="shared" si="64"/>
        <v>4.6265704552206444</v>
      </c>
      <c r="AB176" s="41" t="str">
        <f t="shared" si="79"/>
        <v>4</v>
      </c>
      <c r="AC176" s="24">
        <f t="shared" si="65"/>
        <v>7.5188454626477323</v>
      </c>
      <c r="AD176" s="41" t="str">
        <f t="shared" si="80"/>
        <v>8</v>
      </c>
      <c r="AE176" s="24">
        <f t="shared" si="66"/>
        <v>6.2261455517727882</v>
      </c>
      <c r="AF176" s="41" t="str">
        <f t="shared" si="81"/>
        <v/>
      </c>
      <c r="AG176" s="24">
        <f t="shared" si="67"/>
        <v>2.713746621273458</v>
      </c>
      <c r="AH176" s="41" t="str">
        <f t="shared" si="82"/>
        <v/>
      </c>
      <c r="AI176" s="24">
        <f t="shared" si="68"/>
        <v>8.564959455281496</v>
      </c>
      <c r="AJ176" s="41" t="str">
        <f t="shared" si="83"/>
        <v/>
      </c>
    </row>
    <row r="177" spans="1:36" x14ac:dyDescent="0.2">
      <c r="A177" s="314" t="s">
        <v>931</v>
      </c>
      <c r="B177" s="315">
        <v>83</v>
      </c>
      <c r="C177" s="316" t="s">
        <v>930</v>
      </c>
      <c r="D177" s="317">
        <v>208.9804</v>
      </c>
      <c r="E177" s="316"/>
      <c r="F177" s="8">
        <v>7</v>
      </c>
      <c r="G177" s="21">
        <f t="shared" si="69"/>
        <v>209.26309663451624</v>
      </c>
      <c r="H177" s="37" t="str">
        <f t="shared" si="56"/>
        <v>1;5531X77</v>
      </c>
      <c r="I177" s="38">
        <v>2</v>
      </c>
      <c r="J177" s="128">
        <f t="shared" si="70"/>
        <v>1.4532159488508072</v>
      </c>
      <c r="K177" s="39" t="str">
        <f>INDEX(powers!$H$2:$H$75,33+I177)</f>
        <v>gross</v>
      </c>
      <c r="L177" s="40" t="str">
        <f t="shared" si="71"/>
        <v>1</v>
      </c>
      <c r="M177" s="24">
        <f t="shared" si="57"/>
        <v>5.4385913862096862</v>
      </c>
      <c r="N177" s="41" t="str">
        <f t="shared" si="72"/>
        <v>5</v>
      </c>
      <c r="O177" s="24">
        <f t="shared" si="58"/>
        <v>5.2630966345162342</v>
      </c>
      <c r="P177" s="41" t="str">
        <f t="shared" si="73"/>
        <v>5</v>
      </c>
      <c r="Q177" s="24">
        <f t="shared" si="59"/>
        <v>3.1571596141948106</v>
      </c>
      <c r="R177" s="41" t="str">
        <f t="shared" si="74"/>
        <v>3</v>
      </c>
      <c r="S177" s="24">
        <f t="shared" si="60"/>
        <v>1.8859153703377274</v>
      </c>
      <c r="T177" s="41" t="str">
        <f t="shared" si="75"/>
        <v>1</v>
      </c>
      <c r="U177" s="24">
        <f t="shared" si="61"/>
        <v>10.630984444052729</v>
      </c>
      <c r="V177" s="41" t="str">
        <f t="shared" si="76"/>
        <v>X</v>
      </c>
      <c r="W177" s="24">
        <f t="shared" si="62"/>
        <v>7.5718133286327429</v>
      </c>
      <c r="X177" s="41" t="str">
        <f t="shared" si="77"/>
        <v>7</v>
      </c>
      <c r="Y177" s="24">
        <f t="shared" si="63"/>
        <v>6.8617599435929151</v>
      </c>
      <c r="Z177" s="41" t="str">
        <f t="shared" si="78"/>
        <v>7</v>
      </c>
      <c r="AA177" s="24">
        <f t="shared" si="64"/>
        <v>10.341119323114981</v>
      </c>
      <c r="AB177" s="41" t="str">
        <f t="shared" si="79"/>
        <v/>
      </c>
      <c r="AC177" s="24">
        <f t="shared" si="65"/>
        <v>4.0934318773797713</v>
      </c>
      <c r="AD177" s="41" t="str">
        <f t="shared" si="80"/>
        <v/>
      </c>
      <c r="AE177" s="24">
        <f t="shared" si="66"/>
        <v>1.1211825285572559</v>
      </c>
      <c r="AF177" s="41" t="str">
        <f t="shared" si="81"/>
        <v/>
      </c>
      <c r="AG177" s="24">
        <f t="shared" si="67"/>
        <v>1.4541903426870704</v>
      </c>
      <c r="AH177" s="41" t="str">
        <f t="shared" si="82"/>
        <v/>
      </c>
      <c r="AI177" s="24">
        <f t="shared" si="68"/>
        <v>5.4502841122448444</v>
      </c>
      <c r="AJ177" s="41" t="str">
        <f t="shared" si="83"/>
        <v/>
      </c>
    </row>
    <row r="178" spans="1:36" x14ac:dyDescent="0.2">
      <c r="A178" s="314"/>
      <c r="B178" s="315"/>
      <c r="C178" s="316"/>
      <c r="D178" s="317"/>
      <c r="E178" s="316">
        <v>208.98038</v>
      </c>
      <c r="F178" s="8">
        <v>8</v>
      </c>
      <c r="G178" s="21">
        <f t="shared" si="69"/>
        <v>209.26307660746139</v>
      </c>
      <c r="H178" s="37" t="str">
        <f t="shared" si="56"/>
        <v>1;5531X71E</v>
      </c>
      <c r="I178" s="38">
        <v>2</v>
      </c>
      <c r="J178" s="128">
        <f t="shared" si="70"/>
        <v>1.4532158097740373</v>
      </c>
      <c r="K178" s="39" t="str">
        <f>INDEX(powers!$H$2:$H$75,33+I178)</f>
        <v>gross</v>
      </c>
      <c r="L178" s="40" t="str">
        <f t="shared" si="71"/>
        <v>1</v>
      </c>
      <c r="M178" s="24">
        <f t="shared" si="57"/>
        <v>5.4385897172884476</v>
      </c>
      <c r="N178" s="41" t="str">
        <f t="shared" si="72"/>
        <v>5</v>
      </c>
      <c r="O178" s="24">
        <f t="shared" si="58"/>
        <v>5.2630766074613717</v>
      </c>
      <c r="P178" s="41" t="str">
        <f t="shared" si="73"/>
        <v>5</v>
      </c>
      <c r="Q178" s="24">
        <f t="shared" si="59"/>
        <v>3.1569192895364608</v>
      </c>
      <c r="R178" s="41" t="str">
        <f t="shared" si="74"/>
        <v>3</v>
      </c>
      <c r="S178" s="24">
        <f t="shared" si="60"/>
        <v>1.8830314744375301</v>
      </c>
      <c r="T178" s="41" t="str">
        <f t="shared" si="75"/>
        <v>1</v>
      </c>
      <c r="U178" s="24">
        <f t="shared" si="61"/>
        <v>10.596377693250361</v>
      </c>
      <c r="V178" s="41" t="str">
        <f t="shared" si="76"/>
        <v>X</v>
      </c>
      <c r="W178" s="24">
        <f t="shared" si="62"/>
        <v>7.1565323190043273</v>
      </c>
      <c r="X178" s="41" t="str">
        <f t="shared" si="77"/>
        <v>7</v>
      </c>
      <c r="Y178" s="24">
        <f t="shared" si="63"/>
        <v>1.8783878280519275</v>
      </c>
      <c r="Z178" s="41" t="str">
        <f t="shared" si="78"/>
        <v>1</v>
      </c>
      <c r="AA178" s="24">
        <f t="shared" si="64"/>
        <v>10.54065393662313</v>
      </c>
      <c r="AB178" s="41" t="str">
        <f t="shared" si="79"/>
        <v>E</v>
      </c>
      <c r="AC178" s="24">
        <f t="shared" si="65"/>
        <v>6.4878472394775599</v>
      </c>
      <c r="AD178" s="41" t="str">
        <f t="shared" si="80"/>
        <v/>
      </c>
      <c r="AE178" s="24">
        <f t="shared" si="66"/>
        <v>5.8541668737307191</v>
      </c>
      <c r="AF178" s="41" t="str">
        <f t="shared" si="81"/>
        <v/>
      </c>
      <c r="AG178" s="24">
        <f t="shared" si="67"/>
        <v>10.250002484768629</v>
      </c>
      <c r="AH178" s="41" t="str">
        <f t="shared" si="82"/>
        <v/>
      </c>
      <c r="AI178" s="24">
        <f t="shared" si="68"/>
        <v>3.0000298172235489</v>
      </c>
      <c r="AJ178" s="41" t="str">
        <f t="shared" si="83"/>
        <v/>
      </c>
    </row>
    <row r="179" spans="1:36" x14ac:dyDescent="0.2">
      <c r="A179" s="314" t="s">
        <v>933</v>
      </c>
      <c r="B179" s="315">
        <v>84</v>
      </c>
      <c r="C179" s="316" t="s">
        <v>932</v>
      </c>
      <c r="D179" s="317">
        <v>210</v>
      </c>
      <c r="E179" s="316"/>
      <c r="F179" s="8">
        <v>2</v>
      </c>
      <c r="G179" s="21">
        <f t="shared" si="69"/>
        <v>210.28407589060222</v>
      </c>
      <c r="H179" s="37" t="str">
        <f t="shared" si="56"/>
        <v>1;56</v>
      </c>
      <c r="I179" s="38">
        <v>2</v>
      </c>
      <c r="J179" s="128">
        <f t="shared" si="70"/>
        <v>1.4603060825736265</v>
      </c>
      <c r="K179" s="39" t="str">
        <f>INDEX(powers!$H$2:$H$75,33+I179)</f>
        <v>gross</v>
      </c>
      <c r="L179" s="40" t="str">
        <f t="shared" si="71"/>
        <v>1</v>
      </c>
      <c r="M179" s="24">
        <f t="shared" si="57"/>
        <v>5.5236729908835178</v>
      </c>
      <c r="N179" s="41" t="str">
        <f t="shared" si="72"/>
        <v>5</v>
      </c>
      <c r="O179" s="24">
        <f t="shared" si="58"/>
        <v>6.2840758906022138</v>
      </c>
      <c r="P179" s="41" t="str">
        <f t="shared" si="73"/>
        <v>6</v>
      </c>
      <c r="Q179" s="24">
        <f t="shared" si="59"/>
        <v>3.408910687226566</v>
      </c>
      <c r="R179" s="41" t="str">
        <f t="shared" si="74"/>
        <v/>
      </c>
      <c r="S179" s="24">
        <f t="shared" si="60"/>
        <v>4.9069282467187918</v>
      </c>
      <c r="T179" s="41" t="str">
        <f t="shared" si="75"/>
        <v/>
      </c>
      <c r="U179" s="24">
        <f t="shared" si="61"/>
        <v>10.883138960625502</v>
      </c>
      <c r="V179" s="41" t="str">
        <f t="shared" si="76"/>
        <v/>
      </c>
      <c r="W179" s="24">
        <f t="shared" si="62"/>
        <v>10.597667527506019</v>
      </c>
      <c r="X179" s="41" t="str">
        <f t="shared" si="77"/>
        <v/>
      </c>
      <c r="Y179" s="24">
        <f t="shared" si="63"/>
        <v>7.1720103300722258</v>
      </c>
      <c r="Z179" s="41" t="str">
        <f t="shared" si="78"/>
        <v/>
      </c>
      <c r="AA179" s="24">
        <f t="shared" si="64"/>
        <v>2.0641239608667092</v>
      </c>
      <c r="AB179" s="41" t="str">
        <f t="shared" si="79"/>
        <v/>
      </c>
      <c r="AC179" s="24">
        <f t="shared" si="65"/>
        <v>0.76948753040051088</v>
      </c>
      <c r="AD179" s="41" t="str">
        <f t="shared" si="80"/>
        <v/>
      </c>
      <c r="AE179" s="24">
        <f t="shared" si="66"/>
        <v>9.2338503648061305</v>
      </c>
      <c r="AF179" s="41" t="str">
        <f t="shared" si="81"/>
        <v/>
      </c>
      <c r="AG179" s="24">
        <f t="shared" si="67"/>
        <v>2.8062043776735663</v>
      </c>
      <c r="AH179" s="41" t="str">
        <f t="shared" si="82"/>
        <v/>
      </c>
      <c r="AI179" s="24">
        <f t="shared" si="68"/>
        <v>9.6744525320827961</v>
      </c>
      <c r="AJ179" s="41" t="str">
        <f t="shared" si="83"/>
        <v/>
      </c>
    </row>
    <row r="180" spans="1:36" x14ac:dyDescent="0.2">
      <c r="A180" s="314"/>
      <c r="B180" s="315"/>
      <c r="C180" s="316"/>
      <c r="D180" s="317"/>
      <c r="E180" s="316">
        <v>209.982857</v>
      </c>
      <c r="F180" s="8">
        <v>9</v>
      </c>
      <c r="G180" s="21">
        <f t="shared" si="69"/>
        <v>210.26690970054034</v>
      </c>
      <c r="H180" s="37" t="str">
        <f t="shared" si="56"/>
        <v>1;563252781</v>
      </c>
      <c r="I180" s="38">
        <v>2</v>
      </c>
      <c r="J180" s="128">
        <f t="shared" si="70"/>
        <v>1.460186872920419</v>
      </c>
      <c r="K180" s="39" t="str">
        <f>INDEX(powers!$H$2:$H$75,33+I180)</f>
        <v>gross</v>
      </c>
      <c r="L180" s="40" t="str">
        <f t="shared" si="71"/>
        <v>1</v>
      </c>
      <c r="M180" s="24">
        <f t="shared" si="57"/>
        <v>5.5222424750450285</v>
      </c>
      <c r="N180" s="41" t="str">
        <f t="shared" si="72"/>
        <v>5</v>
      </c>
      <c r="O180" s="24">
        <f t="shared" si="58"/>
        <v>6.2669097005403422</v>
      </c>
      <c r="P180" s="41" t="str">
        <f t="shared" si="73"/>
        <v>6</v>
      </c>
      <c r="Q180" s="24">
        <f t="shared" si="59"/>
        <v>3.2029164064841069</v>
      </c>
      <c r="R180" s="41" t="str">
        <f t="shared" si="74"/>
        <v>3</v>
      </c>
      <c r="S180" s="24">
        <f t="shared" si="60"/>
        <v>2.434996877809283</v>
      </c>
      <c r="T180" s="41" t="str">
        <f t="shared" si="75"/>
        <v>2</v>
      </c>
      <c r="U180" s="24">
        <f t="shared" si="61"/>
        <v>5.2199625337113957</v>
      </c>
      <c r="V180" s="41" t="str">
        <f t="shared" si="76"/>
        <v>5</v>
      </c>
      <c r="W180" s="24">
        <f t="shared" si="62"/>
        <v>2.6395504045367488</v>
      </c>
      <c r="X180" s="41" t="str">
        <f t="shared" si="77"/>
        <v>2</v>
      </c>
      <c r="Y180" s="24">
        <f t="shared" si="63"/>
        <v>7.6746048544409859</v>
      </c>
      <c r="Z180" s="41" t="str">
        <f t="shared" si="78"/>
        <v>7</v>
      </c>
      <c r="AA180" s="24">
        <f t="shared" si="64"/>
        <v>8.0952582532918314</v>
      </c>
      <c r="AB180" s="41" t="str">
        <f t="shared" si="79"/>
        <v>8</v>
      </c>
      <c r="AC180" s="24">
        <f t="shared" si="65"/>
        <v>1.1430990395019762</v>
      </c>
      <c r="AD180" s="41" t="str">
        <f t="shared" si="80"/>
        <v>1</v>
      </c>
      <c r="AE180" s="24">
        <f t="shared" si="66"/>
        <v>1.7171884740237147</v>
      </c>
      <c r="AF180" s="41" t="str">
        <f t="shared" si="81"/>
        <v/>
      </c>
      <c r="AG180" s="24">
        <f t="shared" si="67"/>
        <v>8.6062616882845759</v>
      </c>
      <c r="AH180" s="41" t="str">
        <f t="shared" si="82"/>
        <v/>
      </c>
      <c r="AI180" s="24">
        <f t="shared" si="68"/>
        <v>7.2751402594149113</v>
      </c>
      <c r="AJ180" s="41" t="str">
        <f t="shared" si="83"/>
        <v/>
      </c>
    </row>
    <row r="181" spans="1:36" x14ac:dyDescent="0.2">
      <c r="A181" s="314" t="s">
        <v>935</v>
      </c>
      <c r="B181" s="315">
        <v>85</v>
      </c>
      <c r="C181" s="316" t="s">
        <v>934</v>
      </c>
      <c r="D181" s="317">
        <v>210</v>
      </c>
      <c r="E181" s="316"/>
      <c r="F181" s="8">
        <v>2</v>
      </c>
      <c r="G181" s="21">
        <f t="shared" si="69"/>
        <v>210.28407589060222</v>
      </c>
      <c r="H181" s="37" t="str">
        <f t="shared" si="56"/>
        <v>1;56</v>
      </c>
      <c r="I181" s="38">
        <v>2</v>
      </c>
      <c r="J181" s="128">
        <f t="shared" si="70"/>
        <v>1.4603060825736265</v>
      </c>
      <c r="K181" s="39" t="str">
        <f>INDEX(powers!$H$2:$H$75,33+I181)</f>
        <v>gross</v>
      </c>
      <c r="L181" s="40" t="str">
        <f t="shared" si="71"/>
        <v>1</v>
      </c>
      <c r="M181" s="24">
        <f t="shared" si="57"/>
        <v>5.5236729908835178</v>
      </c>
      <c r="N181" s="41" t="str">
        <f t="shared" si="72"/>
        <v>5</v>
      </c>
      <c r="O181" s="24">
        <f t="shared" si="58"/>
        <v>6.2840758906022138</v>
      </c>
      <c r="P181" s="41" t="str">
        <f t="shared" si="73"/>
        <v>6</v>
      </c>
      <c r="Q181" s="24">
        <f t="shared" si="59"/>
        <v>3.408910687226566</v>
      </c>
      <c r="R181" s="41" t="str">
        <f t="shared" si="74"/>
        <v/>
      </c>
      <c r="S181" s="24">
        <f t="shared" si="60"/>
        <v>4.9069282467187918</v>
      </c>
      <c r="T181" s="41" t="str">
        <f t="shared" si="75"/>
        <v/>
      </c>
      <c r="U181" s="24">
        <f t="shared" si="61"/>
        <v>10.883138960625502</v>
      </c>
      <c r="V181" s="41" t="str">
        <f t="shared" si="76"/>
        <v/>
      </c>
      <c r="W181" s="24">
        <f t="shared" si="62"/>
        <v>10.597667527506019</v>
      </c>
      <c r="X181" s="41" t="str">
        <f t="shared" si="77"/>
        <v/>
      </c>
      <c r="Y181" s="24">
        <f t="shared" si="63"/>
        <v>7.1720103300722258</v>
      </c>
      <c r="Z181" s="41" t="str">
        <f t="shared" si="78"/>
        <v/>
      </c>
      <c r="AA181" s="24">
        <f t="shared" si="64"/>
        <v>2.0641239608667092</v>
      </c>
      <c r="AB181" s="41" t="str">
        <f t="shared" si="79"/>
        <v/>
      </c>
      <c r="AC181" s="24">
        <f t="shared" si="65"/>
        <v>0.76948753040051088</v>
      </c>
      <c r="AD181" s="41" t="str">
        <f t="shared" si="80"/>
        <v/>
      </c>
      <c r="AE181" s="24">
        <f t="shared" si="66"/>
        <v>9.2338503648061305</v>
      </c>
      <c r="AF181" s="41" t="str">
        <f t="shared" si="81"/>
        <v/>
      </c>
      <c r="AG181" s="24">
        <f t="shared" si="67"/>
        <v>2.8062043776735663</v>
      </c>
      <c r="AH181" s="41" t="str">
        <f t="shared" si="82"/>
        <v/>
      </c>
      <c r="AI181" s="24">
        <f t="shared" si="68"/>
        <v>9.6744525320827961</v>
      </c>
      <c r="AJ181" s="41" t="str">
        <f t="shared" si="83"/>
        <v/>
      </c>
    </row>
    <row r="182" spans="1:36" x14ac:dyDescent="0.2">
      <c r="A182" s="314"/>
      <c r="B182" s="315"/>
      <c r="C182" s="316"/>
      <c r="D182" s="317"/>
      <c r="E182" s="316">
        <v>209.98713100000001</v>
      </c>
      <c r="F182" s="8">
        <v>9</v>
      </c>
      <c r="G182" s="21">
        <f t="shared" si="69"/>
        <v>210.27118948216111</v>
      </c>
      <c r="H182" s="37" t="str">
        <f t="shared" si="56"/>
        <v>1;563307475</v>
      </c>
      <c r="I182" s="38">
        <v>2</v>
      </c>
      <c r="J182" s="128">
        <f t="shared" si="70"/>
        <v>1.4602165936261189</v>
      </c>
      <c r="K182" s="39" t="str">
        <f>INDEX(powers!$H$2:$H$75,33+I182)</f>
        <v>gross</v>
      </c>
      <c r="L182" s="40" t="str">
        <f t="shared" si="71"/>
        <v>1</v>
      </c>
      <c r="M182" s="24">
        <f t="shared" si="57"/>
        <v>5.5225991235134266</v>
      </c>
      <c r="N182" s="41" t="str">
        <f t="shared" si="72"/>
        <v>5</v>
      </c>
      <c r="O182" s="24">
        <f t="shared" si="58"/>
        <v>6.2711894821611196</v>
      </c>
      <c r="P182" s="41" t="str">
        <f t="shared" si="73"/>
        <v>6</v>
      </c>
      <c r="Q182" s="24">
        <f t="shared" si="59"/>
        <v>3.2542737859334352</v>
      </c>
      <c r="R182" s="41" t="str">
        <f t="shared" si="74"/>
        <v>3</v>
      </c>
      <c r="S182" s="24">
        <f t="shared" si="60"/>
        <v>3.0512854312012223</v>
      </c>
      <c r="T182" s="41" t="str">
        <f t="shared" si="75"/>
        <v>3</v>
      </c>
      <c r="U182" s="24">
        <f t="shared" si="61"/>
        <v>0.61542517441466771</v>
      </c>
      <c r="V182" s="41" t="str">
        <f t="shared" si="76"/>
        <v>0</v>
      </c>
      <c r="W182" s="24">
        <f t="shared" si="62"/>
        <v>7.3851020929760125</v>
      </c>
      <c r="X182" s="41" t="str">
        <f t="shared" si="77"/>
        <v>7</v>
      </c>
      <c r="Y182" s="24">
        <f t="shared" si="63"/>
        <v>4.62122511571215</v>
      </c>
      <c r="Z182" s="41" t="str">
        <f t="shared" si="78"/>
        <v>4</v>
      </c>
      <c r="AA182" s="24">
        <f t="shared" si="64"/>
        <v>7.4547013885458</v>
      </c>
      <c r="AB182" s="41" t="str">
        <f t="shared" si="79"/>
        <v>7</v>
      </c>
      <c r="AC182" s="24">
        <f t="shared" si="65"/>
        <v>5.4564166625496</v>
      </c>
      <c r="AD182" s="41" t="str">
        <f t="shared" si="80"/>
        <v>5</v>
      </c>
      <c r="AE182" s="24">
        <f t="shared" si="66"/>
        <v>5.4769999505952001</v>
      </c>
      <c r="AF182" s="41" t="str">
        <f t="shared" si="81"/>
        <v/>
      </c>
      <c r="AG182" s="24">
        <f t="shared" si="67"/>
        <v>5.7239994071424007</v>
      </c>
      <c r="AH182" s="41" t="str">
        <f t="shared" si="82"/>
        <v/>
      </c>
      <c r="AI182" s="24">
        <f t="shared" si="68"/>
        <v>8.6879928857088089</v>
      </c>
      <c r="AJ182" s="41" t="str">
        <f t="shared" si="83"/>
        <v/>
      </c>
    </row>
    <row r="183" spans="1:36" x14ac:dyDescent="0.2">
      <c r="A183" s="314" t="s">
        <v>937</v>
      </c>
      <c r="B183" s="315">
        <v>86</v>
      </c>
      <c r="C183" s="316" t="s">
        <v>936</v>
      </c>
      <c r="D183" s="317">
        <v>222</v>
      </c>
      <c r="E183" s="316"/>
      <c r="F183" s="8">
        <v>2</v>
      </c>
      <c r="G183" s="21">
        <f t="shared" si="69"/>
        <v>222.30030879863662</v>
      </c>
      <c r="H183" s="37" t="str">
        <f t="shared" si="56"/>
        <v>1;66</v>
      </c>
      <c r="I183" s="38">
        <v>2</v>
      </c>
      <c r="J183" s="128">
        <f t="shared" si="70"/>
        <v>1.5437521444349764</v>
      </c>
      <c r="K183" s="39" t="str">
        <f>INDEX(powers!$H$2:$H$75,33+I183)</f>
        <v>gross</v>
      </c>
      <c r="L183" s="40" t="str">
        <f t="shared" si="71"/>
        <v>1</v>
      </c>
      <c r="M183" s="24">
        <f t="shared" si="57"/>
        <v>6.5250257332197172</v>
      </c>
      <c r="N183" s="41" t="str">
        <f t="shared" si="72"/>
        <v>6</v>
      </c>
      <c r="O183" s="24">
        <f t="shared" si="58"/>
        <v>6.3003087986366069</v>
      </c>
      <c r="P183" s="41" t="str">
        <f t="shared" si="73"/>
        <v>6</v>
      </c>
      <c r="Q183" s="24">
        <f t="shared" si="59"/>
        <v>3.6037055836392824</v>
      </c>
      <c r="R183" s="41" t="str">
        <f t="shared" si="74"/>
        <v/>
      </c>
      <c r="S183" s="24">
        <f t="shared" si="60"/>
        <v>7.2444670036713887</v>
      </c>
      <c r="T183" s="41" t="str">
        <f t="shared" si="75"/>
        <v/>
      </c>
      <c r="U183" s="24">
        <f t="shared" si="61"/>
        <v>2.9336040440566649</v>
      </c>
      <c r="V183" s="41" t="str">
        <f t="shared" si="76"/>
        <v/>
      </c>
      <c r="W183" s="24">
        <f t="shared" si="62"/>
        <v>11.203248528679978</v>
      </c>
      <c r="X183" s="41" t="str">
        <f t="shared" si="77"/>
        <v/>
      </c>
      <c r="Y183" s="24">
        <f t="shared" si="63"/>
        <v>2.43898234415974</v>
      </c>
      <c r="Z183" s="41" t="str">
        <f t="shared" si="78"/>
        <v/>
      </c>
      <c r="AA183" s="24">
        <f t="shared" si="64"/>
        <v>5.2677881299168803</v>
      </c>
      <c r="AB183" s="41" t="str">
        <f t="shared" si="79"/>
        <v/>
      </c>
      <c r="AC183" s="24">
        <f t="shared" si="65"/>
        <v>3.2134575590025634</v>
      </c>
      <c r="AD183" s="41" t="str">
        <f t="shared" si="80"/>
        <v/>
      </c>
      <c r="AE183" s="24">
        <f t="shared" si="66"/>
        <v>2.5614907080307603</v>
      </c>
      <c r="AF183" s="41" t="str">
        <f t="shared" si="81"/>
        <v/>
      </c>
      <c r="AG183" s="24">
        <f t="shared" si="67"/>
        <v>6.7378884963691235</v>
      </c>
      <c r="AH183" s="41" t="str">
        <f t="shared" si="82"/>
        <v/>
      </c>
      <c r="AI183" s="24">
        <f t="shared" si="68"/>
        <v>8.8546619564294815</v>
      </c>
      <c r="AJ183" s="41" t="str">
        <f t="shared" si="83"/>
        <v/>
      </c>
    </row>
    <row r="184" spans="1:36" x14ac:dyDescent="0.2">
      <c r="A184" s="314"/>
      <c r="B184" s="315"/>
      <c r="C184" s="316"/>
      <c r="D184" s="317"/>
      <c r="E184" s="316">
        <v>222.01757050000001</v>
      </c>
      <c r="F184" s="8">
        <v>10</v>
      </c>
      <c r="G184" s="21">
        <f t="shared" si="69"/>
        <v>222.31790306699585</v>
      </c>
      <c r="H184" s="37" t="str">
        <f t="shared" si="56"/>
        <v>1;6639940558</v>
      </c>
      <c r="I184" s="38">
        <v>2</v>
      </c>
      <c r="J184" s="128">
        <f t="shared" si="70"/>
        <v>1.5438743268541379</v>
      </c>
      <c r="K184" s="39" t="str">
        <f>INDEX(powers!$H$2:$H$75,33+I184)</f>
        <v>gross</v>
      </c>
      <c r="L184" s="40" t="str">
        <f t="shared" si="71"/>
        <v>1</v>
      </c>
      <c r="M184" s="24">
        <f t="shared" si="57"/>
        <v>6.5264919222496554</v>
      </c>
      <c r="N184" s="41" t="str">
        <f t="shared" si="72"/>
        <v>6</v>
      </c>
      <c r="O184" s="24">
        <f t="shared" si="58"/>
        <v>6.3179030669958642</v>
      </c>
      <c r="P184" s="41" t="str">
        <f t="shared" si="73"/>
        <v>6</v>
      </c>
      <c r="Q184" s="24">
        <f t="shared" si="59"/>
        <v>3.8148368039503708</v>
      </c>
      <c r="R184" s="41" t="str">
        <f t="shared" si="74"/>
        <v>3</v>
      </c>
      <c r="S184" s="24">
        <f t="shared" si="60"/>
        <v>9.77804164740445</v>
      </c>
      <c r="T184" s="41" t="str">
        <f t="shared" si="75"/>
        <v>9</v>
      </c>
      <c r="U184" s="24">
        <f t="shared" si="61"/>
        <v>9.3364997688534004</v>
      </c>
      <c r="V184" s="41" t="str">
        <f t="shared" si="76"/>
        <v>9</v>
      </c>
      <c r="W184" s="24">
        <f t="shared" si="62"/>
        <v>4.0379972262408046</v>
      </c>
      <c r="X184" s="41" t="str">
        <f t="shared" si="77"/>
        <v>4</v>
      </c>
      <c r="Y184" s="24">
        <f t="shared" si="63"/>
        <v>0.45596671488965512</v>
      </c>
      <c r="Z184" s="41" t="str">
        <f t="shared" si="78"/>
        <v>0</v>
      </c>
      <c r="AA184" s="24">
        <f t="shared" si="64"/>
        <v>5.4716005786758615</v>
      </c>
      <c r="AB184" s="41" t="str">
        <f t="shared" si="79"/>
        <v>5</v>
      </c>
      <c r="AC184" s="24">
        <f t="shared" si="65"/>
        <v>5.6592069441103376</v>
      </c>
      <c r="AD184" s="41" t="str">
        <f t="shared" si="80"/>
        <v>5</v>
      </c>
      <c r="AE184" s="24">
        <f t="shared" si="66"/>
        <v>7.9104833293240517</v>
      </c>
      <c r="AF184" s="41" t="str">
        <f t="shared" si="81"/>
        <v>8</v>
      </c>
      <c r="AG184" s="24">
        <f t="shared" si="67"/>
        <v>10.925799951888621</v>
      </c>
      <c r="AH184" s="41" t="str">
        <f t="shared" si="82"/>
        <v/>
      </c>
      <c r="AI184" s="24">
        <f t="shared" si="68"/>
        <v>11.10959942266345</v>
      </c>
      <c r="AJ184" s="41" t="str">
        <f t="shared" si="83"/>
        <v/>
      </c>
    </row>
    <row r="185" spans="1:36" x14ac:dyDescent="0.2">
      <c r="A185" s="314" t="s">
        <v>939</v>
      </c>
      <c r="B185" s="315">
        <v>87</v>
      </c>
      <c r="C185" s="316" t="s">
        <v>938</v>
      </c>
      <c r="D185" s="317">
        <v>223</v>
      </c>
      <c r="E185" s="316"/>
      <c r="F185" s="8">
        <v>2</v>
      </c>
      <c r="G185" s="21">
        <f t="shared" si="69"/>
        <v>223.30166154097284</v>
      </c>
      <c r="H185" s="37" t="str">
        <f t="shared" ref="H185:H237" si="84">L185&amp;";"&amp;N185&amp;P185&amp;R185&amp;T185&amp;V185&amp;X185&amp;Z185&amp;AB185&amp;AD185&amp;AF185&amp;AH185&amp;AJ185</f>
        <v>1;67</v>
      </c>
      <c r="I185" s="38">
        <v>2</v>
      </c>
      <c r="J185" s="128">
        <f t="shared" si="70"/>
        <v>1.5507059829234224</v>
      </c>
      <c r="K185" s="39" t="str">
        <f>INDEX(powers!$H$2:$H$75,33+I185)</f>
        <v>gross</v>
      </c>
      <c r="L185" s="40" t="str">
        <f t="shared" si="71"/>
        <v>1</v>
      </c>
      <c r="M185" s="24">
        <f t="shared" ref="M185:M237" si="85">(J185-INT(J185))*12</f>
        <v>6.6084717950810692</v>
      </c>
      <c r="N185" s="41" t="str">
        <f t="shared" si="72"/>
        <v>6</v>
      </c>
      <c r="O185" s="24">
        <f t="shared" ref="O185:O237" si="86">(M185-INT(M185))*12</f>
        <v>7.3016615409728303</v>
      </c>
      <c r="P185" s="41" t="str">
        <f t="shared" si="73"/>
        <v>7</v>
      </c>
      <c r="Q185" s="24">
        <f t="shared" ref="Q185:Q237" si="87">(O185-INT(O185))*12</f>
        <v>3.6199384916739632</v>
      </c>
      <c r="R185" s="41" t="str">
        <f t="shared" si="74"/>
        <v/>
      </c>
      <c r="S185" s="24">
        <f t="shared" ref="S185:S237" si="88">(Q185-INT(Q185))*12</f>
        <v>7.4392619000875584</v>
      </c>
      <c r="T185" s="41" t="str">
        <f t="shared" si="75"/>
        <v/>
      </c>
      <c r="U185" s="24">
        <f t="shared" ref="U185:U237" si="89">(S185-INT(S185))*12</f>
        <v>5.2711428010507007</v>
      </c>
      <c r="V185" s="41" t="str">
        <f t="shared" si="76"/>
        <v/>
      </c>
      <c r="W185" s="24">
        <f t="shared" ref="W185:W237" si="90">(U185-INT(U185))*12</f>
        <v>3.2537136126084079</v>
      </c>
      <c r="X185" s="41" t="str">
        <f t="shared" si="77"/>
        <v/>
      </c>
      <c r="Y185" s="24">
        <f t="shared" ref="Y185:Y237" si="91">(W185-INT(W185))*12</f>
        <v>3.0445633513008943</v>
      </c>
      <c r="Z185" s="41" t="str">
        <f t="shared" si="78"/>
        <v/>
      </c>
      <c r="AA185" s="24">
        <f t="shared" ref="AA185:AA237" si="92">(Y185-INT(Y185))*12</f>
        <v>0.53476021561073139</v>
      </c>
      <c r="AB185" s="41" t="str">
        <f t="shared" si="79"/>
        <v/>
      </c>
      <c r="AC185" s="24">
        <f t="shared" ref="AC185:AC237" si="93">(AA185-INT(AA185))*12</f>
        <v>6.4171225873287767</v>
      </c>
      <c r="AD185" s="41" t="str">
        <f t="shared" si="80"/>
        <v/>
      </c>
      <c r="AE185" s="24">
        <f t="shared" ref="AE185:AE237" si="94">(AC185-INT(AC185))*12</f>
        <v>5.0054710479453206</v>
      </c>
      <c r="AF185" s="41" t="str">
        <f t="shared" si="81"/>
        <v/>
      </c>
      <c r="AG185" s="24">
        <f t="shared" ref="AG185:AG237" si="95">(AE185-INT(AE185))*12</f>
        <v>6.5652575343847275E-2</v>
      </c>
      <c r="AH185" s="41" t="str">
        <f t="shared" si="82"/>
        <v/>
      </c>
      <c r="AI185" s="24">
        <f t="shared" ref="AI185:AI237" si="96">(AG185-INT(AG185))*12</f>
        <v>0.7878309041261673</v>
      </c>
      <c r="AJ185" s="41" t="str">
        <f t="shared" si="83"/>
        <v/>
      </c>
    </row>
    <row r="186" spans="1:36" x14ac:dyDescent="0.2">
      <c r="A186" s="314"/>
      <c r="B186" s="315"/>
      <c r="C186" s="316"/>
      <c r="D186" s="317"/>
      <c r="E186" s="316">
        <v>223.0197307</v>
      </c>
      <c r="F186" s="8">
        <v>10</v>
      </c>
      <c r="G186" s="21">
        <f t="shared" si="69"/>
        <v>223.32141893152604</v>
      </c>
      <c r="H186" s="37" t="str">
        <f t="shared" si="84"/>
        <v>1;673X34E395</v>
      </c>
      <c r="I186" s="38">
        <v>2</v>
      </c>
      <c r="J186" s="128">
        <f t="shared" si="70"/>
        <v>1.5508431870244863</v>
      </c>
      <c r="K186" s="39" t="str">
        <f>INDEX(powers!$H$2:$H$75,33+I186)</f>
        <v>gross</v>
      </c>
      <c r="L186" s="40" t="str">
        <f t="shared" si="71"/>
        <v>1</v>
      </c>
      <c r="M186" s="24">
        <f t="shared" si="85"/>
        <v>6.6101182442938358</v>
      </c>
      <c r="N186" s="41" t="str">
        <f t="shared" si="72"/>
        <v>6</v>
      </c>
      <c r="O186" s="24">
        <f t="shared" si="86"/>
        <v>7.3214189315260292</v>
      </c>
      <c r="P186" s="41" t="str">
        <f t="shared" si="73"/>
        <v>7</v>
      </c>
      <c r="Q186" s="24">
        <f t="shared" si="87"/>
        <v>3.8570271783123502</v>
      </c>
      <c r="R186" s="41" t="str">
        <f t="shared" si="74"/>
        <v>3</v>
      </c>
      <c r="S186" s="24">
        <f t="shared" si="88"/>
        <v>10.284326139748202</v>
      </c>
      <c r="T186" s="41" t="str">
        <f t="shared" si="75"/>
        <v>X</v>
      </c>
      <c r="U186" s="24">
        <f t="shared" si="89"/>
        <v>3.4119136769784291</v>
      </c>
      <c r="V186" s="41" t="str">
        <f t="shared" si="76"/>
        <v>3</v>
      </c>
      <c r="W186" s="24">
        <f t="shared" si="90"/>
        <v>4.9429641237411488</v>
      </c>
      <c r="X186" s="41" t="str">
        <f t="shared" si="77"/>
        <v>4</v>
      </c>
      <c r="Y186" s="24">
        <f t="shared" si="91"/>
        <v>11.315569484893786</v>
      </c>
      <c r="Z186" s="41" t="str">
        <f t="shared" si="78"/>
        <v>E</v>
      </c>
      <c r="AA186" s="24">
        <f t="shared" si="92"/>
        <v>3.7868338187254267</v>
      </c>
      <c r="AB186" s="41" t="str">
        <f t="shared" si="79"/>
        <v>3</v>
      </c>
      <c r="AC186" s="24">
        <f t="shared" si="93"/>
        <v>9.4420058247051202</v>
      </c>
      <c r="AD186" s="41" t="str">
        <f t="shared" si="80"/>
        <v>9</v>
      </c>
      <c r="AE186" s="24">
        <f t="shared" si="94"/>
        <v>5.3040698964614421</v>
      </c>
      <c r="AF186" s="41" t="str">
        <f t="shared" si="81"/>
        <v>5</v>
      </c>
      <c r="AG186" s="24">
        <f t="shared" si="95"/>
        <v>3.6488387575373054</v>
      </c>
      <c r="AH186" s="41" t="str">
        <f t="shared" si="82"/>
        <v/>
      </c>
      <c r="AI186" s="24">
        <f t="shared" si="96"/>
        <v>7.7860650904476643</v>
      </c>
      <c r="AJ186" s="41" t="str">
        <f t="shared" si="83"/>
        <v/>
      </c>
    </row>
    <row r="187" spans="1:36" x14ac:dyDescent="0.2">
      <c r="A187" s="314" t="s">
        <v>941</v>
      </c>
      <c r="B187" s="315">
        <v>88</v>
      </c>
      <c r="C187" s="316" t="s">
        <v>940</v>
      </c>
      <c r="D187" s="317">
        <v>226</v>
      </c>
      <c r="E187" s="316"/>
      <c r="F187" s="8">
        <v>2</v>
      </c>
      <c r="G187" s="21">
        <f t="shared" si="69"/>
        <v>226.30571976798143</v>
      </c>
      <c r="H187" s="37" t="str">
        <f t="shared" si="84"/>
        <v>1;6X</v>
      </c>
      <c r="I187" s="38">
        <v>2</v>
      </c>
      <c r="J187" s="128">
        <f t="shared" si="70"/>
        <v>1.57156749838876</v>
      </c>
      <c r="K187" s="39" t="str">
        <f>INDEX(powers!$H$2:$H$75,33+I187)</f>
        <v>gross</v>
      </c>
      <c r="L187" s="40" t="str">
        <f t="shared" si="71"/>
        <v>1</v>
      </c>
      <c r="M187" s="24">
        <f t="shared" si="85"/>
        <v>6.8588099806651197</v>
      </c>
      <c r="N187" s="41" t="str">
        <f t="shared" si="72"/>
        <v>6</v>
      </c>
      <c r="O187" s="24">
        <f t="shared" si="86"/>
        <v>10.305719767981437</v>
      </c>
      <c r="P187" s="41" t="str">
        <f t="shared" si="73"/>
        <v>X</v>
      </c>
      <c r="Q187" s="24">
        <f t="shared" si="87"/>
        <v>3.6686372157772382</v>
      </c>
      <c r="R187" s="41" t="str">
        <f t="shared" si="74"/>
        <v/>
      </c>
      <c r="S187" s="24">
        <f t="shared" si="88"/>
        <v>8.0236465893268587</v>
      </c>
      <c r="T187" s="41" t="str">
        <f t="shared" si="75"/>
        <v/>
      </c>
      <c r="U187" s="24">
        <f t="shared" si="89"/>
        <v>0.28375907192230443</v>
      </c>
      <c r="V187" s="41" t="str">
        <f t="shared" si="76"/>
        <v/>
      </c>
      <c r="W187" s="24">
        <f t="shared" si="90"/>
        <v>3.4051088630676531</v>
      </c>
      <c r="X187" s="41" t="str">
        <f t="shared" si="77"/>
        <v/>
      </c>
      <c r="Y187" s="24">
        <f t="shared" si="91"/>
        <v>4.8613063568118378</v>
      </c>
      <c r="Z187" s="41" t="str">
        <f t="shared" si="78"/>
        <v/>
      </c>
      <c r="AA187" s="24">
        <f t="shared" si="92"/>
        <v>10.335676281742053</v>
      </c>
      <c r="AB187" s="41" t="str">
        <f t="shared" si="79"/>
        <v/>
      </c>
      <c r="AC187" s="24">
        <f t="shared" si="93"/>
        <v>4.0281153809046373</v>
      </c>
      <c r="AD187" s="41" t="str">
        <f t="shared" si="80"/>
        <v/>
      </c>
      <c r="AE187" s="24">
        <f t="shared" si="94"/>
        <v>0.33738457085564733</v>
      </c>
      <c r="AF187" s="41" t="str">
        <f t="shared" si="81"/>
        <v/>
      </c>
      <c r="AG187" s="24">
        <f t="shared" si="95"/>
        <v>4.0486148502677679</v>
      </c>
      <c r="AH187" s="41" t="str">
        <f t="shared" si="82"/>
        <v/>
      </c>
      <c r="AI187" s="24">
        <f t="shared" si="96"/>
        <v>0.58337820321321487</v>
      </c>
      <c r="AJ187" s="41" t="str">
        <f t="shared" si="83"/>
        <v/>
      </c>
    </row>
    <row r="188" spans="1:36" x14ac:dyDescent="0.2">
      <c r="A188" s="314"/>
      <c r="B188" s="315"/>
      <c r="C188" s="316"/>
      <c r="D188" s="317"/>
      <c r="E188" s="316">
        <v>226.02540260000001</v>
      </c>
      <c r="F188" s="8">
        <v>10</v>
      </c>
      <c r="G188" s="21">
        <f t="shared" si="69"/>
        <v>226.3311567311539</v>
      </c>
      <c r="H188" s="37" t="str">
        <f t="shared" si="84"/>
        <v>1;6X3E82X485</v>
      </c>
      <c r="I188" s="38">
        <v>2</v>
      </c>
      <c r="J188" s="128">
        <f t="shared" si="70"/>
        <v>1.5717441439663464</v>
      </c>
      <c r="K188" s="39" t="str">
        <f>INDEX(powers!$H$2:$H$75,33+I188)</f>
        <v>gross</v>
      </c>
      <c r="L188" s="40" t="str">
        <f t="shared" si="71"/>
        <v>1</v>
      </c>
      <c r="M188" s="24">
        <f t="shared" si="85"/>
        <v>6.8609297275961572</v>
      </c>
      <c r="N188" s="41" t="str">
        <f t="shared" si="72"/>
        <v>6</v>
      </c>
      <c r="O188" s="24">
        <f t="shared" si="86"/>
        <v>10.331156731153886</v>
      </c>
      <c r="P188" s="41" t="str">
        <f t="shared" si="73"/>
        <v>X</v>
      </c>
      <c r="Q188" s="24">
        <f t="shared" si="87"/>
        <v>3.9738807738466306</v>
      </c>
      <c r="R188" s="41" t="str">
        <f t="shared" si="74"/>
        <v>3</v>
      </c>
      <c r="S188" s="24">
        <f t="shared" si="88"/>
        <v>11.686569286159568</v>
      </c>
      <c r="T188" s="41" t="str">
        <f t="shared" si="75"/>
        <v>E</v>
      </c>
      <c r="U188" s="24">
        <f t="shared" si="89"/>
        <v>8.238831433914811</v>
      </c>
      <c r="V188" s="41" t="str">
        <f t="shared" si="76"/>
        <v>8</v>
      </c>
      <c r="W188" s="24">
        <f t="shared" si="90"/>
        <v>2.8659772069777318</v>
      </c>
      <c r="X188" s="41" t="str">
        <f t="shared" si="77"/>
        <v>2</v>
      </c>
      <c r="Y188" s="24">
        <f t="shared" si="91"/>
        <v>10.391726483732782</v>
      </c>
      <c r="Z188" s="41" t="str">
        <f t="shared" si="78"/>
        <v>X</v>
      </c>
      <c r="AA188" s="24">
        <f t="shared" si="92"/>
        <v>4.7007178047933849</v>
      </c>
      <c r="AB188" s="41" t="str">
        <f t="shared" si="79"/>
        <v>4</v>
      </c>
      <c r="AC188" s="24">
        <f t="shared" si="93"/>
        <v>8.4086136575206183</v>
      </c>
      <c r="AD188" s="41" t="str">
        <f t="shared" si="80"/>
        <v>8</v>
      </c>
      <c r="AE188" s="24">
        <f t="shared" si="94"/>
        <v>4.9033638902474195</v>
      </c>
      <c r="AF188" s="41" t="str">
        <f t="shared" si="81"/>
        <v>5</v>
      </c>
      <c r="AG188" s="24">
        <f t="shared" si="95"/>
        <v>10.840366682969034</v>
      </c>
      <c r="AH188" s="41" t="str">
        <f t="shared" si="82"/>
        <v/>
      </c>
      <c r="AI188" s="24">
        <f t="shared" si="96"/>
        <v>10.084400195628405</v>
      </c>
      <c r="AJ188" s="41" t="str">
        <f t="shared" si="83"/>
        <v/>
      </c>
    </row>
    <row r="189" spans="1:36" x14ac:dyDescent="0.2">
      <c r="A189" s="314" t="s">
        <v>943</v>
      </c>
      <c r="B189" s="315">
        <v>89</v>
      </c>
      <c r="C189" s="316" t="s">
        <v>942</v>
      </c>
      <c r="D189" s="317">
        <v>227</v>
      </c>
      <c r="E189" s="316"/>
      <c r="F189" s="8">
        <v>2</v>
      </c>
      <c r="G189" s="21">
        <f t="shared" si="69"/>
        <v>227.30707251031762</v>
      </c>
      <c r="H189" s="37" t="str">
        <f t="shared" si="84"/>
        <v>1;6E</v>
      </c>
      <c r="I189" s="38">
        <v>2</v>
      </c>
      <c r="J189" s="128">
        <f t="shared" si="70"/>
        <v>1.5785213368772057</v>
      </c>
      <c r="K189" s="39" t="str">
        <f>INDEX(powers!$H$2:$H$75,33+I189)</f>
        <v>gross</v>
      </c>
      <c r="L189" s="40" t="str">
        <f t="shared" si="71"/>
        <v>1</v>
      </c>
      <c r="M189" s="24">
        <f t="shared" si="85"/>
        <v>6.942256042526469</v>
      </c>
      <c r="N189" s="41" t="str">
        <f t="shared" si="72"/>
        <v>6</v>
      </c>
      <c r="O189" s="24">
        <f t="shared" si="86"/>
        <v>11.307072510317628</v>
      </c>
      <c r="P189" s="41" t="str">
        <f t="shared" si="73"/>
        <v>E</v>
      </c>
      <c r="Q189" s="24">
        <f t="shared" si="87"/>
        <v>3.6848701238115353</v>
      </c>
      <c r="R189" s="41" t="str">
        <f t="shared" si="74"/>
        <v/>
      </c>
      <c r="S189" s="24">
        <f t="shared" si="88"/>
        <v>8.218441485738424</v>
      </c>
      <c r="T189" s="41" t="str">
        <f t="shared" si="75"/>
        <v/>
      </c>
      <c r="U189" s="24">
        <f t="shared" si="89"/>
        <v>2.6212978288610884</v>
      </c>
      <c r="V189" s="41" t="str">
        <f t="shared" si="76"/>
        <v/>
      </c>
      <c r="W189" s="24">
        <f t="shared" si="90"/>
        <v>7.455573946333061</v>
      </c>
      <c r="X189" s="41" t="str">
        <f t="shared" si="77"/>
        <v/>
      </c>
      <c r="Y189" s="24">
        <f t="shared" si="91"/>
        <v>5.4668873559967324</v>
      </c>
      <c r="Z189" s="41" t="str">
        <f t="shared" si="78"/>
        <v/>
      </c>
      <c r="AA189" s="24">
        <f t="shared" si="92"/>
        <v>5.6026482719607884</v>
      </c>
      <c r="AB189" s="41" t="str">
        <f t="shared" si="79"/>
        <v/>
      </c>
      <c r="AC189" s="24">
        <f t="shared" si="93"/>
        <v>7.2317792635294609</v>
      </c>
      <c r="AD189" s="41" t="str">
        <f t="shared" si="80"/>
        <v/>
      </c>
      <c r="AE189" s="24">
        <f t="shared" si="94"/>
        <v>2.7813511623535305</v>
      </c>
      <c r="AF189" s="41" t="str">
        <f t="shared" si="81"/>
        <v/>
      </c>
      <c r="AG189" s="24">
        <f t="shared" si="95"/>
        <v>9.3762139482423663</v>
      </c>
      <c r="AH189" s="41" t="str">
        <f t="shared" si="82"/>
        <v/>
      </c>
      <c r="AI189" s="24">
        <f t="shared" si="96"/>
        <v>4.5145673789083958</v>
      </c>
      <c r="AJ189" s="41" t="str">
        <f t="shared" si="83"/>
        <v/>
      </c>
    </row>
    <row r="190" spans="1:36" x14ac:dyDescent="0.2">
      <c r="A190" s="314"/>
      <c r="B190" s="315"/>
      <c r="C190" s="316"/>
      <c r="D190" s="317"/>
      <c r="E190" s="316">
        <v>227.02774700000001</v>
      </c>
      <c r="F190" s="8">
        <v>9</v>
      </c>
      <c r="G190" s="21">
        <f t="shared" si="69"/>
        <v>227.33485704485923</v>
      </c>
      <c r="H190" s="37" t="str">
        <f t="shared" si="84"/>
        <v>1;6E4027719</v>
      </c>
      <c r="I190" s="38">
        <v>2</v>
      </c>
      <c r="J190" s="128">
        <f t="shared" si="70"/>
        <v>1.5787142850337448</v>
      </c>
      <c r="K190" s="39" t="str">
        <f>INDEX(powers!$H$2:$H$75,33+I190)</f>
        <v>gross</v>
      </c>
      <c r="L190" s="40" t="str">
        <f t="shared" si="71"/>
        <v>1</v>
      </c>
      <c r="M190" s="24">
        <f t="shared" si="85"/>
        <v>6.9445714204049374</v>
      </c>
      <c r="N190" s="41" t="str">
        <f t="shared" si="72"/>
        <v>6</v>
      </c>
      <c r="O190" s="24">
        <f t="shared" si="86"/>
        <v>11.334857044859248</v>
      </c>
      <c r="P190" s="41" t="str">
        <f t="shared" si="73"/>
        <v>E</v>
      </c>
      <c r="Q190" s="24">
        <f t="shared" si="87"/>
        <v>4.0182845383109793</v>
      </c>
      <c r="R190" s="41" t="str">
        <f t="shared" si="74"/>
        <v>4</v>
      </c>
      <c r="S190" s="24">
        <f t="shared" si="88"/>
        <v>0.21941445973175178</v>
      </c>
      <c r="T190" s="41" t="str">
        <f t="shared" si="75"/>
        <v>0</v>
      </c>
      <c r="U190" s="24">
        <f t="shared" si="89"/>
        <v>2.6329735167810213</v>
      </c>
      <c r="V190" s="41" t="str">
        <f t="shared" si="76"/>
        <v>2</v>
      </c>
      <c r="W190" s="24">
        <f t="shared" si="90"/>
        <v>7.5956822013722558</v>
      </c>
      <c r="X190" s="41" t="str">
        <f t="shared" si="77"/>
        <v>7</v>
      </c>
      <c r="Y190" s="24">
        <f t="shared" si="91"/>
        <v>7.1481864164670696</v>
      </c>
      <c r="Z190" s="41" t="str">
        <f t="shared" si="78"/>
        <v>7</v>
      </c>
      <c r="AA190" s="24">
        <f t="shared" si="92"/>
        <v>1.7782369976048358</v>
      </c>
      <c r="AB190" s="41" t="str">
        <f t="shared" si="79"/>
        <v>1</v>
      </c>
      <c r="AC190" s="24">
        <f t="shared" si="93"/>
        <v>9.3388439712580293</v>
      </c>
      <c r="AD190" s="41" t="str">
        <f t="shared" si="80"/>
        <v>9</v>
      </c>
      <c r="AE190" s="24">
        <f t="shared" si="94"/>
        <v>4.0661276550963521</v>
      </c>
      <c r="AF190" s="41" t="str">
        <f t="shared" si="81"/>
        <v/>
      </c>
      <c r="AG190" s="24">
        <f t="shared" si="95"/>
        <v>0.7935318611562252</v>
      </c>
      <c r="AH190" s="41" t="str">
        <f t="shared" si="82"/>
        <v/>
      </c>
      <c r="AI190" s="24">
        <f t="shared" si="96"/>
        <v>9.5223823338747025</v>
      </c>
      <c r="AJ190" s="41" t="str">
        <f t="shared" si="83"/>
        <v/>
      </c>
    </row>
    <row r="191" spans="1:36" x14ac:dyDescent="0.2">
      <c r="A191" s="314" t="s">
        <v>945</v>
      </c>
      <c r="B191" s="315">
        <v>90</v>
      </c>
      <c r="C191" s="316" t="s">
        <v>944</v>
      </c>
      <c r="D191" s="317">
        <v>232.03806</v>
      </c>
      <c r="E191" s="316"/>
      <c r="F191" s="8">
        <v>8</v>
      </c>
      <c r="G191" s="21">
        <f t="shared" si="69"/>
        <v>232.35194770737195</v>
      </c>
      <c r="H191" s="37" t="str">
        <f t="shared" si="84"/>
        <v>1;744281EX</v>
      </c>
      <c r="I191" s="38">
        <v>2</v>
      </c>
      <c r="J191" s="128">
        <f t="shared" si="70"/>
        <v>1.6135551924123053</v>
      </c>
      <c r="K191" s="39" t="str">
        <f>INDEX(powers!$H$2:$H$75,33+I191)</f>
        <v>gross</v>
      </c>
      <c r="L191" s="40" t="str">
        <f t="shared" si="71"/>
        <v>1</v>
      </c>
      <c r="M191" s="24">
        <f t="shared" si="85"/>
        <v>7.3626623089476633</v>
      </c>
      <c r="N191" s="41" t="str">
        <f t="shared" si="72"/>
        <v>7</v>
      </c>
      <c r="O191" s="24">
        <f t="shared" si="86"/>
        <v>4.3519477073719592</v>
      </c>
      <c r="P191" s="41" t="str">
        <f t="shared" si="73"/>
        <v>4</v>
      </c>
      <c r="Q191" s="24">
        <f t="shared" si="87"/>
        <v>4.2233724884635109</v>
      </c>
      <c r="R191" s="41" t="str">
        <f t="shared" si="74"/>
        <v>4</v>
      </c>
      <c r="S191" s="24">
        <f t="shared" si="88"/>
        <v>2.6804698615621305</v>
      </c>
      <c r="T191" s="41" t="str">
        <f t="shared" si="75"/>
        <v>2</v>
      </c>
      <c r="U191" s="24">
        <f t="shared" si="89"/>
        <v>8.1656383387455662</v>
      </c>
      <c r="V191" s="41" t="str">
        <f t="shared" si="76"/>
        <v>8</v>
      </c>
      <c r="W191" s="24">
        <f t="shared" si="90"/>
        <v>1.9876600649467946</v>
      </c>
      <c r="X191" s="41" t="str">
        <f t="shared" si="77"/>
        <v>1</v>
      </c>
      <c r="Y191" s="24">
        <f t="shared" si="91"/>
        <v>11.851920779361535</v>
      </c>
      <c r="Z191" s="41" t="str">
        <f t="shared" si="78"/>
        <v>E</v>
      </c>
      <c r="AA191" s="24">
        <f t="shared" si="92"/>
        <v>10.223049352338421</v>
      </c>
      <c r="AB191" s="41" t="str">
        <f t="shared" si="79"/>
        <v>X</v>
      </c>
      <c r="AC191" s="24">
        <f t="shared" si="93"/>
        <v>2.6765922280610539</v>
      </c>
      <c r="AD191" s="41" t="str">
        <f t="shared" si="80"/>
        <v/>
      </c>
      <c r="AE191" s="24">
        <f t="shared" si="94"/>
        <v>8.1191067367326468</v>
      </c>
      <c r="AF191" s="41" t="str">
        <f t="shared" si="81"/>
        <v/>
      </c>
      <c r="AG191" s="24">
        <f t="shared" si="95"/>
        <v>1.4292808407917619</v>
      </c>
      <c r="AH191" s="41" t="str">
        <f t="shared" si="82"/>
        <v/>
      </c>
      <c r="AI191" s="24">
        <f t="shared" si="96"/>
        <v>5.1513700895011425</v>
      </c>
      <c r="AJ191" s="41" t="str">
        <f t="shared" si="83"/>
        <v/>
      </c>
    </row>
    <row r="192" spans="1:36" x14ac:dyDescent="0.2">
      <c r="A192" s="314"/>
      <c r="B192" s="315"/>
      <c r="C192" s="316"/>
      <c r="D192" s="317"/>
      <c r="E192" s="316">
        <v>232.03809999999999</v>
      </c>
      <c r="F192" s="8">
        <v>7</v>
      </c>
      <c r="G192" s="21">
        <f t="shared" si="69"/>
        <v>232.35198776148164</v>
      </c>
      <c r="H192" s="37" t="str">
        <f t="shared" si="84"/>
        <v>1;744282X</v>
      </c>
      <c r="I192" s="38">
        <v>2</v>
      </c>
      <c r="J192" s="128">
        <f t="shared" si="70"/>
        <v>1.6135554705658448</v>
      </c>
      <c r="K192" s="39" t="str">
        <f>INDEX(powers!$H$2:$H$75,33+I192)</f>
        <v>gross</v>
      </c>
      <c r="L192" s="40" t="str">
        <f t="shared" si="71"/>
        <v>1</v>
      </c>
      <c r="M192" s="24">
        <f t="shared" si="85"/>
        <v>7.3626656467901377</v>
      </c>
      <c r="N192" s="41" t="str">
        <f t="shared" si="72"/>
        <v>7</v>
      </c>
      <c r="O192" s="24">
        <f t="shared" si="86"/>
        <v>4.3519877614816522</v>
      </c>
      <c r="P192" s="41" t="str">
        <f t="shared" si="73"/>
        <v>4</v>
      </c>
      <c r="Q192" s="24">
        <f t="shared" si="87"/>
        <v>4.2238531377798267</v>
      </c>
      <c r="R192" s="41" t="str">
        <f t="shared" si="74"/>
        <v>4</v>
      </c>
      <c r="S192" s="24">
        <f t="shared" si="88"/>
        <v>2.6862376533579209</v>
      </c>
      <c r="T192" s="41" t="str">
        <f t="shared" si="75"/>
        <v>2</v>
      </c>
      <c r="U192" s="24">
        <f t="shared" si="89"/>
        <v>8.2348518402950504</v>
      </c>
      <c r="V192" s="41" t="str">
        <f t="shared" si="76"/>
        <v>8</v>
      </c>
      <c r="W192" s="24">
        <f t="shared" si="90"/>
        <v>2.8182220835406042</v>
      </c>
      <c r="X192" s="41" t="str">
        <f t="shared" si="77"/>
        <v>2</v>
      </c>
      <c r="Y192" s="24">
        <f t="shared" si="91"/>
        <v>9.8186650024872506</v>
      </c>
      <c r="Z192" s="41" t="str">
        <f t="shared" si="78"/>
        <v>X</v>
      </c>
      <c r="AA192" s="24">
        <f t="shared" si="92"/>
        <v>9.8239800298470072</v>
      </c>
      <c r="AB192" s="41" t="str">
        <f t="shared" si="79"/>
        <v/>
      </c>
      <c r="AC192" s="24">
        <f t="shared" si="93"/>
        <v>9.8877603581640869</v>
      </c>
      <c r="AD192" s="41" t="str">
        <f t="shared" si="80"/>
        <v/>
      </c>
      <c r="AE192" s="24">
        <f t="shared" si="94"/>
        <v>10.653124297969043</v>
      </c>
      <c r="AF192" s="41" t="str">
        <f t="shared" si="81"/>
        <v/>
      </c>
      <c r="AG192" s="24">
        <f t="shared" si="95"/>
        <v>7.8374915756285191</v>
      </c>
      <c r="AH192" s="41" t="str">
        <f t="shared" si="82"/>
        <v/>
      </c>
      <c r="AI192" s="24">
        <f t="shared" si="96"/>
        <v>10.049898907542229</v>
      </c>
      <c r="AJ192" s="41" t="str">
        <f t="shared" si="83"/>
        <v/>
      </c>
    </row>
    <row r="193" spans="1:36" x14ac:dyDescent="0.2">
      <c r="A193" s="314" t="s">
        <v>947</v>
      </c>
      <c r="B193" s="315">
        <v>91</v>
      </c>
      <c r="C193" s="316" t="s">
        <v>946</v>
      </c>
      <c r="D193" s="317">
        <v>231.03587999999999</v>
      </c>
      <c r="E193" s="316"/>
      <c r="F193" s="8">
        <v>8</v>
      </c>
      <c r="G193" s="21">
        <f t="shared" si="69"/>
        <v>231.34841201605744</v>
      </c>
      <c r="H193" s="37" t="str">
        <f t="shared" si="84"/>
        <v>1;73422081</v>
      </c>
      <c r="I193" s="38">
        <v>2</v>
      </c>
      <c r="J193" s="128">
        <f t="shared" si="70"/>
        <v>1.6065861945559545</v>
      </c>
      <c r="K193" s="39" t="str">
        <f>INDEX(powers!$H$2:$H$75,33+I193)</f>
        <v>gross</v>
      </c>
      <c r="L193" s="40" t="str">
        <f t="shared" si="71"/>
        <v>1</v>
      </c>
      <c r="M193" s="24">
        <f t="shared" si="85"/>
        <v>7.2790343346714543</v>
      </c>
      <c r="N193" s="41" t="str">
        <f t="shared" si="72"/>
        <v>7</v>
      </c>
      <c r="O193" s="24">
        <f t="shared" si="86"/>
        <v>3.348412016057452</v>
      </c>
      <c r="P193" s="41" t="str">
        <f t="shared" si="73"/>
        <v>3</v>
      </c>
      <c r="Q193" s="24">
        <f t="shared" si="87"/>
        <v>4.1809441926894237</v>
      </c>
      <c r="R193" s="41" t="str">
        <f t="shared" si="74"/>
        <v>4</v>
      </c>
      <c r="S193" s="24">
        <f t="shared" si="88"/>
        <v>2.1713303122730849</v>
      </c>
      <c r="T193" s="41" t="str">
        <f t="shared" si="75"/>
        <v>2</v>
      </c>
      <c r="U193" s="24">
        <f t="shared" si="89"/>
        <v>2.0559637472770191</v>
      </c>
      <c r="V193" s="41" t="str">
        <f t="shared" si="76"/>
        <v>2</v>
      </c>
      <c r="W193" s="24">
        <f t="shared" si="90"/>
        <v>0.67156496732422966</v>
      </c>
      <c r="X193" s="41" t="str">
        <f t="shared" si="77"/>
        <v>0</v>
      </c>
      <c r="Y193" s="24">
        <f t="shared" si="91"/>
        <v>8.0587796078907559</v>
      </c>
      <c r="Z193" s="41" t="str">
        <f t="shared" si="78"/>
        <v>8</v>
      </c>
      <c r="AA193" s="24">
        <f t="shared" si="92"/>
        <v>0.70535529468907043</v>
      </c>
      <c r="AB193" s="41" t="str">
        <f t="shared" si="79"/>
        <v>1</v>
      </c>
      <c r="AC193" s="24">
        <f t="shared" si="93"/>
        <v>8.4642635362688452</v>
      </c>
      <c r="AD193" s="41" t="str">
        <f t="shared" si="80"/>
        <v/>
      </c>
      <c r="AE193" s="24">
        <f t="shared" si="94"/>
        <v>5.5711624352261424</v>
      </c>
      <c r="AF193" s="41" t="str">
        <f t="shared" si="81"/>
        <v/>
      </c>
      <c r="AG193" s="24">
        <f t="shared" si="95"/>
        <v>6.8539492227137089</v>
      </c>
      <c r="AH193" s="41" t="str">
        <f t="shared" si="82"/>
        <v/>
      </c>
      <c r="AI193" s="24">
        <f t="shared" si="96"/>
        <v>10.247390672564507</v>
      </c>
      <c r="AJ193" s="41" t="str">
        <f t="shared" si="83"/>
        <v/>
      </c>
    </row>
    <row r="194" spans="1:36" x14ac:dyDescent="0.2">
      <c r="A194" s="314" t="s">
        <v>949</v>
      </c>
      <c r="B194" s="315">
        <v>92</v>
      </c>
      <c r="C194" s="316" t="s">
        <v>948</v>
      </c>
      <c r="D194" s="317">
        <v>238.02891</v>
      </c>
      <c r="E194" s="318"/>
      <c r="F194" s="8">
        <v>8</v>
      </c>
      <c r="G194" s="21">
        <f t="shared" si="69"/>
        <v>238.35090178379679</v>
      </c>
      <c r="H194" s="37" t="str">
        <f t="shared" si="84"/>
        <v>1;7X426437</v>
      </c>
      <c r="I194" s="38">
        <v>2</v>
      </c>
      <c r="J194" s="128">
        <f t="shared" si="70"/>
        <v>1.6552145957208111</v>
      </c>
      <c r="K194" s="39" t="str">
        <f>INDEX(powers!$H$2:$H$75,33+I194)</f>
        <v>gross</v>
      </c>
      <c r="L194" s="40" t="str">
        <f t="shared" si="71"/>
        <v>1</v>
      </c>
      <c r="M194" s="24">
        <f t="shared" si="85"/>
        <v>7.8625751486497331</v>
      </c>
      <c r="N194" s="41" t="str">
        <f t="shared" si="72"/>
        <v>7</v>
      </c>
      <c r="O194" s="24">
        <f t="shared" si="86"/>
        <v>10.350901783796797</v>
      </c>
      <c r="P194" s="41" t="str">
        <f t="shared" si="73"/>
        <v>X</v>
      </c>
      <c r="Q194" s="24">
        <f t="shared" si="87"/>
        <v>4.2108214055615605</v>
      </c>
      <c r="R194" s="41" t="str">
        <f t="shared" si="74"/>
        <v>4</v>
      </c>
      <c r="S194" s="24">
        <f t="shared" si="88"/>
        <v>2.5298568667387258</v>
      </c>
      <c r="T194" s="41" t="str">
        <f t="shared" si="75"/>
        <v>2</v>
      </c>
      <c r="U194" s="24">
        <f t="shared" si="89"/>
        <v>6.3582824008647094</v>
      </c>
      <c r="V194" s="41" t="str">
        <f t="shared" si="76"/>
        <v>6</v>
      </c>
      <c r="W194" s="24">
        <f t="shared" si="90"/>
        <v>4.299388810376513</v>
      </c>
      <c r="X194" s="41" t="str">
        <f t="shared" si="77"/>
        <v>4</v>
      </c>
      <c r="Y194" s="24">
        <f t="shared" si="91"/>
        <v>3.5926657245181559</v>
      </c>
      <c r="Z194" s="41" t="str">
        <f t="shared" si="78"/>
        <v>3</v>
      </c>
      <c r="AA194" s="24">
        <f t="shared" si="92"/>
        <v>7.1119886942178709</v>
      </c>
      <c r="AB194" s="41" t="str">
        <f t="shared" si="79"/>
        <v>7</v>
      </c>
      <c r="AC194" s="24">
        <f t="shared" si="93"/>
        <v>1.3438643306144513</v>
      </c>
      <c r="AD194" s="41" t="str">
        <f t="shared" si="80"/>
        <v/>
      </c>
      <c r="AE194" s="24">
        <f t="shared" si="94"/>
        <v>4.1263719673734158</v>
      </c>
      <c r="AF194" s="41" t="str">
        <f t="shared" si="81"/>
        <v/>
      </c>
      <c r="AG194" s="24">
        <f t="shared" si="95"/>
        <v>1.5164636084809899</v>
      </c>
      <c r="AH194" s="41" t="str">
        <f t="shared" si="82"/>
        <v/>
      </c>
      <c r="AI194" s="24">
        <f t="shared" si="96"/>
        <v>6.1975633017718792</v>
      </c>
      <c r="AJ194" s="41" t="str">
        <f t="shared" si="83"/>
        <v/>
      </c>
    </row>
    <row r="195" spans="1:36" x14ac:dyDescent="0.2">
      <c r="A195" s="314"/>
      <c r="B195" s="315"/>
      <c r="C195" s="316"/>
      <c r="D195" s="317"/>
      <c r="E195" s="316">
        <v>238.05078259999999</v>
      </c>
      <c r="F195" s="8">
        <v>10</v>
      </c>
      <c r="G195" s="21">
        <f t="shared" si="69"/>
        <v>238.37280397178878</v>
      </c>
      <c r="H195" s="37" t="str">
        <f t="shared" si="84"/>
        <v>1;7X45825684</v>
      </c>
      <c r="I195" s="38">
        <v>2</v>
      </c>
      <c r="J195" s="128">
        <f t="shared" si="70"/>
        <v>1.6553666942485332</v>
      </c>
      <c r="K195" s="39" t="str">
        <f>INDEX(powers!$H$2:$H$75,33+I195)</f>
        <v>gross</v>
      </c>
      <c r="L195" s="40" t="str">
        <f t="shared" si="71"/>
        <v>1</v>
      </c>
      <c r="M195" s="24">
        <f t="shared" si="85"/>
        <v>7.8644003309823987</v>
      </c>
      <c r="N195" s="41" t="str">
        <f t="shared" si="72"/>
        <v>7</v>
      </c>
      <c r="O195" s="24">
        <f t="shared" si="86"/>
        <v>10.372803971788784</v>
      </c>
      <c r="P195" s="41" t="str">
        <f t="shared" si="73"/>
        <v>X</v>
      </c>
      <c r="Q195" s="24">
        <f t="shared" si="87"/>
        <v>4.4736476614654066</v>
      </c>
      <c r="R195" s="41" t="str">
        <f t="shared" si="74"/>
        <v>4</v>
      </c>
      <c r="S195" s="24">
        <f t="shared" si="88"/>
        <v>5.6837719375848792</v>
      </c>
      <c r="T195" s="41" t="str">
        <f t="shared" si="75"/>
        <v>5</v>
      </c>
      <c r="U195" s="24">
        <f t="shared" si="89"/>
        <v>8.2052632510185504</v>
      </c>
      <c r="V195" s="41" t="str">
        <f t="shared" si="76"/>
        <v>8</v>
      </c>
      <c r="W195" s="24">
        <f t="shared" si="90"/>
        <v>2.4631590122226044</v>
      </c>
      <c r="X195" s="41" t="str">
        <f t="shared" si="77"/>
        <v>2</v>
      </c>
      <c r="Y195" s="24">
        <f t="shared" si="91"/>
        <v>5.5579081466712523</v>
      </c>
      <c r="Z195" s="41" t="str">
        <f t="shared" si="78"/>
        <v>5</v>
      </c>
      <c r="AA195" s="24">
        <f t="shared" si="92"/>
        <v>6.6948977600550279</v>
      </c>
      <c r="AB195" s="41" t="str">
        <f t="shared" si="79"/>
        <v>6</v>
      </c>
      <c r="AC195" s="24">
        <f t="shared" si="93"/>
        <v>8.3387731206603348</v>
      </c>
      <c r="AD195" s="41" t="str">
        <f t="shared" si="80"/>
        <v>8</v>
      </c>
      <c r="AE195" s="24">
        <f t="shared" si="94"/>
        <v>4.0652774479240179</v>
      </c>
      <c r="AF195" s="41" t="str">
        <f t="shared" si="81"/>
        <v>4</v>
      </c>
      <c r="AG195" s="24">
        <f t="shared" si="95"/>
        <v>0.78332937508821487</v>
      </c>
      <c r="AH195" s="41" t="str">
        <f t="shared" si="82"/>
        <v/>
      </c>
      <c r="AI195" s="24">
        <f t="shared" si="96"/>
        <v>9.3999525010585785</v>
      </c>
      <c r="AJ195" s="41" t="str">
        <f t="shared" si="83"/>
        <v/>
      </c>
    </row>
    <row r="196" spans="1:36" x14ac:dyDescent="0.2">
      <c r="A196" s="314" t="s">
        <v>951</v>
      </c>
      <c r="B196" s="315">
        <v>93</v>
      </c>
      <c r="C196" s="316" t="s">
        <v>950</v>
      </c>
      <c r="D196" s="317">
        <v>237</v>
      </c>
      <c r="E196" s="316"/>
      <c r="F196" s="8">
        <v>2</v>
      </c>
      <c r="G196" s="21">
        <f t="shared" si="69"/>
        <v>237.32059993367963</v>
      </c>
      <c r="H196" s="37" t="str">
        <f t="shared" si="84"/>
        <v>1;79</v>
      </c>
      <c r="I196" s="38">
        <v>2</v>
      </c>
      <c r="J196" s="128">
        <f t="shared" si="70"/>
        <v>1.6480597217616642</v>
      </c>
      <c r="K196" s="39" t="str">
        <f>INDEX(powers!$H$2:$H$75,33+I196)</f>
        <v>gross</v>
      </c>
      <c r="L196" s="40" t="str">
        <f t="shared" si="71"/>
        <v>1</v>
      </c>
      <c r="M196" s="24">
        <f t="shared" si="85"/>
        <v>7.7767166611399698</v>
      </c>
      <c r="N196" s="41" t="str">
        <f t="shared" si="72"/>
        <v>7</v>
      </c>
      <c r="O196" s="24">
        <f t="shared" si="86"/>
        <v>9.3205999336796381</v>
      </c>
      <c r="P196" s="41" t="str">
        <f t="shared" si="73"/>
        <v>9</v>
      </c>
      <c r="Q196" s="24">
        <f t="shared" si="87"/>
        <v>3.8471992041556575</v>
      </c>
      <c r="R196" s="41" t="str">
        <f t="shared" si="74"/>
        <v/>
      </c>
      <c r="S196" s="24">
        <f t="shared" si="88"/>
        <v>10.16639044986789</v>
      </c>
      <c r="T196" s="41" t="str">
        <f t="shared" si="75"/>
        <v/>
      </c>
      <c r="U196" s="24">
        <f t="shared" si="89"/>
        <v>1.9966853984146837</v>
      </c>
      <c r="V196" s="41" t="str">
        <f t="shared" si="76"/>
        <v/>
      </c>
      <c r="W196" s="24">
        <f t="shared" si="90"/>
        <v>11.960224780976205</v>
      </c>
      <c r="X196" s="41" t="str">
        <f t="shared" si="77"/>
        <v/>
      </c>
      <c r="Y196" s="24">
        <f t="shared" si="91"/>
        <v>11.522697371714457</v>
      </c>
      <c r="Z196" s="41" t="str">
        <f t="shared" si="78"/>
        <v/>
      </c>
      <c r="AA196" s="24">
        <f t="shared" si="92"/>
        <v>6.2723684605734888</v>
      </c>
      <c r="AB196" s="41" t="str">
        <f t="shared" si="79"/>
        <v/>
      </c>
      <c r="AC196" s="24">
        <f t="shared" si="93"/>
        <v>3.2684215268818662</v>
      </c>
      <c r="AD196" s="41" t="str">
        <f t="shared" si="80"/>
        <v/>
      </c>
      <c r="AE196" s="24">
        <f t="shared" si="94"/>
        <v>3.2210583225823939</v>
      </c>
      <c r="AF196" s="41" t="str">
        <f t="shared" si="81"/>
        <v/>
      </c>
      <c r="AG196" s="24">
        <f t="shared" si="95"/>
        <v>2.6526998709887266</v>
      </c>
      <c r="AH196" s="41" t="str">
        <f t="shared" si="82"/>
        <v/>
      </c>
      <c r="AI196" s="24">
        <f t="shared" si="96"/>
        <v>7.8323984518647194</v>
      </c>
      <c r="AJ196" s="41" t="str">
        <f t="shared" si="83"/>
        <v/>
      </c>
    </row>
    <row r="197" spans="1:36" x14ac:dyDescent="0.2">
      <c r="A197" s="314"/>
      <c r="B197" s="315"/>
      <c r="C197" s="316"/>
      <c r="D197" s="317"/>
      <c r="E197" s="316">
        <v>237.04816729999999</v>
      </c>
      <c r="F197" s="8">
        <v>10</v>
      </c>
      <c r="G197" s="21">
        <f t="shared" si="69"/>
        <v>237.36883239162555</v>
      </c>
      <c r="H197" s="37" t="str">
        <f t="shared" si="84"/>
        <v>1;7945141375</v>
      </c>
      <c r="I197" s="38">
        <v>2</v>
      </c>
      <c r="J197" s="128">
        <f t="shared" si="70"/>
        <v>1.6483946693862885</v>
      </c>
      <c r="K197" s="39" t="str">
        <f>INDEX(powers!$H$2:$H$75,33+I197)</f>
        <v>gross</v>
      </c>
      <c r="L197" s="40" t="str">
        <f t="shared" si="71"/>
        <v>1</v>
      </c>
      <c r="M197" s="24">
        <f t="shared" si="85"/>
        <v>7.7807360326354624</v>
      </c>
      <c r="N197" s="41" t="str">
        <f t="shared" si="72"/>
        <v>7</v>
      </c>
      <c r="O197" s="24">
        <f t="shared" si="86"/>
        <v>9.3688323916255491</v>
      </c>
      <c r="P197" s="41" t="str">
        <f t="shared" si="73"/>
        <v>9</v>
      </c>
      <c r="Q197" s="24">
        <f t="shared" si="87"/>
        <v>4.4259886995065898</v>
      </c>
      <c r="R197" s="41" t="str">
        <f t="shared" si="74"/>
        <v>4</v>
      </c>
      <c r="S197" s="24">
        <f t="shared" si="88"/>
        <v>5.1118643940790776</v>
      </c>
      <c r="T197" s="41" t="str">
        <f t="shared" si="75"/>
        <v>5</v>
      </c>
      <c r="U197" s="24">
        <f t="shared" si="89"/>
        <v>1.3423727289489307</v>
      </c>
      <c r="V197" s="41" t="str">
        <f t="shared" si="76"/>
        <v>1</v>
      </c>
      <c r="W197" s="24">
        <f t="shared" si="90"/>
        <v>4.1084727473871681</v>
      </c>
      <c r="X197" s="41" t="str">
        <f t="shared" si="77"/>
        <v>4</v>
      </c>
      <c r="Y197" s="24">
        <f t="shared" si="91"/>
        <v>1.3016729686460167</v>
      </c>
      <c r="Z197" s="41" t="str">
        <f t="shared" si="78"/>
        <v>1</v>
      </c>
      <c r="AA197" s="24">
        <f t="shared" si="92"/>
        <v>3.6200756237522</v>
      </c>
      <c r="AB197" s="41" t="str">
        <f t="shared" si="79"/>
        <v>3</v>
      </c>
      <c r="AC197" s="24">
        <f t="shared" si="93"/>
        <v>7.4409074850264005</v>
      </c>
      <c r="AD197" s="41" t="str">
        <f t="shared" si="80"/>
        <v>7</v>
      </c>
      <c r="AE197" s="24">
        <f t="shared" si="94"/>
        <v>5.2908898203168064</v>
      </c>
      <c r="AF197" s="41" t="str">
        <f t="shared" si="81"/>
        <v>5</v>
      </c>
      <c r="AG197" s="24">
        <f t="shared" si="95"/>
        <v>3.4906778438016772</v>
      </c>
      <c r="AH197" s="41" t="str">
        <f t="shared" si="82"/>
        <v/>
      </c>
      <c r="AI197" s="24">
        <f t="shared" si="96"/>
        <v>5.8881341256201267</v>
      </c>
      <c r="AJ197" s="41" t="str">
        <f t="shared" si="83"/>
        <v/>
      </c>
    </row>
    <row r="198" spans="1:36" x14ac:dyDescent="0.2">
      <c r="A198" s="314" t="s">
        <v>953</v>
      </c>
      <c r="B198" s="315">
        <v>94</v>
      </c>
      <c r="C198" s="316" t="s">
        <v>952</v>
      </c>
      <c r="D198" s="317">
        <v>239</v>
      </c>
      <c r="E198" s="316"/>
      <c r="F198" s="8">
        <v>2</v>
      </c>
      <c r="G198" s="21">
        <f t="shared" si="69"/>
        <v>239.32330541835205</v>
      </c>
      <c r="H198" s="37" t="str">
        <f t="shared" si="84"/>
        <v>1;7E</v>
      </c>
      <c r="I198" s="38">
        <v>2</v>
      </c>
      <c r="J198" s="128">
        <f t="shared" si="70"/>
        <v>1.6619673987385559</v>
      </c>
      <c r="K198" s="39" t="str">
        <f>INDEX(powers!$H$2:$H$75,33+I198)</f>
        <v>gross</v>
      </c>
      <c r="L198" s="40" t="str">
        <f t="shared" si="71"/>
        <v>1</v>
      </c>
      <c r="M198" s="24">
        <f t="shared" si="85"/>
        <v>7.9436087848626711</v>
      </c>
      <c r="N198" s="41" t="str">
        <f t="shared" si="72"/>
        <v>7</v>
      </c>
      <c r="O198" s="24">
        <f t="shared" si="86"/>
        <v>11.323305418352053</v>
      </c>
      <c r="P198" s="41" t="str">
        <f t="shared" si="73"/>
        <v>E</v>
      </c>
      <c r="Q198" s="24">
        <f t="shared" si="87"/>
        <v>3.8796650202246354</v>
      </c>
      <c r="R198" s="41" t="str">
        <f t="shared" si="74"/>
        <v/>
      </c>
      <c r="S198" s="24">
        <f t="shared" si="88"/>
        <v>10.555980242695625</v>
      </c>
      <c r="T198" s="41" t="str">
        <f t="shared" si="75"/>
        <v/>
      </c>
      <c r="U198" s="24">
        <f t="shared" si="89"/>
        <v>6.6717629123475035</v>
      </c>
      <c r="V198" s="41" t="str">
        <f t="shared" si="76"/>
        <v/>
      </c>
      <c r="W198" s="24">
        <f t="shared" si="90"/>
        <v>8.0611549481700422</v>
      </c>
      <c r="X198" s="41" t="str">
        <f t="shared" si="77"/>
        <v/>
      </c>
      <c r="Y198" s="24">
        <f t="shared" si="91"/>
        <v>0.73385937804050627</v>
      </c>
      <c r="Z198" s="41" t="str">
        <f t="shared" si="78"/>
        <v/>
      </c>
      <c r="AA198" s="24">
        <f t="shared" si="92"/>
        <v>8.8063125364860753</v>
      </c>
      <c r="AB198" s="41" t="str">
        <f t="shared" si="79"/>
        <v/>
      </c>
      <c r="AC198" s="24">
        <f t="shared" si="93"/>
        <v>9.6757504378329031</v>
      </c>
      <c r="AD198" s="41" t="str">
        <f t="shared" si="80"/>
        <v/>
      </c>
      <c r="AE198" s="24">
        <f t="shared" si="94"/>
        <v>8.1090052539948374</v>
      </c>
      <c r="AF198" s="41" t="str">
        <f t="shared" si="81"/>
        <v/>
      </c>
      <c r="AG198" s="24">
        <f t="shared" si="95"/>
        <v>1.3080630479380488</v>
      </c>
      <c r="AH198" s="41" t="str">
        <f t="shared" si="82"/>
        <v/>
      </c>
      <c r="AI198" s="24">
        <f t="shared" si="96"/>
        <v>3.6967565752565861</v>
      </c>
      <c r="AJ198" s="41" t="str">
        <f t="shared" si="83"/>
        <v/>
      </c>
    </row>
    <row r="199" spans="1:36" x14ac:dyDescent="0.2">
      <c r="A199" s="314"/>
      <c r="B199" s="315"/>
      <c r="C199" s="316"/>
      <c r="D199" s="317"/>
      <c r="E199" s="316">
        <v>239.0521565</v>
      </c>
      <c r="F199" s="8">
        <v>10</v>
      </c>
      <c r="G199" s="21">
        <f t="shared" si="69"/>
        <v>239.37553247265768</v>
      </c>
      <c r="H199" s="37" t="str">
        <f t="shared" si="84"/>
        <v>1;7E460E05E5</v>
      </c>
      <c r="I199" s="38">
        <v>2</v>
      </c>
      <c r="J199" s="128">
        <f t="shared" si="70"/>
        <v>1.6623300866156783</v>
      </c>
      <c r="K199" s="39" t="str">
        <f>INDEX(powers!$H$2:$H$75,33+I199)</f>
        <v>gross</v>
      </c>
      <c r="L199" s="40" t="str">
        <f t="shared" si="71"/>
        <v>1</v>
      </c>
      <c r="M199" s="24">
        <f t="shared" si="85"/>
        <v>7.9479610393881392</v>
      </c>
      <c r="N199" s="41" t="str">
        <f t="shared" si="72"/>
        <v>7</v>
      </c>
      <c r="O199" s="24">
        <f t="shared" si="86"/>
        <v>11.375532472657671</v>
      </c>
      <c r="P199" s="41" t="str">
        <f t="shared" si="73"/>
        <v>E</v>
      </c>
      <c r="Q199" s="24">
        <f t="shared" si="87"/>
        <v>4.5063896718920518</v>
      </c>
      <c r="R199" s="41" t="str">
        <f t="shared" si="74"/>
        <v>4</v>
      </c>
      <c r="S199" s="24">
        <f t="shared" si="88"/>
        <v>6.076676062704621</v>
      </c>
      <c r="T199" s="41" t="str">
        <f t="shared" si="75"/>
        <v>6</v>
      </c>
      <c r="U199" s="24">
        <f t="shared" si="89"/>
        <v>0.92011275245545221</v>
      </c>
      <c r="V199" s="41" t="str">
        <f t="shared" si="76"/>
        <v>0</v>
      </c>
      <c r="W199" s="24">
        <f t="shared" si="90"/>
        <v>11.041353029465427</v>
      </c>
      <c r="X199" s="41" t="str">
        <f t="shared" si="77"/>
        <v>E</v>
      </c>
      <c r="Y199" s="24">
        <f t="shared" si="91"/>
        <v>0.4962363535851182</v>
      </c>
      <c r="Z199" s="41" t="str">
        <f t="shared" si="78"/>
        <v>0</v>
      </c>
      <c r="AA199" s="24">
        <f t="shared" si="92"/>
        <v>5.9548362430214183</v>
      </c>
      <c r="AB199" s="41" t="str">
        <f t="shared" si="79"/>
        <v>5</v>
      </c>
      <c r="AC199" s="24">
        <f t="shared" si="93"/>
        <v>11.45803491625702</v>
      </c>
      <c r="AD199" s="41" t="str">
        <f t="shared" si="80"/>
        <v>E</v>
      </c>
      <c r="AE199" s="24">
        <f t="shared" si="94"/>
        <v>5.496418995084241</v>
      </c>
      <c r="AF199" s="41" t="str">
        <f t="shared" si="81"/>
        <v>5</v>
      </c>
      <c r="AG199" s="24">
        <f t="shared" si="95"/>
        <v>5.9570279410108924</v>
      </c>
      <c r="AH199" s="41" t="str">
        <f t="shared" si="82"/>
        <v/>
      </c>
      <c r="AI199" s="24">
        <f t="shared" si="96"/>
        <v>11.484335292130709</v>
      </c>
      <c r="AJ199" s="41" t="str">
        <f t="shared" si="83"/>
        <v/>
      </c>
    </row>
    <row r="200" spans="1:36" x14ac:dyDescent="0.2">
      <c r="A200" s="314" t="s">
        <v>955</v>
      </c>
      <c r="B200" s="315">
        <v>95</v>
      </c>
      <c r="C200" s="316" t="s">
        <v>954</v>
      </c>
      <c r="D200" s="317">
        <v>243</v>
      </c>
      <c r="E200" s="316"/>
      <c r="F200" s="8">
        <v>2</v>
      </c>
      <c r="G200" s="21">
        <f t="shared" si="69"/>
        <v>243.32871638769683</v>
      </c>
      <c r="H200" s="37" t="str">
        <f t="shared" si="84"/>
        <v>1;83</v>
      </c>
      <c r="I200" s="38">
        <v>2</v>
      </c>
      <c r="J200" s="128">
        <f t="shared" si="70"/>
        <v>1.689782752692339</v>
      </c>
      <c r="K200" s="39" t="str">
        <f>INDEX(powers!$H$2:$H$75,33+I200)</f>
        <v>gross</v>
      </c>
      <c r="L200" s="40" t="str">
        <f t="shared" si="71"/>
        <v>1</v>
      </c>
      <c r="M200" s="24">
        <f t="shared" si="85"/>
        <v>8.2773930323080691</v>
      </c>
      <c r="N200" s="41" t="str">
        <f t="shared" si="72"/>
        <v>8</v>
      </c>
      <c r="O200" s="24">
        <f t="shared" si="86"/>
        <v>3.3287163876968293</v>
      </c>
      <c r="P200" s="41" t="str">
        <f t="shared" si="73"/>
        <v>3</v>
      </c>
      <c r="Q200" s="24">
        <f t="shared" si="87"/>
        <v>3.9445966523619518</v>
      </c>
      <c r="R200" s="41" t="str">
        <f t="shared" si="74"/>
        <v/>
      </c>
      <c r="S200" s="24">
        <f t="shared" si="88"/>
        <v>11.335159828343421</v>
      </c>
      <c r="T200" s="41" t="str">
        <f t="shared" si="75"/>
        <v/>
      </c>
      <c r="U200" s="24">
        <f t="shared" si="89"/>
        <v>4.0219179401210567</v>
      </c>
      <c r="V200" s="41" t="str">
        <f t="shared" si="76"/>
        <v/>
      </c>
      <c r="W200" s="24">
        <f t="shared" si="90"/>
        <v>0.26301528145268094</v>
      </c>
      <c r="X200" s="41" t="str">
        <f t="shared" si="77"/>
        <v/>
      </c>
      <c r="Y200" s="24">
        <f t="shared" si="91"/>
        <v>3.1561833774321713</v>
      </c>
      <c r="Z200" s="41" t="str">
        <f t="shared" si="78"/>
        <v/>
      </c>
      <c r="AA200" s="24">
        <f t="shared" si="92"/>
        <v>1.8742005291860551</v>
      </c>
      <c r="AB200" s="41" t="str">
        <f t="shared" si="79"/>
        <v/>
      </c>
      <c r="AC200" s="24">
        <f t="shared" si="93"/>
        <v>10.490406350232661</v>
      </c>
      <c r="AD200" s="41" t="str">
        <f t="shared" si="80"/>
        <v/>
      </c>
      <c r="AE200" s="24">
        <f t="shared" si="94"/>
        <v>5.8848762027919292</v>
      </c>
      <c r="AF200" s="41" t="str">
        <f t="shared" si="81"/>
        <v/>
      </c>
      <c r="AG200" s="24">
        <f t="shared" si="95"/>
        <v>10.618514433503151</v>
      </c>
      <c r="AH200" s="41" t="str">
        <f t="shared" si="82"/>
        <v/>
      </c>
      <c r="AI200" s="24">
        <f t="shared" si="96"/>
        <v>7.4221732020378113</v>
      </c>
      <c r="AJ200" s="41" t="str">
        <f t="shared" si="83"/>
        <v/>
      </c>
    </row>
    <row r="201" spans="1:36" x14ac:dyDescent="0.2">
      <c r="A201" s="314"/>
      <c r="B201" s="315"/>
      <c r="C201" s="316"/>
      <c r="D201" s="317"/>
      <c r="E201" s="316">
        <v>243.06137269999999</v>
      </c>
      <c r="F201" s="8">
        <v>10</v>
      </c>
      <c r="G201" s="21">
        <f t="shared" si="69"/>
        <v>243.39017210914642</v>
      </c>
      <c r="H201" s="37" t="str">
        <f t="shared" si="84"/>
        <v>1;8348227381</v>
      </c>
      <c r="I201" s="38">
        <v>2</v>
      </c>
      <c r="J201" s="128">
        <f t="shared" si="70"/>
        <v>1.690209528535739</v>
      </c>
      <c r="K201" s="39" t="str">
        <f>INDEX(powers!$H$2:$H$75,33+I201)</f>
        <v>gross</v>
      </c>
      <c r="L201" s="40" t="str">
        <f t="shared" si="71"/>
        <v>1</v>
      </c>
      <c r="M201" s="24">
        <f t="shared" si="85"/>
        <v>8.2825143424288683</v>
      </c>
      <c r="N201" s="41" t="str">
        <f t="shared" si="72"/>
        <v>8</v>
      </c>
      <c r="O201" s="24">
        <f t="shared" si="86"/>
        <v>3.3901721091464196</v>
      </c>
      <c r="P201" s="41" t="str">
        <f t="shared" si="73"/>
        <v>3</v>
      </c>
      <c r="Q201" s="24">
        <f t="shared" si="87"/>
        <v>4.6820653097570357</v>
      </c>
      <c r="R201" s="41" t="str">
        <f t="shared" si="74"/>
        <v>4</v>
      </c>
      <c r="S201" s="24">
        <f t="shared" si="88"/>
        <v>8.1847837170844286</v>
      </c>
      <c r="T201" s="41" t="str">
        <f t="shared" si="75"/>
        <v>8</v>
      </c>
      <c r="U201" s="24">
        <f t="shared" si="89"/>
        <v>2.2174046050131437</v>
      </c>
      <c r="V201" s="41" t="str">
        <f t="shared" si="76"/>
        <v>2</v>
      </c>
      <c r="W201" s="24">
        <f t="shared" si="90"/>
        <v>2.6088552601577248</v>
      </c>
      <c r="X201" s="41" t="str">
        <f t="shared" si="77"/>
        <v>2</v>
      </c>
      <c r="Y201" s="24">
        <f t="shared" si="91"/>
        <v>7.3062631218926981</v>
      </c>
      <c r="Z201" s="41" t="str">
        <f t="shared" si="78"/>
        <v>7</v>
      </c>
      <c r="AA201" s="24">
        <f t="shared" si="92"/>
        <v>3.6751574627123773</v>
      </c>
      <c r="AB201" s="41" t="str">
        <f t="shared" si="79"/>
        <v>3</v>
      </c>
      <c r="AC201" s="24">
        <f t="shared" si="93"/>
        <v>8.1018895525485277</v>
      </c>
      <c r="AD201" s="41" t="str">
        <f t="shared" si="80"/>
        <v>8</v>
      </c>
      <c r="AE201" s="24">
        <f t="shared" si="94"/>
        <v>1.2226746305823326</v>
      </c>
      <c r="AF201" s="41" t="str">
        <f t="shared" si="81"/>
        <v>1</v>
      </c>
      <c r="AG201" s="24">
        <f t="shared" si="95"/>
        <v>2.6720955669879913</v>
      </c>
      <c r="AH201" s="41" t="str">
        <f t="shared" si="82"/>
        <v/>
      </c>
      <c r="AI201" s="24">
        <f t="shared" si="96"/>
        <v>8.065146803855896</v>
      </c>
      <c r="AJ201" s="41" t="str">
        <f t="shared" si="83"/>
        <v/>
      </c>
    </row>
    <row r="202" spans="1:36" x14ac:dyDescent="0.2">
      <c r="A202" s="314" t="s">
        <v>957</v>
      </c>
      <c r="B202" s="315">
        <v>96</v>
      </c>
      <c r="C202" s="316" t="s">
        <v>956</v>
      </c>
      <c r="D202" s="317">
        <v>247</v>
      </c>
      <c r="E202" s="316"/>
      <c r="F202" s="8">
        <v>2</v>
      </c>
      <c r="G202" s="21">
        <f t="shared" ref="G202:G237" si="97">MAX(D202,E202)*G$7+0.0000000000001</f>
        <v>247.33412735704164</v>
      </c>
      <c r="H202" s="37" t="str">
        <f t="shared" si="84"/>
        <v>1;87</v>
      </c>
      <c r="I202" s="38">
        <v>2</v>
      </c>
      <c r="J202" s="128">
        <f t="shared" ref="J202:J237" si="98">G202/POWER(12,I202)</f>
        <v>1.7175981066461226</v>
      </c>
      <c r="K202" s="39" t="str">
        <f>INDEX(powers!$H$2:$H$75,33+I202)</f>
        <v>gross</v>
      </c>
      <c r="L202" s="40" t="str">
        <f t="shared" ref="L202:L237" si="99">IF($F202&gt;=L$9,MID($I$9,IF($F202&gt;L$9,INT(J202),ROUND(J202,0))+1,1),"")</f>
        <v>1</v>
      </c>
      <c r="M202" s="24">
        <f t="shared" si="85"/>
        <v>8.6111772797534698</v>
      </c>
      <c r="N202" s="41" t="str">
        <f t="shared" ref="N202:N237" si="100">IF($F202&gt;=N$9,MID($I$9,IF($F202&gt;N$9,INT(M202),ROUND(M202,0))+1,1),"")</f>
        <v>8</v>
      </c>
      <c r="O202" s="24">
        <f t="shared" si="86"/>
        <v>7.3341273570416377</v>
      </c>
      <c r="P202" s="41" t="str">
        <f t="shared" ref="P202:P237" si="101">IF($F202&gt;=P$9,MID($I$9,IF($F202&gt;P$9,INT(O202),ROUND(O202,0))+1,1),"")</f>
        <v>7</v>
      </c>
      <c r="Q202" s="24">
        <f t="shared" si="87"/>
        <v>4.0095282844996518</v>
      </c>
      <c r="R202" s="41" t="str">
        <f t="shared" ref="R202:R237" si="102">IF($F202&gt;=R$9,MID($I$9,IF($F202&gt;R$9,INT(Q202),ROUND(Q202,0))+1,1),"")</f>
        <v/>
      </c>
      <c r="S202" s="24">
        <f t="shared" si="88"/>
        <v>0.11433941399582181</v>
      </c>
      <c r="T202" s="41" t="str">
        <f t="shared" ref="T202:T237" si="103">IF($F202&gt;=T$9,MID($I$9,IF($F202&gt;T$9,INT(S202),ROUND(S202,0))+1,1),"")</f>
        <v/>
      </c>
      <c r="U202" s="24">
        <f t="shared" si="89"/>
        <v>1.3720729679498618</v>
      </c>
      <c r="V202" s="41" t="str">
        <f t="shared" ref="V202:V237" si="104">IF($F202&gt;=V$9,MID($I$9,IF($F202&gt;V$9,INT(U202),ROUND(U202,0))+1,1),"")</f>
        <v/>
      </c>
      <c r="W202" s="24">
        <f t="shared" si="90"/>
        <v>4.4648756153983413</v>
      </c>
      <c r="X202" s="41" t="str">
        <f t="shared" ref="X202:X237" si="105">IF($F202&gt;=X$9,MID($I$9,IF($F202&gt;X$9,INT(W202),ROUND(W202,0))+1,1),"")</f>
        <v/>
      </c>
      <c r="Y202" s="24">
        <f t="shared" si="91"/>
        <v>5.5785073847800959</v>
      </c>
      <c r="Z202" s="41" t="str">
        <f t="shared" ref="Z202:Z237" si="106">IF($F202&gt;=Z$9,MID($I$9,IF($F202&gt;Z$9,INT(Y202),ROUND(Y202,0))+1,1),"")</f>
        <v/>
      </c>
      <c r="AA202" s="24">
        <f t="shared" si="92"/>
        <v>6.9420886173611507</v>
      </c>
      <c r="AB202" s="41" t="str">
        <f t="shared" ref="AB202:AB237" si="107">IF($F202&gt;=AB$9,MID($I$9,IF($F202&gt;AB$9,INT(AA202),ROUND(AA202,0))+1,1),"")</f>
        <v/>
      </c>
      <c r="AC202" s="24">
        <f t="shared" si="93"/>
        <v>11.305063408333808</v>
      </c>
      <c r="AD202" s="41" t="str">
        <f t="shared" ref="AD202:AD237" si="108">IF($F202&gt;=AD$9,MID($I$9,IF($F202&gt;AD$9,INT(AC202),ROUND(AC202,0))+1,1),"")</f>
        <v/>
      </c>
      <c r="AE202" s="24">
        <f t="shared" si="94"/>
        <v>3.6607609000056982</v>
      </c>
      <c r="AF202" s="41" t="str">
        <f t="shared" ref="AF202:AF237" si="109">IF($F202&gt;=AF$9,MID($I$9,IF($F202&gt;AF$9,INT(AE202),ROUND(AE202,0))+1,1),"")</f>
        <v/>
      </c>
      <c r="AG202" s="24">
        <f t="shared" si="95"/>
        <v>7.9291308000683784</v>
      </c>
      <c r="AH202" s="41" t="str">
        <f t="shared" ref="AH202:AH237" si="110">IF($F202&gt;=AH$9,MID($I$9,IF($F202&gt;AH$9,INT(AG202),ROUND(AG202,0))+1,1),"")</f>
        <v/>
      </c>
      <c r="AI202" s="24">
        <f t="shared" si="96"/>
        <v>11.149569600820541</v>
      </c>
      <c r="AJ202" s="41" t="str">
        <f t="shared" ref="AJ202:AJ237" si="111">IF($F202&gt;=AJ$9,MID($I$9,IF($F202&gt;AJ$9,INT(AI202),ROUND(AI202,0))+1,1),"")</f>
        <v/>
      </c>
    </row>
    <row r="203" spans="1:36" x14ac:dyDescent="0.2">
      <c r="A203" s="314"/>
      <c r="B203" s="315"/>
      <c r="C203" s="316"/>
      <c r="D203" s="317"/>
      <c r="E203" s="316">
        <v>247.070347</v>
      </c>
      <c r="F203" s="8">
        <v>9</v>
      </c>
      <c r="G203" s="21">
        <f t="shared" si="97"/>
        <v>247.40456951840676</v>
      </c>
      <c r="H203" s="37" t="str">
        <f t="shared" si="84"/>
        <v>1;874X311X1</v>
      </c>
      <c r="I203" s="38">
        <v>2</v>
      </c>
      <c r="J203" s="128">
        <f t="shared" si="98"/>
        <v>1.7180872883222691</v>
      </c>
      <c r="K203" s="39" t="str">
        <f>INDEX(powers!$H$2:$H$75,33+I203)</f>
        <v>gross</v>
      </c>
      <c r="L203" s="40" t="str">
        <f t="shared" si="99"/>
        <v>1</v>
      </c>
      <c r="M203" s="24">
        <f t="shared" si="85"/>
        <v>8.61704745986723</v>
      </c>
      <c r="N203" s="41" t="str">
        <f t="shared" si="100"/>
        <v>8</v>
      </c>
      <c r="O203" s="24">
        <f t="shared" si="86"/>
        <v>7.4045695184067597</v>
      </c>
      <c r="P203" s="41" t="str">
        <f t="shared" si="101"/>
        <v>7</v>
      </c>
      <c r="Q203" s="24">
        <f t="shared" si="87"/>
        <v>4.8548342208811164</v>
      </c>
      <c r="R203" s="41" t="str">
        <f t="shared" si="102"/>
        <v>4</v>
      </c>
      <c r="S203" s="24">
        <f t="shared" si="88"/>
        <v>10.258010650573397</v>
      </c>
      <c r="T203" s="41" t="str">
        <f t="shared" si="103"/>
        <v>X</v>
      </c>
      <c r="U203" s="24">
        <f t="shared" si="89"/>
        <v>3.0961278068807587</v>
      </c>
      <c r="V203" s="41" t="str">
        <f t="shared" si="104"/>
        <v>3</v>
      </c>
      <c r="W203" s="24">
        <f t="shared" si="90"/>
        <v>1.1535336825691047</v>
      </c>
      <c r="X203" s="41" t="str">
        <f t="shared" si="105"/>
        <v>1</v>
      </c>
      <c r="Y203" s="24">
        <f t="shared" si="91"/>
        <v>1.8424041908292565</v>
      </c>
      <c r="Z203" s="41" t="str">
        <f t="shared" si="106"/>
        <v>1</v>
      </c>
      <c r="AA203" s="24">
        <f t="shared" si="92"/>
        <v>10.108850289951079</v>
      </c>
      <c r="AB203" s="41" t="str">
        <f t="shared" si="107"/>
        <v>X</v>
      </c>
      <c r="AC203" s="24">
        <f t="shared" si="93"/>
        <v>1.3062034794129431</v>
      </c>
      <c r="AD203" s="41" t="str">
        <f t="shared" si="108"/>
        <v>1</v>
      </c>
      <c r="AE203" s="24">
        <f t="shared" si="94"/>
        <v>3.6744417529553175</v>
      </c>
      <c r="AF203" s="41" t="str">
        <f t="shared" si="109"/>
        <v/>
      </c>
      <c r="AG203" s="24">
        <f t="shared" si="95"/>
        <v>8.09330103546381</v>
      </c>
      <c r="AH203" s="41" t="str">
        <f t="shared" si="110"/>
        <v/>
      </c>
      <c r="AI203" s="24">
        <f t="shared" si="96"/>
        <v>1.1196124255657196</v>
      </c>
      <c r="AJ203" s="41" t="str">
        <f t="shared" si="111"/>
        <v/>
      </c>
    </row>
    <row r="204" spans="1:36" x14ac:dyDescent="0.2">
      <c r="A204" s="314" t="s">
        <v>959</v>
      </c>
      <c r="B204" s="315">
        <v>97</v>
      </c>
      <c r="C204" s="316" t="s">
        <v>958</v>
      </c>
      <c r="D204" s="317">
        <v>247</v>
      </c>
      <c r="E204" s="316"/>
      <c r="F204" s="8">
        <v>2</v>
      </c>
      <c r="G204" s="21">
        <f t="shared" si="97"/>
        <v>247.33412735704164</v>
      </c>
      <c r="H204" s="37" t="str">
        <f t="shared" si="84"/>
        <v>1;87</v>
      </c>
      <c r="I204" s="38">
        <v>2</v>
      </c>
      <c r="J204" s="128">
        <f t="shared" si="98"/>
        <v>1.7175981066461226</v>
      </c>
      <c r="K204" s="39" t="str">
        <f>INDEX(powers!$H$2:$H$75,33+I204)</f>
        <v>gross</v>
      </c>
      <c r="L204" s="40" t="str">
        <f t="shared" si="99"/>
        <v>1</v>
      </c>
      <c r="M204" s="24">
        <f t="shared" si="85"/>
        <v>8.6111772797534698</v>
      </c>
      <c r="N204" s="41" t="str">
        <f t="shared" si="100"/>
        <v>8</v>
      </c>
      <c r="O204" s="24">
        <f t="shared" si="86"/>
        <v>7.3341273570416377</v>
      </c>
      <c r="P204" s="41" t="str">
        <f t="shared" si="101"/>
        <v>7</v>
      </c>
      <c r="Q204" s="24">
        <f t="shared" si="87"/>
        <v>4.0095282844996518</v>
      </c>
      <c r="R204" s="41" t="str">
        <f t="shared" si="102"/>
        <v/>
      </c>
      <c r="S204" s="24">
        <f t="shared" si="88"/>
        <v>0.11433941399582181</v>
      </c>
      <c r="T204" s="41" t="str">
        <f t="shared" si="103"/>
        <v/>
      </c>
      <c r="U204" s="24">
        <f t="shared" si="89"/>
        <v>1.3720729679498618</v>
      </c>
      <c r="V204" s="41" t="str">
        <f t="shared" si="104"/>
        <v/>
      </c>
      <c r="W204" s="24">
        <f t="shared" si="90"/>
        <v>4.4648756153983413</v>
      </c>
      <c r="X204" s="41" t="str">
        <f t="shared" si="105"/>
        <v/>
      </c>
      <c r="Y204" s="24">
        <f t="shared" si="91"/>
        <v>5.5785073847800959</v>
      </c>
      <c r="Z204" s="41" t="str">
        <f t="shared" si="106"/>
        <v/>
      </c>
      <c r="AA204" s="24">
        <f t="shared" si="92"/>
        <v>6.9420886173611507</v>
      </c>
      <c r="AB204" s="41" t="str">
        <f t="shared" si="107"/>
        <v/>
      </c>
      <c r="AC204" s="24">
        <f t="shared" si="93"/>
        <v>11.305063408333808</v>
      </c>
      <c r="AD204" s="41" t="str">
        <f t="shared" si="108"/>
        <v/>
      </c>
      <c r="AE204" s="24">
        <f t="shared" si="94"/>
        <v>3.6607609000056982</v>
      </c>
      <c r="AF204" s="41" t="str">
        <f t="shared" si="109"/>
        <v/>
      </c>
      <c r="AG204" s="24">
        <f t="shared" si="95"/>
        <v>7.9291308000683784</v>
      </c>
      <c r="AH204" s="41" t="str">
        <f t="shared" si="110"/>
        <v/>
      </c>
      <c r="AI204" s="24">
        <f t="shared" si="96"/>
        <v>11.149569600820541</v>
      </c>
      <c r="AJ204" s="41" t="str">
        <f t="shared" si="111"/>
        <v/>
      </c>
    </row>
    <row r="205" spans="1:36" x14ac:dyDescent="0.2">
      <c r="A205" s="314"/>
      <c r="B205" s="315"/>
      <c r="C205" s="316"/>
      <c r="D205" s="317"/>
      <c r="E205" s="316">
        <v>247.07029900000001</v>
      </c>
      <c r="F205" s="8">
        <v>9</v>
      </c>
      <c r="G205" s="21">
        <f t="shared" si="97"/>
        <v>247.40452145347516</v>
      </c>
      <c r="H205" s="37" t="str">
        <f t="shared" si="84"/>
        <v>1;874X301X7</v>
      </c>
      <c r="I205" s="38">
        <v>2</v>
      </c>
      <c r="J205" s="128">
        <f t="shared" si="98"/>
        <v>1.718086954538022</v>
      </c>
      <c r="K205" s="39" t="str">
        <f>INDEX(powers!$H$2:$H$75,33+I205)</f>
        <v>gross</v>
      </c>
      <c r="L205" s="40" t="str">
        <f t="shared" si="99"/>
        <v>1</v>
      </c>
      <c r="M205" s="24">
        <f t="shared" si="85"/>
        <v>8.6170434544562635</v>
      </c>
      <c r="N205" s="41" t="str">
        <f t="shared" si="100"/>
        <v>8</v>
      </c>
      <c r="O205" s="24">
        <f t="shared" si="86"/>
        <v>7.4045214534751622</v>
      </c>
      <c r="P205" s="41" t="str">
        <f t="shared" si="101"/>
        <v>7</v>
      </c>
      <c r="Q205" s="24">
        <f t="shared" si="87"/>
        <v>4.8542574417019466</v>
      </c>
      <c r="R205" s="41" t="str">
        <f t="shared" si="102"/>
        <v>4</v>
      </c>
      <c r="S205" s="24">
        <f t="shared" si="88"/>
        <v>10.251089300423359</v>
      </c>
      <c r="T205" s="41" t="str">
        <f t="shared" si="103"/>
        <v>X</v>
      </c>
      <c r="U205" s="24">
        <f t="shared" si="89"/>
        <v>3.013071605080313</v>
      </c>
      <c r="V205" s="41" t="str">
        <f t="shared" si="104"/>
        <v>3</v>
      </c>
      <c r="W205" s="24">
        <f t="shared" si="90"/>
        <v>0.15685926096375624</v>
      </c>
      <c r="X205" s="41" t="str">
        <f t="shared" si="105"/>
        <v>0</v>
      </c>
      <c r="Y205" s="24">
        <f t="shared" si="91"/>
        <v>1.8823111315650749</v>
      </c>
      <c r="Z205" s="41" t="str">
        <f t="shared" si="106"/>
        <v>1</v>
      </c>
      <c r="AA205" s="24">
        <f t="shared" si="92"/>
        <v>10.587733578780899</v>
      </c>
      <c r="AB205" s="41" t="str">
        <f t="shared" si="107"/>
        <v>X</v>
      </c>
      <c r="AC205" s="24">
        <f t="shared" si="93"/>
        <v>7.0528029453707859</v>
      </c>
      <c r="AD205" s="41" t="str">
        <f t="shared" si="108"/>
        <v>7</v>
      </c>
      <c r="AE205" s="24">
        <f t="shared" si="94"/>
        <v>0.6336353444494307</v>
      </c>
      <c r="AF205" s="41" t="str">
        <f t="shared" si="109"/>
        <v/>
      </c>
      <c r="AG205" s="24">
        <f t="shared" si="95"/>
        <v>7.6036241333931684</v>
      </c>
      <c r="AH205" s="41" t="str">
        <f t="shared" si="110"/>
        <v/>
      </c>
      <c r="AI205" s="24">
        <f t="shared" si="96"/>
        <v>7.2434896007180214</v>
      </c>
      <c r="AJ205" s="41" t="str">
        <f t="shared" si="111"/>
        <v/>
      </c>
    </row>
    <row r="206" spans="1:36" x14ac:dyDescent="0.2">
      <c r="A206" s="314" t="s">
        <v>961</v>
      </c>
      <c r="B206" s="315">
        <v>98</v>
      </c>
      <c r="C206" s="316" t="s">
        <v>960</v>
      </c>
      <c r="D206" s="317">
        <v>252</v>
      </c>
      <c r="E206" s="316"/>
      <c r="F206" s="8">
        <v>2</v>
      </c>
      <c r="G206" s="21">
        <f t="shared" si="97"/>
        <v>252.34089106872264</v>
      </c>
      <c r="H206" s="37" t="str">
        <f t="shared" si="84"/>
        <v>1;90</v>
      </c>
      <c r="I206" s="38">
        <v>2</v>
      </c>
      <c r="J206" s="128">
        <f t="shared" si="98"/>
        <v>1.7523672990883516</v>
      </c>
      <c r="K206" s="39" t="str">
        <f>INDEX(powers!$H$2:$H$75,33+I206)</f>
        <v>gross</v>
      </c>
      <c r="L206" s="40" t="str">
        <f t="shared" si="99"/>
        <v>1</v>
      </c>
      <c r="M206" s="24">
        <f t="shared" si="85"/>
        <v>9.0284075890602189</v>
      </c>
      <c r="N206" s="41" t="str">
        <f t="shared" si="100"/>
        <v>9</v>
      </c>
      <c r="O206" s="24">
        <f t="shared" si="86"/>
        <v>0.34089106872262676</v>
      </c>
      <c r="P206" s="41" t="str">
        <f t="shared" si="101"/>
        <v>0</v>
      </c>
      <c r="Q206" s="24">
        <f t="shared" si="87"/>
        <v>4.0906928246715211</v>
      </c>
      <c r="R206" s="41" t="str">
        <f t="shared" si="102"/>
        <v/>
      </c>
      <c r="S206" s="24">
        <f t="shared" si="88"/>
        <v>1.0883138960582528</v>
      </c>
      <c r="T206" s="41" t="str">
        <f t="shared" si="103"/>
        <v/>
      </c>
      <c r="U206" s="24">
        <f t="shared" si="89"/>
        <v>1.0597667526990335</v>
      </c>
      <c r="V206" s="41" t="str">
        <f t="shared" si="104"/>
        <v/>
      </c>
      <c r="W206" s="24">
        <f t="shared" si="90"/>
        <v>0.71720103238840238</v>
      </c>
      <c r="X206" s="41" t="str">
        <f t="shared" si="105"/>
        <v/>
      </c>
      <c r="Y206" s="24">
        <f t="shared" si="91"/>
        <v>8.6064123886608286</v>
      </c>
      <c r="Z206" s="41" t="str">
        <f t="shared" si="106"/>
        <v/>
      </c>
      <c r="AA206" s="24">
        <f t="shared" si="92"/>
        <v>7.276948663929943</v>
      </c>
      <c r="AB206" s="41" t="str">
        <f t="shared" si="107"/>
        <v/>
      </c>
      <c r="AC206" s="24">
        <f t="shared" si="93"/>
        <v>3.3233839671593159</v>
      </c>
      <c r="AD206" s="41" t="str">
        <f t="shared" si="108"/>
        <v/>
      </c>
      <c r="AE206" s="24">
        <f t="shared" si="94"/>
        <v>3.8806076059117913</v>
      </c>
      <c r="AF206" s="41" t="str">
        <f t="shared" si="109"/>
        <v/>
      </c>
      <c r="AG206" s="24">
        <f t="shared" si="95"/>
        <v>10.567291270941496</v>
      </c>
      <c r="AH206" s="41" t="str">
        <f t="shared" si="110"/>
        <v/>
      </c>
      <c r="AI206" s="24">
        <f t="shared" si="96"/>
        <v>6.8074952512979507</v>
      </c>
      <c r="AJ206" s="41" t="str">
        <f t="shared" si="111"/>
        <v/>
      </c>
    </row>
    <row r="207" spans="1:36" x14ac:dyDescent="0.2">
      <c r="A207" s="314"/>
      <c r="B207" s="315"/>
      <c r="C207" s="316"/>
      <c r="D207" s="317"/>
      <c r="E207" s="316">
        <v>252.08161999999999</v>
      </c>
      <c r="F207" s="8">
        <v>8</v>
      </c>
      <c r="G207" s="21">
        <f t="shared" si="97"/>
        <v>252.42262147955211</v>
      </c>
      <c r="H207" s="37" t="str">
        <f t="shared" si="84"/>
        <v>1;9050X359</v>
      </c>
      <c r="I207" s="38">
        <v>2</v>
      </c>
      <c r="J207" s="128">
        <f t="shared" si="98"/>
        <v>1.7529348713857784</v>
      </c>
      <c r="K207" s="39" t="str">
        <f>INDEX(powers!$H$2:$H$75,33+I207)</f>
        <v>gross</v>
      </c>
      <c r="L207" s="40" t="str">
        <f t="shared" si="99"/>
        <v>1</v>
      </c>
      <c r="M207" s="24">
        <f t="shared" si="85"/>
        <v>9.035218456629341</v>
      </c>
      <c r="N207" s="41" t="str">
        <f t="shared" si="100"/>
        <v>9</v>
      </c>
      <c r="O207" s="24">
        <f t="shared" si="86"/>
        <v>0.42262147955209173</v>
      </c>
      <c r="P207" s="41" t="str">
        <f t="shared" si="101"/>
        <v>0</v>
      </c>
      <c r="Q207" s="24">
        <f t="shared" si="87"/>
        <v>5.0714577546251007</v>
      </c>
      <c r="R207" s="41" t="str">
        <f t="shared" si="102"/>
        <v>5</v>
      </c>
      <c r="S207" s="24">
        <f t="shared" si="88"/>
        <v>0.8574930555012088</v>
      </c>
      <c r="T207" s="41" t="str">
        <f t="shared" si="103"/>
        <v>0</v>
      </c>
      <c r="U207" s="24">
        <f t="shared" si="89"/>
        <v>10.289916666014506</v>
      </c>
      <c r="V207" s="41" t="str">
        <f t="shared" si="104"/>
        <v>X</v>
      </c>
      <c r="W207" s="24">
        <f t="shared" si="90"/>
        <v>3.4789999921740673</v>
      </c>
      <c r="X207" s="41" t="str">
        <f t="shared" si="105"/>
        <v>3</v>
      </c>
      <c r="Y207" s="24">
        <f t="shared" si="91"/>
        <v>5.7479999060888076</v>
      </c>
      <c r="Z207" s="41" t="str">
        <f t="shared" si="106"/>
        <v>5</v>
      </c>
      <c r="AA207" s="24">
        <f t="shared" si="92"/>
        <v>8.9759988730656914</v>
      </c>
      <c r="AB207" s="41" t="str">
        <f t="shared" si="107"/>
        <v>9</v>
      </c>
      <c r="AC207" s="24">
        <f t="shared" si="93"/>
        <v>11.711986476788297</v>
      </c>
      <c r="AD207" s="41" t="str">
        <f t="shared" si="108"/>
        <v/>
      </c>
      <c r="AE207" s="24">
        <f t="shared" si="94"/>
        <v>8.5438377214595675</v>
      </c>
      <c r="AF207" s="41" t="str">
        <f t="shared" si="109"/>
        <v/>
      </c>
      <c r="AG207" s="24">
        <f t="shared" si="95"/>
        <v>6.5260526575148106</v>
      </c>
      <c r="AH207" s="41" t="str">
        <f t="shared" si="110"/>
        <v/>
      </c>
      <c r="AI207" s="24">
        <f t="shared" si="96"/>
        <v>6.3126318901777267</v>
      </c>
      <c r="AJ207" s="41" t="str">
        <f t="shared" si="111"/>
        <v/>
      </c>
    </row>
    <row r="208" spans="1:36" x14ac:dyDescent="0.2">
      <c r="A208" s="314" t="s">
        <v>963</v>
      </c>
      <c r="B208" s="315">
        <v>99</v>
      </c>
      <c r="C208" s="316" t="s">
        <v>962</v>
      </c>
      <c r="D208" s="317">
        <v>252</v>
      </c>
      <c r="E208" s="316"/>
      <c r="F208" s="8">
        <v>2</v>
      </c>
      <c r="G208" s="21">
        <f t="shared" si="97"/>
        <v>252.34089106872264</v>
      </c>
      <c r="H208" s="37" t="str">
        <f t="shared" si="84"/>
        <v>1;90</v>
      </c>
      <c r="I208" s="38">
        <v>2</v>
      </c>
      <c r="J208" s="128">
        <f t="shared" si="98"/>
        <v>1.7523672990883516</v>
      </c>
      <c r="K208" s="39" t="str">
        <f>INDEX(powers!$H$2:$H$75,33+I208)</f>
        <v>gross</v>
      </c>
      <c r="L208" s="40" t="str">
        <f t="shared" si="99"/>
        <v>1</v>
      </c>
      <c r="M208" s="24">
        <f t="shared" si="85"/>
        <v>9.0284075890602189</v>
      </c>
      <c r="N208" s="41" t="str">
        <f t="shared" si="100"/>
        <v>9</v>
      </c>
      <c r="O208" s="24">
        <f t="shared" si="86"/>
        <v>0.34089106872262676</v>
      </c>
      <c r="P208" s="41" t="str">
        <f t="shared" si="101"/>
        <v>0</v>
      </c>
      <c r="Q208" s="24">
        <f t="shared" si="87"/>
        <v>4.0906928246715211</v>
      </c>
      <c r="R208" s="41" t="str">
        <f t="shared" si="102"/>
        <v/>
      </c>
      <c r="S208" s="24">
        <f t="shared" si="88"/>
        <v>1.0883138960582528</v>
      </c>
      <c r="T208" s="41" t="str">
        <f t="shared" si="103"/>
        <v/>
      </c>
      <c r="U208" s="24">
        <f t="shared" si="89"/>
        <v>1.0597667526990335</v>
      </c>
      <c r="V208" s="41" t="str">
        <f t="shared" si="104"/>
        <v/>
      </c>
      <c r="W208" s="24">
        <f t="shared" si="90"/>
        <v>0.71720103238840238</v>
      </c>
      <c r="X208" s="41" t="str">
        <f t="shared" si="105"/>
        <v/>
      </c>
      <c r="Y208" s="24">
        <f t="shared" si="91"/>
        <v>8.6064123886608286</v>
      </c>
      <c r="Z208" s="41" t="str">
        <f t="shared" si="106"/>
        <v/>
      </c>
      <c r="AA208" s="24">
        <f t="shared" si="92"/>
        <v>7.276948663929943</v>
      </c>
      <c r="AB208" s="41" t="str">
        <f t="shared" si="107"/>
        <v/>
      </c>
      <c r="AC208" s="24">
        <f t="shared" si="93"/>
        <v>3.3233839671593159</v>
      </c>
      <c r="AD208" s="41" t="str">
        <f t="shared" si="108"/>
        <v/>
      </c>
      <c r="AE208" s="24">
        <f t="shared" si="94"/>
        <v>3.8806076059117913</v>
      </c>
      <c r="AF208" s="41" t="str">
        <f t="shared" si="109"/>
        <v/>
      </c>
      <c r="AG208" s="24">
        <f t="shared" si="95"/>
        <v>10.567291270941496</v>
      </c>
      <c r="AH208" s="41" t="str">
        <f t="shared" si="110"/>
        <v/>
      </c>
      <c r="AI208" s="24">
        <f t="shared" si="96"/>
        <v>6.8074952512979507</v>
      </c>
      <c r="AJ208" s="41" t="str">
        <f t="shared" si="111"/>
        <v/>
      </c>
    </row>
    <row r="209" spans="1:36" x14ac:dyDescent="0.2">
      <c r="A209" s="314"/>
      <c r="B209" s="315"/>
      <c r="C209" s="316"/>
      <c r="D209" s="317"/>
      <c r="E209" s="316">
        <v>252.08296999999999</v>
      </c>
      <c r="F209" s="8">
        <v>8</v>
      </c>
      <c r="G209" s="21">
        <f t="shared" si="97"/>
        <v>252.42397330575426</v>
      </c>
      <c r="H209" s="37" t="str">
        <f t="shared" si="84"/>
        <v>1;90510762</v>
      </c>
      <c r="I209" s="38">
        <v>2</v>
      </c>
      <c r="J209" s="128">
        <f t="shared" si="98"/>
        <v>1.752944259067738</v>
      </c>
      <c r="K209" s="39" t="str">
        <f>INDEX(powers!$H$2:$H$75,33+I209)</f>
        <v>gross</v>
      </c>
      <c r="L209" s="40" t="str">
        <f t="shared" si="99"/>
        <v>1</v>
      </c>
      <c r="M209" s="24">
        <f t="shared" si="85"/>
        <v>9.0353311088128549</v>
      </c>
      <c r="N209" s="41" t="str">
        <f t="shared" si="100"/>
        <v>9</v>
      </c>
      <c r="O209" s="24">
        <f t="shared" si="86"/>
        <v>0.4239733057542594</v>
      </c>
      <c r="P209" s="41" t="str">
        <f t="shared" si="101"/>
        <v>0</v>
      </c>
      <c r="Q209" s="24">
        <f t="shared" si="87"/>
        <v>5.0876796690511128</v>
      </c>
      <c r="R209" s="41" t="str">
        <f t="shared" si="102"/>
        <v>5</v>
      </c>
      <c r="S209" s="24">
        <f t="shared" si="88"/>
        <v>1.0521560286133536</v>
      </c>
      <c r="T209" s="41" t="str">
        <f t="shared" si="103"/>
        <v>1</v>
      </c>
      <c r="U209" s="24">
        <f t="shared" si="89"/>
        <v>0.62587234336024267</v>
      </c>
      <c r="V209" s="41" t="str">
        <f t="shared" si="104"/>
        <v>0</v>
      </c>
      <c r="W209" s="24">
        <f t="shared" si="90"/>
        <v>7.510468120322912</v>
      </c>
      <c r="X209" s="41" t="str">
        <f t="shared" si="105"/>
        <v>7</v>
      </c>
      <c r="Y209" s="24">
        <f t="shared" si="91"/>
        <v>6.125617443874944</v>
      </c>
      <c r="Z209" s="41" t="str">
        <f t="shared" si="106"/>
        <v>6</v>
      </c>
      <c r="AA209" s="24">
        <f t="shared" si="92"/>
        <v>1.507409326499328</v>
      </c>
      <c r="AB209" s="41" t="str">
        <f t="shared" si="107"/>
        <v>2</v>
      </c>
      <c r="AC209" s="24">
        <f t="shared" si="93"/>
        <v>6.0889119179919362</v>
      </c>
      <c r="AD209" s="41" t="str">
        <f t="shared" si="108"/>
        <v/>
      </c>
      <c r="AE209" s="24">
        <f t="shared" si="94"/>
        <v>1.0669430159032345</v>
      </c>
      <c r="AF209" s="41" t="str">
        <f t="shared" si="109"/>
        <v/>
      </c>
      <c r="AG209" s="24">
        <f t="shared" si="95"/>
        <v>0.80331619083881378</v>
      </c>
      <c r="AH209" s="41" t="str">
        <f t="shared" si="110"/>
        <v/>
      </c>
      <c r="AI209" s="24">
        <f t="shared" si="96"/>
        <v>9.6397942900657654</v>
      </c>
      <c r="AJ209" s="41" t="str">
        <f t="shared" si="111"/>
        <v/>
      </c>
    </row>
    <row r="210" spans="1:36" x14ac:dyDescent="0.2">
      <c r="A210" s="314" t="s">
        <v>965</v>
      </c>
      <c r="B210" s="315">
        <v>100</v>
      </c>
      <c r="C210" s="316" t="s">
        <v>964</v>
      </c>
      <c r="D210" s="317">
        <v>257</v>
      </c>
      <c r="E210" s="316"/>
      <c r="F210" s="8">
        <v>2</v>
      </c>
      <c r="G210" s="21">
        <f t="shared" si="97"/>
        <v>257.34765478040367</v>
      </c>
      <c r="H210" s="37" t="str">
        <f t="shared" si="84"/>
        <v>1;95</v>
      </c>
      <c r="I210" s="38">
        <v>2</v>
      </c>
      <c r="J210" s="128">
        <f t="shared" si="98"/>
        <v>1.787136491530581</v>
      </c>
      <c r="K210" s="39" t="str">
        <f>INDEX(powers!$H$2:$H$75,33+I210)</f>
        <v>gross</v>
      </c>
      <c r="L210" s="40" t="str">
        <f t="shared" si="99"/>
        <v>1</v>
      </c>
      <c r="M210" s="24">
        <f t="shared" si="85"/>
        <v>9.4456378983669715</v>
      </c>
      <c r="N210" s="41" t="str">
        <f t="shared" si="100"/>
        <v>9</v>
      </c>
      <c r="O210" s="24">
        <f t="shared" si="86"/>
        <v>5.3476547804036585</v>
      </c>
      <c r="P210" s="41" t="str">
        <f t="shared" si="101"/>
        <v>5</v>
      </c>
      <c r="Q210" s="24">
        <f t="shared" si="87"/>
        <v>4.1718573648439019</v>
      </c>
      <c r="R210" s="41" t="str">
        <f t="shared" si="102"/>
        <v/>
      </c>
      <c r="S210" s="24">
        <f t="shared" si="88"/>
        <v>2.0622883781268229</v>
      </c>
      <c r="T210" s="41" t="str">
        <f t="shared" si="103"/>
        <v/>
      </c>
      <c r="U210" s="24">
        <f t="shared" si="89"/>
        <v>0.74746053752187436</v>
      </c>
      <c r="V210" s="41" t="str">
        <f t="shared" si="104"/>
        <v/>
      </c>
      <c r="W210" s="24">
        <f t="shared" si="90"/>
        <v>8.9695264502624923</v>
      </c>
      <c r="X210" s="41" t="str">
        <f t="shared" si="105"/>
        <v/>
      </c>
      <c r="Y210" s="24">
        <f t="shared" si="91"/>
        <v>11.634317403149907</v>
      </c>
      <c r="Z210" s="41" t="str">
        <f t="shared" si="106"/>
        <v/>
      </c>
      <c r="AA210" s="24">
        <f t="shared" si="92"/>
        <v>7.6118088377988897</v>
      </c>
      <c r="AB210" s="41" t="str">
        <f t="shared" si="107"/>
        <v/>
      </c>
      <c r="AC210" s="24">
        <f t="shared" si="93"/>
        <v>7.3417060535866767</v>
      </c>
      <c r="AD210" s="41" t="str">
        <f t="shared" si="108"/>
        <v/>
      </c>
      <c r="AE210" s="24">
        <f t="shared" si="94"/>
        <v>4.1004726430401206</v>
      </c>
      <c r="AF210" s="41" t="str">
        <f t="shared" si="109"/>
        <v/>
      </c>
      <c r="AG210" s="24">
        <f t="shared" si="95"/>
        <v>1.2056717164814472</v>
      </c>
      <c r="AH210" s="41" t="str">
        <f t="shared" si="110"/>
        <v/>
      </c>
      <c r="AI210" s="24">
        <f t="shared" si="96"/>
        <v>2.4680605977773666</v>
      </c>
      <c r="AJ210" s="41" t="str">
        <f t="shared" si="111"/>
        <v/>
      </c>
    </row>
    <row r="211" spans="1:36" x14ac:dyDescent="0.2">
      <c r="A211" s="314"/>
      <c r="B211" s="315"/>
      <c r="C211" s="316"/>
      <c r="D211" s="317"/>
      <c r="E211" s="316">
        <v>257.095099</v>
      </c>
      <c r="F211" s="8">
        <v>9</v>
      </c>
      <c r="G211" s="21">
        <f t="shared" si="97"/>
        <v>257.44288242484708</v>
      </c>
      <c r="H211" s="37" t="str">
        <f t="shared" si="84"/>
        <v>1;95539373X</v>
      </c>
      <c r="I211" s="38">
        <v>2</v>
      </c>
      <c r="J211" s="128">
        <f t="shared" si="98"/>
        <v>1.7877977946169936</v>
      </c>
      <c r="K211" s="39" t="str">
        <f>INDEX(powers!$H$2:$H$75,33+I211)</f>
        <v>gross</v>
      </c>
      <c r="L211" s="40" t="str">
        <f t="shared" si="99"/>
        <v>1</v>
      </c>
      <c r="M211" s="24">
        <f t="shared" si="85"/>
        <v>9.4535735354039225</v>
      </c>
      <c r="N211" s="41" t="str">
        <f t="shared" si="100"/>
        <v>9</v>
      </c>
      <c r="O211" s="24">
        <f t="shared" si="86"/>
        <v>5.4428824248470704</v>
      </c>
      <c r="P211" s="41" t="str">
        <f t="shared" si="101"/>
        <v>5</v>
      </c>
      <c r="Q211" s="24">
        <f t="shared" si="87"/>
        <v>5.3145890981648449</v>
      </c>
      <c r="R211" s="41" t="str">
        <f t="shared" si="102"/>
        <v>5</v>
      </c>
      <c r="S211" s="24">
        <f t="shared" si="88"/>
        <v>3.7750691779781391</v>
      </c>
      <c r="T211" s="41" t="str">
        <f t="shared" si="103"/>
        <v>3</v>
      </c>
      <c r="U211" s="24">
        <f t="shared" si="89"/>
        <v>9.3008301357376695</v>
      </c>
      <c r="V211" s="41" t="str">
        <f t="shared" si="104"/>
        <v>9</v>
      </c>
      <c r="W211" s="24">
        <f t="shared" si="90"/>
        <v>3.6099616288520338</v>
      </c>
      <c r="X211" s="41" t="str">
        <f t="shared" si="105"/>
        <v>3</v>
      </c>
      <c r="Y211" s="24">
        <f t="shared" si="91"/>
        <v>7.3195395462244051</v>
      </c>
      <c r="Z211" s="41" t="str">
        <f t="shared" si="106"/>
        <v>7</v>
      </c>
      <c r="AA211" s="24">
        <f t="shared" si="92"/>
        <v>3.8344745546928607</v>
      </c>
      <c r="AB211" s="41" t="str">
        <f t="shared" si="107"/>
        <v>3</v>
      </c>
      <c r="AC211" s="24">
        <f t="shared" si="93"/>
        <v>10.013694656314328</v>
      </c>
      <c r="AD211" s="41" t="str">
        <f t="shared" si="108"/>
        <v>X</v>
      </c>
      <c r="AE211" s="24">
        <f t="shared" si="94"/>
        <v>0.16433587577193975</v>
      </c>
      <c r="AF211" s="41" t="str">
        <f t="shared" si="109"/>
        <v/>
      </c>
      <c r="AG211" s="24">
        <f t="shared" si="95"/>
        <v>1.9720305092632771</v>
      </c>
      <c r="AH211" s="41" t="str">
        <f t="shared" si="110"/>
        <v/>
      </c>
      <c r="AI211" s="24">
        <f t="shared" si="96"/>
        <v>11.664366111159325</v>
      </c>
      <c r="AJ211" s="41" t="str">
        <f t="shared" si="111"/>
        <v/>
      </c>
    </row>
    <row r="212" spans="1:36" x14ac:dyDescent="0.2">
      <c r="A212" s="314" t="s">
        <v>967</v>
      </c>
      <c r="B212" s="315">
        <v>101</v>
      </c>
      <c r="C212" s="316" t="s">
        <v>966</v>
      </c>
      <c r="D212" s="317">
        <v>256</v>
      </c>
      <c r="E212" s="316"/>
      <c r="F212" s="8">
        <v>2</v>
      </c>
      <c r="G212" s="21">
        <f t="shared" si="97"/>
        <v>256.34630203806745</v>
      </c>
      <c r="H212" s="37" t="str">
        <f t="shared" si="84"/>
        <v>1;94</v>
      </c>
      <c r="I212" s="38">
        <v>2</v>
      </c>
      <c r="J212" s="128">
        <f t="shared" si="98"/>
        <v>1.780182653042135</v>
      </c>
      <c r="K212" s="39" t="str">
        <f>INDEX(powers!$H$2:$H$75,33+I212)</f>
        <v>gross</v>
      </c>
      <c r="L212" s="40" t="str">
        <f t="shared" si="99"/>
        <v>1</v>
      </c>
      <c r="M212" s="24">
        <f t="shared" si="85"/>
        <v>9.3621918365056196</v>
      </c>
      <c r="N212" s="41" t="str">
        <f t="shared" si="100"/>
        <v>9</v>
      </c>
      <c r="O212" s="24">
        <f t="shared" si="86"/>
        <v>4.3463020380674351</v>
      </c>
      <c r="P212" s="41" t="str">
        <f t="shared" si="101"/>
        <v>4</v>
      </c>
      <c r="Q212" s="24">
        <f t="shared" si="87"/>
        <v>4.1556244568092211</v>
      </c>
      <c r="R212" s="41" t="str">
        <f t="shared" si="102"/>
        <v/>
      </c>
      <c r="S212" s="24">
        <f t="shared" si="88"/>
        <v>1.8674934817106532</v>
      </c>
      <c r="T212" s="41" t="str">
        <f t="shared" si="103"/>
        <v/>
      </c>
      <c r="U212" s="24">
        <f t="shared" si="89"/>
        <v>10.409921780527839</v>
      </c>
      <c r="V212" s="41" t="str">
        <f t="shared" si="104"/>
        <v/>
      </c>
      <c r="W212" s="24">
        <f t="shared" si="90"/>
        <v>4.9190613663340628</v>
      </c>
      <c r="X212" s="41" t="str">
        <f t="shared" si="105"/>
        <v/>
      </c>
      <c r="Y212" s="24">
        <f t="shared" si="91"/>
        <v>11.028736396008753</v>
      </c>
      <c r="Z212" s="41" t="str">
        <f t="shared" si="106"/>
        <v/>
      </c>
      <c r="AA212" s="24">
        <f t="shared" si="92"/>
        <v>0.34483675210503861</v>
      </c>
      <c r="AB212" s="41" t="str">
        <f t="shared" si="107"/>
        <v/>
      </c>
      <c r="AC212" s="24">
        <f t="shared" si="93"/>
        <v>4.1380410252604634</v>
      </c>
      <c r="AD212" s="41" t="str">
        <f t="shared" si="108"/>
        <v/>
      </c>
      <c r="AE212" s="24">
        <f t="shared" si="94"/>
        <v>1.6564923031255603</v>
      </c>
      <c r="AF212" s="41" t="str">
        <f t="shared" si="109"/>
        <v/>
      </c>
      <c r="AG212" s="24">
        <f t="shared" si="95"/>
        <v>7.8779076375067234</v>
      </c>
      <c r="AH212" s="41" t="str">
        <f t="shared" si="110"/>
        <v/>
      </c>
      <c r="AI212" s="24">
        <f t="shared" si="96"/>
        <v>10.534891650080681</v>
      </c>
      <c r="AJ212" s="41" t="str">
        <f t="shared" si="111"/>
        <v/>
      </c>
    </row>
    <row r="213" spans="1:36" x14ac:dyDescent="0.2">
      <c r="A213" s="314"/>
      <c r="B213" s="315"/>
      <c r="C213" s="316"/>
      <c r="D213" s="317"/>
      <c r="E213" s="316">
        <v>256.09404999999998</v>
      </c>
      <c r="F213" s="8">
        <v>8</v>
      </c>
      <c r="G213" s="21">
        <f t="shared" si="97"/>
        <v>256.44047926348418</v>
      </c>
      <c r="H213" s="37" t="str">
        <f t="shared" si="84"/>
        <v>1;94535194</v>
      </c>
      <c r="I213" s="38">
        <v>2</v>
      </c>
      <c r="J213" s="128">
        <f t="shared" si="98"/>
        <v>1.7808366615519735</v>
      </c>
      <c r="K213" s="39" t="str">
        <f>INDEX(powers!$H$2:$H$75,33+I213)</f>
        <v>gross</v>
      </c>
      <c r="L213" s="40" t="str">
        <f t="shared" si="99"/>
        <v>1</v>
      </c>
      <c r="M213" s="24">
        <f t="shared" si="85"/>
        <v>9.3700399386236821</v>
      </c>
      <c r="N213" s="41" t="str">
        <f t="shared" si="100"/>
        <v>9</v>
      </c>
      <c r="O213" s="24">
        <f t="shared" si="86"/>
        <v>4.4404792634841854</v>
      </c>
      <c r="P213" s="41" t="str">
        <f t="shared" si="101"/>
        <v>4</v>
      </c>
      <c r="Q213" s="24">
        <f t="shared" si="87"/>
        <v>5.2857511618102251</v>
      </c>
      <c r="R213" s="41" t="str">
        <f t="shared" si="102"/>
        <v>5</v>
      </c>
      <c r="S213" s="24">
        <f t="shared" si="88"/>
        <v>3.429013941722701</v>
      </c>
      <c r="T213" s="41" t="str">
        <f t="shared" si="103"/>
        <v>3</v>
      </c>
      <c r="U213" s="24">
        <f t="shared" si="89"/>
        <v>5.1481673006724122</v>
      </c>
      <c r="V213" s="41" t="str">
        <f t="shared" si="104"/>
        <v>5</v>
      </c>
      <c r="W213" s="24">
        <f t="shared" si="90"/>
        <v>1.7780076080689469</v>
      </c>
      <c r="X213" s="41" t="str">
        <f t="shared" si="105"/>
        <v>1</v>
      </c>
      <c r="Y213" s="24">
        <f t="shared" si="91"/>
        <v>9.3360912968273624</v>
      </c>
      <c r="Z213" s="41" t="str">
        <f t="shared" si="106"/>
        <v>9</v>
      </c>
      <c r="AA213" s="24">
        <f t="shared" si="92"/>
        <v>4.0330955619283486</v>
      </c>
      <c r="AB213" s="41" t="str">
        <f t="shared" si="107"/>
        <v>4</v>
      </c>
      <c r="AC213" s="24">
        <f t="shared" si="93"/>
        <v>0.39714674314018339</v>
      </c>
      <c r="AD213" s="41" t="str">
        <f t="shared" si="108"/>
        <v/>
      </c>
      <c r="AE213" s="24">
        <f t="shared" si="94"/>
        <v>4.7657609176822007</v>
      </c>
      <c r="AF213" s="41" t="str">
        <f t="shared" si="109"/>
        <v/>
      </c>
      <c r="AG213" s="24">
        <f t="shared" si="95"/>
        <v>9.189131012186408</v>
      </c>
      <c r="AH213" s="41" t="str">
        <f t="shared" si="110"/>
        <v/>
      </c>
      <c r="AI213" s="24">
        <f t="shared" si="96"/>
        <v>2.2695721462368965</v>
      </c>
      <c r="AJ213" s="41" t="str">
        <f t="shared" si="111"/>
        <v/>
      </c>
    </row>
    <row r="214" spans="1:36" x14ac:dyDescent="0.2">
      <c r="A214" s="314" t="s">
        <v>969</v>
      </c>
      <c r="B214" s="315">
        <v>102</v>
      </c>
      <c r="C214" s="316" t="s">
        <v>968</v>
      </c>
      <c r="D214" s="317">
        <v>259</v>
      </c>
      <c r="E214" s="316"/>
      <c r="F214" s="8">
        <v>2</v>
      </c>
      <c r="G214" s="21">
        <f t="shared" si="97"/>
        <v>259.35036026507606</v>
      </c>
      <c r="H214" s="37" t="str">
        <f t="shared" si="84"/>
        <v>1;97</v>
      </c>
      <c r="I214" s="38">
        <v>2</v>
      </c>
      <c r="J214" s="128">
        <f t="shared" si="98"/>
        <v>1.8010441685074727</v>
      </c>
      <c r="K214" s="39" t="str">
        <f>INDEX(powers!$H$2:$H$75,33+I214)</f>
        <v>gross</v>
      </c>
      <c r="L214" s="40" t="str">
        <f t="shared" si="99"/>
        <v>1</v>
      </c>
      <c r="M214" s="24">
        <f t="shared" si="85"/>
        <v>9.6125300220896719</v>
      </c>
      <c r="N214" s="41" t="str">
        <f t="shared" si="100"/>
        <v>9</v>
      </c>
      <c r="O214" s="24">
        <f t="shared" si="86"/>
        <v>7.3503602650760627</v>
      </c>
      <c r="P214" s="41" t="str">
        <f t="shared" si="101"/>
        <v>7</v>
      </c>
      <c r="Q214" s="24">
        <f t="shared" si="87"/>
        <v>4.2043231809127519</v>
      </c>
      <c r="R214" s="41" t="str">
        <f t="shared" si="102"/>
        <v/>
      </c>
      <c r="S214" s="24">
        <f t="shared" si="88"/>
        <v>2.4518781709530231</v>
      </c>
      <c r="T214" s="41" t="str">
        <f t="shared" si="103"/>
        <v/>
      </c>
      <c r="U214" s="24">
        <f t="shared" si="89"/>
        <v>5.4225380514362769</v>
      </c>
      <c r="V214" s="41" t="str">
        <f t="shared" si="104"/>
        <v/>
      </c>
      <c r="W214" s="24">
        <f t="shared" si="90"/>
        <v>5.0704566172353225</v>
      </c>
      <c r="X214" s="41" t="str">
        <f t="shared" si="105"/>
        <v/>
      </c>
      <c r="Y214" s="24">
        <f t="shared" si="91"/>
        <v>0.84547940682386979</v>
      </c>
      <c r="Z214" s="41" t="str">
        <f t="shared" si="106"/>
        <v/>
      </c>
      <c r="AA214" s="24">
        <f t="shared" si="92"/>
        <v>10.145752881886438</v>
      </c>
      <c r="AB214" s="41" t="str">
        <f t="shared" si="107"/>
        <v/>
      </c>
      <c r="AC214" s="24">
        <f t="shared" si="93"/>
        <v>1.7490345826372504</v>
      </c>
      <c r="AD214" s="41" t="str">
        <f t="shared" si="108"/>
        <v/>
      </c>
      <c r="AE214" s="24">
        <f t="shared" si="94"/>
        <v>8.9884149916470051</v>
      </c>
      <c r="AF214" s="41" t="str">
        <f t="shared" si="109"/>
        <v/>
      </c>
      <c r="AG214" s="24">
        <f t="shared" si="95"/>
        <v>11.860979899764061</v>
      </c>
      <c r="AH214" s="41" t="str">
        <f t="shared" si="110"/>
        <v/>
      </c>
      <c r="AI214" s="24">
        <f t="shared" si="96"/>
        <v>10.331758797168732</v>
      </c>
      <c r="AJ214" s="41" t="str">
        <f t="shared" si="111"/>
        <v/>
      </c>
    </row>
    <row r="215" spans="1:36" x14ac:dyDescent="0.2">
      <c r="A215" s="314"/>
      <c r="B215" s="315"/>
      <c r="C215" s="316"/>
      <c r="D215" s="317"/>
      <c r="E215" s="316">
        <v>259.10102000000001</v>
      </c>
      <c r="F215" s="8">
        <v>8</v>
      </c>
      <c r="G215" s="21">
        <f t="shared" si="97"/>
        <v>259.45151691910684</v>
      </c>
      <c r="H215" s="37" t="str">
        <f t="shared" si="84"/>
        <v>1;9755027X</v>
      </c>
      <c r="I215" s="38">
        <v>2</v>
      </c>
      <c r="J215" s="128">
        <f t="shared" si="98"/>
        <v>1.8017466452715754</v>
      </c>
      <c r="K215" s="39" t="str">
        <f>INDEX(powers!$H$2:$H$75,33+I215)</f>
        <v>gross</v>
      </c>
      <c r="L215" s="40" t="str">
        <f t="shared" si="99"/>
        <v>1</v>
      </c>
      <c r="M215" s="24">
        <f t="shared" si="85"/>
        <v>9.6209597432589042</v>
      </c>
      <c r="N215" s="41" t="str">
        <f t="shared" si="100"/>
        <v>9</v>
      </c>
      <c r="O215" s="24">
        <f t="shared" si="86"/>
        <v>7.4515169191068509</v>
      </c>
      <c r="P215" s="41" t="str">
        <f t="shared" si="101"/>
        <v>7</v>
      </c>
      <c r="Q215" s="24">
        <f t="shared" si="87"/>
        <v>5.4182030292822105</v>
      </c>
      <c r="R215" s="41" t="str">
        <f t="shared" si="102"/>
        <v>5</v>
      </c>
      <c r="S215" s="24">
        <f t="shared" si="88"/>
        <v>5.0184363513865264</v>
      </c>
      <c r="T215" s="41" t="str">
        <f t="shared" si="103"/>
        <v>5</v>
      </c>
      <c r="U215" s="24">
        <f t="shared" si="89"/>
        <v>0.22123621663831727</v>
      </c>
      <c r="V215" s="41" t="str">
        <f t="shared" si="104"/>
        <v>0</v>
      </c>
      <c r="W215" s="24">
        <f t="shared" si="90"/>
        <v>2.6548345996598073</v>
      </c>
      <c r="X215" s="41" t="str">
        <f t="shared" si="105"/>
        <v>2</v>
      </c>
      <c r="Y215" s="24">
        <f t="shared" si="91"/>
        <v>7.8580151959176874</v>
      </c>
      <c r="Z215" s="41" t="str">
        <f t="shared" si="106"/>
        <v>7</v>
      </c>
      <c r="AA215" s="24">
        <f t="shared" si="92"/>
        <v>10.296182351012249</v>
      </c>
      <c r="AB215" s="41" t="str">
        <f t="shared" si="107"/>
        <v>X</v>
      </c>
      <c r="AC215" s="24">
        <f t="shared" si="93"/>
        <v>3.5541882121469826</v>
      </c>
      <c r="AD215" s="41" t="str">
        <f t="shared" si="108"/>
        <v/>
      </c>
      <c r="AE215" s="24">
        <f t="shared" si="94"/>
        <v>6.6502585457637906</v>
      </c>
      <c r="AF215" s="41" t="str">
        <f t="shared" si="109"/>
        <v/>
      </c>
      <c r="AG215" s="24">
        <f t="shared" si="95"/>
        <v>7.8031025491654873</v>
      </c>
      <c r="AH215" s="41" t="str">
        <f t="shared" si="110"/>
        <v/>
      </c>
      <c r="AI215" s="24">
        <f t="shared" si="96"/>
        <v>9.6372305899858475</v>
      </c>
      <c r="AJ215" s="41" t="str">
        <f t="shared" si="111"/>
        <v/>
      </c>
    </row>
    <row r="216" spans="1:36" x14ac:dyDescent="0.2">
      <c r="A216" s="314" t="s">
        <v>971</v>
      </c>
      <c r="B216" s="315">
        <v>103</v>
      </c>
      <c r="C216" s="316" t="s">
        <v>970</v>
      </c>
      <c r="D216" s="317">
        <v>262</v>
      </c>
      <c r="E216" s="316"/>
      <c r="F216" s="8">
        <v>2</v>
      </c>
      <c r="G216" s="21">
        <f t="shared" si="97"/>
        <v>262.35441849208468</v>
      </c>
      <c r="H216" s="37" t="str">
        <f t="shared" si="84"/>
        <v>1;9X</v>
      </c>
      <c r="I216" s="38">
        <v>2</v>
      </c>
      <c r="J216" s="128">
        <f t="shared" si="98"/>
        <v>1.8219056839728103</v>
      </c>
      <c r="K216" s="39" t="str">
        <f>INDEX(powers!$H$2:$H$75,33+I216)</f>
        <v>gross</v>
      </c>
      <c r="L216" s="40" t="str">
        <f t="shared" si="99"/>
        <v>1</v>
      </c>
      <c r="M216" s="24">
        <f t="shared" si="85"/>
        <v>9.8628682076737242</v>
      </c>
      <c r="N216" s="41" t="str">
        <f t="shared" si="100"/>
        <v>9</v>
      </c>
      <c r="O216" s="24">
        <f t="shared" si="86"/>
        <v>10.35441849208469</v>
      </c>
      <c r="P216" s="41" t="str">
        <f t="shared" si="101"/>
        <v>X</v>
      </c>
      <c r="Q216" s="24">
        <f t="shared" si="87"/>
        <v>4.2530219050162827</v>
      </c>
      <c r="R216" s="41" t="str">
        <f t="shared" si="102"/>
        <v/>
      </c>
      <c r="S216" s="24">
        <f t="shared" si="88"/>
        <v>3.0362628601953929</v>
      </c>
      <c r="T216" s="41" t="str">
        <f t="shared" si="103"/>
        <v/>
      </c>
      <c r="U216" s="24">
        <f t="shared" si="89"/>
        <v>0.43515432234471518</v>
      </c>
      <c r="V216" s="41" t="str">
        <f t="shared" si="104"/>
        <v/>
      </c>
      <c r="W216" s="24">
        <f t="shared" si="90"/>
        <v>5.2218518681365822</v>
      </c>
      <c r="X216" s="41" t="str">
        <f t="shared" si="105"/>
        <v/>
      </c>
      <c r="Y216" s="24">
        <f t="shared" si="91"/>
        <v>2.6622224176389864</v>
      </c>
      <c r="Z216" s="41" t="str">
        <f t="shared" si="106"/>
        <v/>
      </c>
      <c r="AA216" s="24">
        <f t="shared" si="92"/>
        <v>7.9466690116678365</v>
      </c>
      <c r="AB216" s="41" t="str">
        <f t="shared" si="107"/>
        <v/>
      </c>
      <c r="AC216" s="24">
        <f t="shared" si="93"/>
        <v>11.360028140014037</v>
      </c>
      <c r="AD216" s="41" t="str">
        <f t="shared" si="108"/>
        <v/>
      </c>
      <c r="AE216" s="24">
        <f t="shared" si="94"/>
        <v>4.3203376801684499</v>
      </c>
      <c r="AF216" s="41" t="str">
        <f t="shared" si="109"/>
        <v/>
      </c>
      <c r="AG216" s="24">
        <f t="shared" si="95"/>
        <v>3.8440521620213985</v>
      </c>
      <c r="AH216" s="41" t="str">
        <f t="shared" si="110"/>
        <v/>
      </c>
      <c r="AI216" s="24">
        <f t="shared" si="96"/>
        <v>10.128625944256783</v>
      </c>
      <c r="AJ216" s="41" t="str">
        <f t="shared" si="111"/>
        <v/>
      </c>
    </row>
    <row r="217" spans="1:36" x14ac:dyDescent="0.2">
      <c r="A217" s="314"/>
      <c r="B217" s="315"/>
      <c r="C217" s="316"/>
      <c r="D217" s="317"/>
      <c r="E217" s="316">
        <v>259.10102000000001</v>
      </c>
      <c r="F217" s="8">
        <v>8</v>
      </c>
      <c r="G217" s="21">
        <f t="shared" si="97"/>
        <v>259.45151691910684</v>
      </c>
      <c r="H217" s="37" t="str">
        <f t="shared" si="84"/>
        <v>1;9755027X</v>
      </c>
      <c r="I217" s="38">
        <v>2</v>
      </c>
      <c r="J217" s="128">
        <f t="shared" si="98"/>
        <v>1.8017466452715754</v>
      </c>
      <c r="K217" s="39" t="str">
        <f>INDEX(powers!$H$2:$H$75,33+I217)</f>
        <v>gross</v>
      </c>
      <c r="L217" s="40" t="str">
        <f t="shared" si="99"/>
        <v>1</v>
      </c>
      <c r="M217" s="24">
        <f t="shared" si="85"/>
        <v>9.6209597432589042</v>
      </c>
      <c r="N217" s="41" t="str">
        <f t="shared" si="100"/>
        <v>9</v>
      </c>
      <c r="O217" s="24">
        <f t="shared" si="86"/>
        <v>7.4515169191068509</v>
      </c>
      <c r="P217" s="41" t="str">
        <f t="shared" si="101"/>
        <v>7</v>
      </c>
      <c r="Q217" s="24">
        <f t="shared" si="87"/>
        <v>5.4182030292822105</v>
      </c>
      <c r="R217" s="41" t="str">
        <f t="shared" si="102"/>
        <v>5</v>
      </c>
      <c r="S217" s="24">
        <f t="shared" si="88"/>
        <v>5.0184363513865264</v>
      </c>
      <c r="T217" s="41" t="str">
        <f t="shared" si="103"/>
        <v>5</v>
      </c>
      <c r="U217" s="24">
        <f t="shared" si="89"/>
        <v>0.22123621663831727</v>
      </c>
      <c r="V217" s="41" t="str">
        <f t="shared" si="104"/>
        <v>0</v>
      </c>
      <c r="W217" s="24">
        <f t="shared" si="90"/>
        <v>2.6548345996598073</v>
      </c>
      <c r="X217" s="41" t="str">
        <f t="shared" si="105"/>
        <v>2</v>
      </c>
      <c r="Y217" s="24">
        <f t="shared" si="91"/>
        <v>7.8580151959176874</v>
      </c>
      <c r="Z217" s="41" t="str">
        <f t="shared" si="106"/>
        <v>7</v>
      </c>
      <c r="AA217" s="24">
        <f t="shared" si="92"/>
        <v>10.296182351012249</v>
      </c>
      <c r="AB217" s="41" t="str">
        <f t="shared" si="107"/>
        <v>X</v>
      </c>
      <c r="AC217" s="24">
        <f t="shared" si="93"/>
        <v>3.5541882121469826</v>
      </c>
      <c r="AD217" s="41" t="str">
        <f t="shared" si="108"/>
        <v/>
      </c>
      <c r="AE217" s="24">
        <f t="shared" si="94"/>
        <v>6.6502585457637906</v>
      </c>
      <c r="AF217" s="41" t="str">
        <f t="shared" si="109"/>
        <v/>
      </c>
      <c r="AG217" s="24">
        <f t="shared" si="95"/>
        <v>7.8031025491654873</v>
      </c>
      <c r="AH217" s="41" t="str">
        <f t="shared" si="110"/>
        <v/>
      </c>
      <c r="AI217" s="24">
        <f t="shared" si="96"/>
        <v>9.6372305899858475</v>
      </c>
      <c r="AJ217" s="41" t="str">
        <f t="shared" si="111"/>
        <v/>
      </c>
    </row>
    <row r="218" spans="1:36" x14ac:dyDescent="0.2">
      <c r="A218" s="314" t="s">
        <v>973</v>
      </c>
      <c r="B218" s="315">
        <v>104</v>
      </c>
      <c r="C218" s="316" t="s">
        <v>972</v>
      </c>
      <c r="D218" s="317">
        <v>267</v>
      </c>
      <c r="E218" s="316"/>
      <c r="F218" s="8">
        <v>2</v>
      </c>
      <c r="G218" s="21">
        <f t="shared" si="97"/>
        <v>267.36118220376568</v>
      </c>
      <c r="H218" s="37" t="str">
        <f t="shared" si="84"/>
        <v>1;X3</v>
      </c>
      <c r="I218" s="38">
        <v>2</v>
      </c>
      <c r="J218" s="128">
        <f t="shared" si="98"/>
        <v>1.8566748764150394</v>
      </c>
      <c r="K218" s="39" t="str">
        <f>INDEX(powers!$H$2:$H$75,33+I218)</f>
        <v>gross</v>
      </c>
      <c r="L218" s="40" t="str">
        <f t="shared" si="99"/>
        <v>1</v>
      </c>
      <c r="M218" s="24">
        <f t="shared" si="85"/>
        <v>10.280098516980473</v>
      </c>
      <c r="N218" s="41" t="str">
        <f t="shared" si="100"/>
        <v>X</v>
      </c>
      <c r="O218" s="24">
        <f t="shared" si="86"/>
        <v>3.3611822037656793</v>
      </c>
      <c r="P218" s="41" t="str">
        <f t="shared" si="101"/>
        <v>3</v>
      </c>
      <c r="Q218" s="24">
        <f t="shared" si="87"/>
        <v>4.334186445188152</v>
      </c>
      <c r="R218" s="41" t="str">
        <f t="shared" si="102"/>
        <v/>
      </c>
      <c r="S218" s="24">
        <f t="shared" si="88"/>
        <v>4.0102373422578239</v>
      </c>
      <c r="T218" s="41" t="str">
        <f t="shared" si="103"/>
        <v/>
      </c>
      <c r="U218" s="24">
        <f t="shared" si="89"/>
        <v>0.12284810709388694</v>
      </c>
      <c r="V218" s="41" t="str">
        <f t="shared" si="104"/>
        <v/>
      </c>
      <c r="W218" s="24">
        <f t="shared" si="90"/>
        <v>1.4741772851266433</v>
      </c>
      <c r="X218" s="41" t="str">
        <f t="shared" si="105"/>
        <v/>
      </c>
      <c r="Y218" s="24">
        <f t="shared" si="91"/>
        <v>5.6901274215197191</v>
      </c>
      <c r="Z218" s="41" t="str">
        <f t="shared" si="106"/>
        <v/>
      </c>
      <c r="AA218" s="24">
        <f t="shared" si="92"/>
        <v>8.2815290582366288</v>
      </c>
      <c r="AB218" s="41" t="str">
        <f t="shared" si="107"/>
        <v/>
      </c>
      <c r="AC218" s="24">
        <f t="shared" si="93"/>
        <v>3.3783486988395452</v>
      </c>
      <c r="AD218" s="41" t="str">
        <f t="shared" si="108"/>
        <v/>
      </c>
      <c r="AE218" s="24">
        <f t="shared" si="94"/>
        <v>4.540184386074543</v>
      </c>
      <c r="AF218" s="41" t="str">
        <f t="shared" si="109"/>
        <v/>
      </c>
      <c r="AG218" s="24">
        <f t="shared" si="95"/>
        <v>6.482212632894516</v>
      </c>
      <c r="AH218" s="41" t="str">
        <f t="shared" si="110"/>
        <v/>
      </c>
      <c r="AI218" s="24">
        <f t="shared" si="96"/>
        <v>5.7865515947341919</v>
      </c>
      <c r="AJ218" s="41" t="str">
        <f t="shared" si="111"/>
        <v/>
      </c>
    </row>
    <row r="219" spans="1:36" x14ac:dyDescent="0.2">
      <c r="A219" s="314"/>
      <c r="B219" s="315"/>
      <c r="C219" s="316"/>
      <c r="D219" s="317"/>
      <c r="E219" s="316">
        <v>261.10874999999999</v>
      </c>
      <c r="F219" s="8">
        <v>8</v>
      </c>
      <c r="G219" s="21">
        <f t="shared" si="97"/>
        <v>261.46196286047751</v>
      </c>
      <c r="H219" s="37" t="str">
        <f t="shared" si="84"/>
        <v>1;99566332</v>
      </c>
      <c r="I219" s="38">
        <v>2</v>
      </c>
      <c r="J219" s="128">
        <f t="shared" si="98"/>
        <v>1.8157080754199828</v>
      </c>
      <c r="K219" s="39" t="str">
        <f>INDEX(powers!$H$2:$H$75,33+I219)</f>
        <v>gross</v>
      </c>
      <c r="L219" s="40" t="str">
        <f t="shared" si="99"/>
        <v>1</v>
      </c>
      <c r="M219" s="24">
        <f t="shared" si="85"/>
        <v>9.7884969050397928</v>
      </c>
      <c r="N219" s="41" t="str">
        <f t="shared" si="100"/>
        <v>9</v>
      </c>
      <c r="O219" s="24">
        <f t="shared" si="86"/>
        <v>9.461962860477513</v>
      </c>
      <c r="P219" s="41" t="str">
        <f t="shared" si="101"/>
        <v>9</v>
      </c>
      <c r="Q219" s="24">
        <f t="shared" si="87"/>
        <v>5.5435543257301561</v>
      </c>
      <c r="R219" s="41" t="str">
        <f t="shared" si="102"/>
        <v>5</v>
      </c>
      <c r="S219" s="24">
        <f t="shared" si="88"/>
        <v>6.5226519087618726</v>
      </c>
      <c r="T219" s="41" t="str">
        <f t="shared" si="103"/>
        <v>6</v>
      </c>
      <c r="U219" s="24">
        <f t="shared" si="89"/>
        <v>6.2718229051424714</v>
      </c>
      <c r="V219" s="41" t="str">
        <f t="shared" si="104"/>
        <v>6</v>
      </c>
      <c r="W219" s="24">
        <f t="shared" si="90"/>
        <v>3.2618748617096571</v>
      </c>
      <c r="X219" s="41" t="str">
        <f t="shared" si="105"/>
        <v>3</v>
      </c>
      <c r="Y219" s="24">
        <f t="shared" si="91"/>
        <v>3.1424983405158855</v>
      </c>
      <c r="Z219" s="41" t="str">
        <f t="shared" si="106"/>
        <v>3</v>
      </c>
      <c r="AA219" s="24">
        <f t="shared" si="92"/>
        <v>1.709980086190626</v>
      </c>
      <c r="AB219" s="41" t="str">
        <f t="shared" si="107"/>
        <v>2</v>
      </c>
      <c r="AC219" s="24">
        <f t="shared" si="93"/>
        <v>8.5197610342875123</v>
      </c>
      <c r="AD219" s="41" t="str">
        <f t="shared" si="108"/>
        <v/>
      </c>
      <c r="AE219" s="24">
        <f t="shared" si="94"/>
        <v>6.2371324114501476</v>
      </c>
      <c r="AF219" s="41" t="str">
        <f t="shared" si="109"/>
        <v/>
      </c>
      <c r="AG219" s="24">
        <f t="shared" si="95"/>
        <v>2.8455889374017715</v>
      </c>
      <c r="AH219" s="41" t="str">
        <f t="shared" si="110"/>
        <v/>
      </c>
      <c r="AI219" s="24">
        <f t="shared" si="96"/>
        <v>10.147067248821259</v>
      </c>
      <c r="AJ219" s="41" t="str">
        <f t="shared" si="111"/>
        <v/>
      </c>
    </row>
    <row r="220" spans="1:36" x14ac:dyDescent="0.2">
      <c r="A220" s="314" t="s">
        <v>975</v>
      </c>
      <c r="B220" s="315">
        <v>105</v>
      </c>
      <c r="C220" s="316" t="s">
        <v>974</v>
      </c>
      <c r="D220" s="317">
        <v>268</v>
      </c>
      <c r="E220" s="316"/>
      <c r="F220" s="8">
        <v>2</v>
      </c>
      <c r="G220" s="21">
        <f t="shared" si="97"/>
        <v>268.36253494610185</v>
      </c>
      <c r="H220" s="37" t="str">
        <f t="shared" si="84"/>
        <v>1;X4</v>
      </c>
      <c r="I220" s="38">
        <v>2</v>
      </c>
      <c r="J220" s="128">
        <f t="shared" si="98"/>
        <v>1.8636287149034851</v>
      </c>
      <c r="K220" s="39" t="str">
        <f>INDEX(powers!$H$2:$H$75,33+I220)</f>
        <v>gross</v>
      </c>
      <c r="L220" s="40" t="str">
        <f t="shared" si="99"/>
        <v>1</v>
      </c>
      <c r="M220" s="24">
        <f t="shared" si="85"/>
        <v>10.363544578841822</v>
      </c>
      <c r="N220" s="41" t="str">
        <f t="shared" si="100"/>
        <v>X</v>
      </c>
      <c r="O220" s="24">
        <f t="shared" si="86"/>
        <v>4.3625349461018601</v>
      </c>
      <c r="P220" s="41" t="str">
        <f t="shared" si="101"/>
        <v>4</v>
      </c>
      <c r="Q220" s="24">
        <f t="shared" si="87"/>
        <v>4.3504193532223212</v>
      </c>
      <c r="R220" s="41" t="str">
        <f t="shared" si="102"/>
        <v/>
      </c>
      <c r="S220" s="24">
        <f t="shared" si="88"/>
        <v>4.2050322386678545</v>
      </c>
      <c r="T220" s="41" t="str">
        <f t="shared" si="103"/>
        <v/>
      </c>
      <c r="U220" s="24">
        <f t="shared" si="89"/>
        <v>2.4603868640142537</v>
      </c>
      <c r="V220" s="41" t="str">
        <f t="shared" si="104"/>
        <v/>
      </c>
      <c r="W220" s="24">
        <f t="shared" si="90"/>
        <v>5.5246423681710439</v>
      </c>
      <c r="X220" s="41" t="str">
        <f t="shared" si="105"/>
        <v/>
      </c>
      <c r="Y220" s="24">
        <f t="shared" si="91"/>
        <v>6.2957084180525271</v>
      </c>
      <c r="Z220" s="41" t="str">
        <f t="shared" si="106"/>
        <v/>
      </c>
      <c r="AA220" s="24">
        <f t="shared" si="92"/>
        <v>3.5485010166303255</v>
      </c>
      <c r="AB220" s="41" t="str">
        <f t="shared" si="107"/>
        <v/>
      </c>
      <c r="AC220" s="24">
        <f t="shared" si="93"/>
        <v>6.5820121995639056</v>
      </c>
      <c r="AD220" s="41" t="str">
        <f t="shared" si="108"/>
        <v/>
      </c>
      <c r="AE220" s="24">
        <f t="shared" si="94"/>
        <v>6.9841463947668672</v>
      </c>
      <c r="AF220" s="41" t="str">
        <f t="shared" si="109"/>
        <v/>
      </c>
      <c r="AG220" s="24">
        <f t="shared" si="95"/>
        <v>11.809756737202406</v>
      </c>
      <c r="AH220" s="41" t="str">
        <f t="shared" si="110"/>
        <v/>
      </c>
      <c r="AI220" s="24">
        <f t="shared" si="96"/>
        <v>9.7170808464288712</v>
      </c>
      <c r="AJ220" s="41" t="str">
        <f t="shared" si="111"/>
        <v/>
      </c>
    </row>
    <row r="221" spans="1:36" x14ac:dyDescent="0.2">
      <c r="A221" s="314"/>
      <c r="B221" s="315"/>
      <c r="C221" s="316"/>
      <c r="D221" s="317"/>
      <c r="E221" s="316">
        <v>262.11415</v>
      </c>
      <c r="F221" s="8">
        <v>8</v>
      </c>
      <c r="G221" s="21">
        <f t="shared" si="97"/>
        <v>262.46872290762235</v>
      </c>
      <c r="H221" s="37" t="str">
        <f t="shared" si="84"/>
        <v>1;9X575E53</v>
      </c>
      <c r="I221" s="38">
        <v>2</v>
      </c>
      <c r="J221" s="128">
        <f t="shared" si="98"/>
        <v>1.8226994646362664</v>
      </c>
      <c r="K221" s="39" t="str">
        <f>INDEX(powers!$H$2:$H$75,33+I221)</f>
        <v>gross</v>
      </c>
      <c r="L221" s="40" t="str">
        <f t="shared" si="99"/>
        <v>1</v>
      </c>
      <c r="M221" s="24">
        <f t="shared" si="85"/>
        <v>9.872393575635197</v>
      </c>
      <c r="N221" s="41" t="str">
        <f t="shared" si="100"/>
        <v>9</v>
      </c>
      <c r="O221" s="24">
        <f t="shared" si="86"/>
        <v>10.468722907622364</v>
      </c>
      <c r="P221" s="41" t="str">
        <f t="shared" si="101"/>
        <v>X</v>
      </c>
      <c r="Q221" s="24">
        <f t="shared" si="87"/>
        <v>5.6246748914683735</v>
      </c>
      <c r="R221" s="41" t="str">
        <f t="shared" si="102"/>
        <v>5</v>
      </c>
      <c r="S221" s="24">
        <f t="shared" si="88"/>
        <v>7.4960986976204822</v>
      </c>
      <c r="T221" s="41" t="str">
        <f t="shared" si="103"/>
        <v>7</v>
      </c>
      <c r="U221" s="24">
        <f t="shared" si="89"/>
        <v>5.9531843714457864</v>
      </c>
      <c r="V221" s="41" t="str">
        <f t="shared" si="104"/>
        <v>5</v>
      </c>
      <c r="W221" s="24">
        <f t="shared" si="90"/>
        <v>11.438212457349437</v>
      </c>
      <c r="X221" s="41" t="str">
        <f t="shared" si="105"/>
        <v>E</v>
      </c>
      <c r="Y221" s="24">
        <f t="shared" si="91"/>
        <v>5.2585494881932391</v>
      </c>
      <c r="Z221" s="41" t="str">
        <f t="shared" si="106"/>
        <v>5</v>
      </c>
      <c r="AA221" s="24">
        <f t="shared" si="92"/>
        <v>3.102593858318869</v>
      </c>
      <c r="AB221" s="41" t="str">
        <f t="shared" si="107"/>
        <v>3</v>
      </c>
      <c r="AC221" s="24">
        <f t="shared" si="93"/>
        <v>1.2311262998264283</v>
      </c>
      <c r="AD221" s="41" t="str">
        <f t="shared" si="108"/>
        <v/>
      </c>
      <c r="AE221" s="24">
        <f t="shared" si="94"/>
        <v>2.7735155979171395</v>
      </c>
      <c r="AF221" s="41" t="str">
        <f t="shared" si="109"/>
        <v/>
      </c>
      <c r="AG221" s="24">
        <f t="shared" si="95"/>
        <v>9.2821871750056744</v>
      </c>
      <c r="AH221" s="41" t="str">
        <f t="shared" si="110"/>
        <v/>
      </c>
      <c r="AI221" s="24">
        <f t="shared" si="96"/>
        <v>3.3862461000680923</v>
      </c>
      <c r="AJ221" s="41" t="str">
        <f t="shared" si="111"/>
        <v/>
      </c>
    </row>
    <row r="222" spans="1:36" x14ac:dyDescent="0.2">
      <c r="A222" s="314" t="s">
        <v>977</v>
      </c>
      <c r="B222" s="315">
        <v>106</v>
      </c>
      <c r="C222" s="316" t="s">
        <v>976</v>
      </c>
      <c r="D222" s="317">
        <v>271</v>
      </c>
      <c r="E222" s="316"/>
      <c r="F222" s="8">
        <v>2</v>
      </c>
      <c r="G222" s="21">
        <f t="shared" si="97"/>
        <v>271.36659317311046</v>
      </c>
      <c r="H222" s="37" t="str">
        <f t="shared" si="84"/>
        <v>1;X7</v>
      </c>
      <c r="I222" s="38">
        <v>2</v>
      </c>
      <c r="J222" s="128">
        <f t="shared" si="98"/>
        <v>1.8844902303688227</v>
      </c>
      <c r="K222" s="39" t="str">
        <f>INDEX(powers!$H$2:$H$75,33+I222)</f>
        <v>gross</v>
      </c>
      <c r="L222" s="40" t="str">
        <f t="shared" si="99"/>
        <v>1</v>
      </c>
      <c r="M222" s="24">
        <f t="shared" si="85"/>
        <v>10.613882764425872</v>
      </c>
      <c r="N222" s="41" t="str">
        <f t="shared" si="100"/>
        <v>X</v>
      </c>
      <c r="O222" s="24">
        <f t="shared" si="86"/>
        <v>7.3665931731104664</v>
      </c>
      <c r="P222" s="41" t="str">
        <f t="shared" si="101"/>
        <v>7</v>
      </c>
      <c r="Q222" s="24">
        <f t="shared" si="87"/>
        <v>4.3991180773255962</v>
      </c>
      <c r="R222" s="41" t="str">
        <f t="shared" si="102"/>
        <v/>
      </c>
      <c r="S222" s="24">
        <f t="shared" si="88"/>
        <v>4.7894169279071548</v>
      </c>
      <c r="T222" s="41" t="str">
        <f t="shared" si="103"/>
        <v/>
      </c>
      <c r="U222" s="24">
        <f t="shared" si="89"/>
        <v>9.4730031348858574</v>
      </c>
      <c r="V222" s="41" t="str">
        <f t="shared" si="104"/>
        <v/>
      </c>
      <c r="W222" s="24">
        <f t="shared" si="90"/>
        <v>5.6760376186302892</v>
      </c>
      <c r="X222" s="41" t="str">
        <f t="shared" si="105"/>
        <v/>
      </c>
      <c r="Y222" s="24">
        <f t="shared" si="91"/>
        <v>8.1124514235634706</v>
      </c>
      <c r="Z222" s="41" t="str">
        <f t="shared" si="106"/>
        <v/>
      </c>
      <c r="AA222" s="24">
        <f t="shared" si="92"/>
        <v>1.3494170827616472</v>
      </c>
      <c r="AB222" s="41" t="str">
        <f t="shared" si="107"/>
        <v/>
      </c>
      <c r="AC222" s="24">
        <f t="shared" si="93"/>
        <v>4.1930049931397662</v>
      </c>
      <c r="AD222" s="41" t="str">
        <f t="shared" si="108"/>
        <v/>
      </c>
      <c r="AE222" s="24">
        <f t="shared" si="94"/>
        <v>2.3160599176771939</v>
      </c>
      <c r="AF222" s="41" t="str">
        <f t="shared" si="109"/>
        <v/>
      </c>
      <c r="AG222" s="24">
        <f t="shared" si="95"/>
        <v>3.7927190121263266</v>
      </c>
      <c r="AH222" s="41" t="str">
        <f t="shared" si="110"/>
        <v/>
      </c>
      <c r="AI222" s="24">
        <f t="shared" si="96"/>
        <v>9.5126281455159187</v>
      </c>
      <c r="AJ222" s="41" t="str">
        <f t="shared" si="111"/>
        <v/>
      </c>
    </row>
    <row r="223" spans="1:36" x14ac:dyDescent="0.2">
      <c r="A223" s="314"/>
      <c r="B223" s="315"/>
      <c r="C223" s="316"/>
      <c r="D223" s="317"/>
      <c r="E223" s="316">
        <v>263.11831000000001</v>
      </c>
      <c r="F223" s="8">
        <v>8</v>
      </c>
      <c r="G223" s="21">
        <f t="shared" si="97"/>
        <v>263.47424127736667</v>
      </c>
      <c r="H223" s="37" t="str">
        <f t="shared" si="84"/>
        <v>1;9E5835X5</v>
      </c>
      <c r="I223" s="38">
        <v>2</v>
      </c>
      <c r="J223" s="128">
        <f t="shared" si="98"/>
        <v>1.829682231092824</v>
      </c>
      <c r="K223" s="39" t="str">
        <f>INDEX(powers!$H$2:$H$75,33+I223)</f>
        <v>gross</v>
      </c>
      <c r="L223" s="40" t="str">
        <f t="shared" si="99"/>
        <v>1</v>
      </c>
      <c r="M223" s="24">
        <f t="shared" si="85"/>
        <v>9.9561867731138882</v>
      </c>
      <c r="N223" s="41" t="str">
        <f t="shared" si="100"/>
        <v>9</v>
      </c>
      <c r="O223" s="24">
        <f t="shared" si="86"/>
        <v>11.474241277366659</v>
      </c>
      <c r="P223" s="41" t="str">
        <f t="shared" si="101"/>
        <v>E</v>
      </c>
      <c r="Q223" s="24">
        <f t="shared" si="87"/>
        <v>5.690895328399904</v>
      </c>
      <c r="R223" s="41" t="str">
        <f t="shared" si="102"/>
        <v>5</v>
      </c>
      <c r="S223" s="24">
        <f t="shared" si="88"/>
        <v>8.2907439407988477</v>
      </c>
      <c r="T223" s="41" t="str">
        <f t="shared" si="103"/>
        <v>8</v>
      </c>
      <c r="U223" s="24">
        <f t="shared" si="89"/>
        <v>3.4889272895861723</v>
      </c>
      <c r="V223" s="41" t="str">
        <f t="shared" si="104"/>
        <v>3</v>
      </c>
      <c r="W223" s="24">
        <f t="shared" si="90"/>
        <v>5.8671274750340672</v>
      </c>
      <c r="X223" s="41" t="str">
        <f t="shared" si="105"/>
        <v>5</v>
      </c>
      <c r="Y223" s="24">
        <f t="shared" si="91"/>
        <v>10.405529700408806</v>
      </c>
      <c r="Z223" s="41" t="str">
        <f t="shared" si="106"/>
        <v>X</v>
      </c>
      <c r="AA223" s="24">
        <f t="shared" si="92"/>
        <v>4.8663564049056731</v>
      </c>
      <c r="AB223" s="41" t="str">
        <f t="shared" si="107"/>
        <v>5</v>
      </c>
      <c r="AC223" s="24">
        <f t="shared" si="93"/>
        <v>10.396276858868077</v>
      </c>
      <c r="AD223" s="41" t="str">
        <f t="shared" si="108"/>
        <v/>
      </c>
      <c r="AE223" s="24">
        <f t="shared" si="94"/>
        <v>4.7553223064169288</v>
      </c>
      <c r="AF223" s="41" t="str">
        <f t="shared" si="109"/>
        <v/>
      </c>
      <c r="AG223" s="24">
        <f t="shared" si="95"/>
        <v>9.0638676770031452</v>
      </c>
      <c r="AH223" s="41" t="str">
        <f t="shared" si="110"/>
        <v/>
      </c>
      <c r="AI223" s="24">
        <f t="shared" si="96"/>
        <v>0.76641212403774261</v>
      </c>
      <c r="AJ223" s="41" t="str">
        <f t="shared" si="111"/>
        <v/>
      </c>
    </row>
    <row r="224" spans="1:36" x14ac:dyDescent="0.2">
      <c r="A224" s="314" t="s">
        <v>979</v>
      </c>
      <c r="B224" s="315">
        <v>107</v>
      </c>
      <c r="C224" s="316" t="s">
        <v>978</v>
      </c>
      <c r="D224" s="317">
        <v>272</v>
      </c>
      <c r="E224" s="316"/>
      <c r="F224" s="8">
        <v>2</v>
      </c>
      <c r="G224" s="21">
        <f t="shared" si="97"/>
        <v>272.36794591544668</v>
      </c>
      <c r="H224" s="37" t="str">
        <f t="shared" si="84"/>
        <v>1;X8</v>
      </c>
      <c r="I224" s="38">
        <v>2</v>
      </c>
      <c r="J224" s="128">
        <f t="shared" si="98"/>
        <v>1.8914440688572687</v>
      </c>
      <c r="K224" s="39" t="str">
        <f>INDEX(powers!$H$2:$H$75,33+I224)</f>
        <v>gross</v>
      </c>
      <c r="L224" s="40" t="str">
        <f t="shared" si="99"/>
        <v>1</v>
      </c>
      <c r="M224" s="24">
        <f t="shared" si="85"/>
        <v>10.697328826287224</v>
      </c>
      <c r="N224" s="41" t="str">
        <f t="shared" si="100"/>
        <v>X</v>
      </c>
      <c r="O224" s="24">
        <f t="shared" si="86"/>
        <v>8.3679459154466898</v>
      </c>
      <c r="P224" s="41" t="str">
        <f t="shared" si="101"/>
        <v>8</v>
      </c>
      <c r="Q224" s="24">
        <f t="shared" si="87"/>
        <v>4.415350985360277</v>
      </c>
      <c r="R224" s="41" t="str">
        <f t="shared" si="102"/>
        <v/>
      </c>
      <c r="S224" s="24">
        <f t="shared" si="88"/>
        <v>4.9842118243233244</v>
      </c>
      <c r="T224" s="41" t="str">
        <f t="shared" si="103"/>
        <v/>
      </c>
      <c r="U224" s="24">
        <f t="shared" si="89"/>
        <v>11.810541891879893</v>
      </c>
      <c r="V224" s="41" t="str">
        <f t="shared" si="104"/>
        <v/>
      </c>
      <c r="W224" s="24">
        <f t="shared" si="90"/>
        <v>9.7265027025587187</v>
      </c>
      <c r="X224" s="41" t="str">
        <f t="shared" si="105"/>
        <v/>
      </c>
      <c r="Y224" s="24">
        <f t="shared" si="91"/>
        <v>8.7180324307046249</v>
      </c>
      <c r="Z224" s="41" t="str">
        <f t="shared" si="106"/>
        <v/>
      </c>
      <c r="AA224" s="24">
        <f t="shared" si="92"/>
        <v>8.6163891684554983</v>
      </c>
      <c r="AB224" s="41" t="str">
        <f t="shared" si="107"/>
        <v/>
      </c>
      <c r="AC224" s="24">
        <f t="shared" si="93"/>
        <v>7.3966700214659795</v>
      </c>
      <c r="AD224" s="41" t="str">
        <f t="shared" si="108"/>
        <v/>
      </c>
      <c r="AE224" s="24">
        <f t="shared" si="94"/>
        <v>4.7600402575917542</v>
      </c>
      <c r="AF224" s="41" t="str">
        <f t="shared" si="109"/>
        <v/>
      </c>
      <c r="AG224" s="24">
        <f t="shared" si="95"/>
        <v>9.1204830911010504</v>
      </c>
      <c r="AH224" s="41" t="str">
        <f t="shared" si="110"/>
        <v/>
      </c>
      <c r="AI224" s="24">
        <f t="shared" si="96"/>
        <v>1.4457970932126045</v>
      </c>
      <c r="AJ224" s="41" t="str">
        <f t="shared" si="111"/>
        <v/>
      </c>
    </row>
    <row r="225" spans="1:36" x14ac:dyDescent="0.2">
      <c r="A225" s="314"/>
      <c r="B225" s="315"/>
      <c r="C225" s="316"/>
      <c r="D225" s="317"/>
      <c r="E225" s="316">
        <v>264.12473</v>
      </c>
      <c r="F225" s="8">
        <v>8</v>
      </c>
      <c r="G225" s="21">
        <f t="shared" si="97"/>
        <v>264.48202270430863</v>
      </c>
      <c r="H225" s="37" t="str">
        <f t="shared" si="84"/>
        <v>1;X0594E28</v>
      </c>
      <c r="I225" s="38">
        <v>2</v>
      </c>
      <c r="J225" s="128">
        <f t="shared" si="98"/>
        <v>1.8366807132243654</v>
      </c>
      <c r="K225" s="39" t="str">
        <f>INDEX(powers!$H$2:$H$75,33+I225)</f>
        <v>gross</v>
      </c>
      <c r="L225" s="40" t="str">
        <f t="shared" si="99"/>
        <v>1</v>
      </c>
      <c r="M225" s="24">
        <f t="shared" si="85"/>
        <v>10.040168558692386</v>
      </c>
      <c r="N225" s="41" t="str">
        <f t="shared" si="100"/>
        <v>X</v>
      </c>
      <c r="O225" s="24">
        <f t="shared" si="86"/>
        <v>0.48202270430863337</v>
      </c>
      <c r="P225" s="41" t="str">
        <f t="shared" si="101"/>
        <v>0</v>
      </c>
      <c r="Q225" s="24">
        <f t="shared" si="87"/>
        <v>5.7842724517036004</v>
      </c>
      <c r="R225" s="41" t="str">
        <f t="shared" si="102"/>
        <v>5</v>
      </c>
      <c r="S225" s="24">
        <f t="shared" si="88"/>
        <v>9.4112694204432046</v>
      </c>
      <c r="T225" s="41" t="str">
        <f t="shared" si="103"/>
        <v>9</v>
      </c>
      <c r="U225" s="24">
        <f t="shared" si="89"/>
        <v>4.935233045318455</v>
      </c>
      <c r="V225" s="41" t="str">
        <f t="shared" si="104"/>
        <v>4</v>
      </c>
      <c r="W225" s="24">
        <f t="shared" si="90"/>
        <v>11.22279654382146</v>
      </c>
      <c r="X225" s="41" t="str">
        <f t="shared" si="105"/>
        <v>E</v>
      </c>
      <c r="Y225" s="24">
        <f t="shared" si="91"/>
        <v>2.6735585258575156</v>
      </c>
      <c r="Z225" s="41" t="str">
        <f t="shared" si="106"/>
        <v>2</v>
      </c>
      <c r="AA225" s="24">
        <f t="shared" si="92"/>
        <v>8.0827023102901876</v>
      </c>
      <c r="AB225" s="41" t="str">
        <f t="shared" si="107"/>
        <v>8</v>
      </c>
      <c r="AC225" s="24">
        <f t="shared" si="93"/>
        <v>0.99242772348225117</v>
      </c>
      <c r="AD225" s="41" t="str">
        <f t="shared" si="108"/>
        <v/>
      </c>
      <c r="AE225" s="24">
        <f t="shared" si="94"/>
        <v>11.909132681787014</v>
      </c>
      <c r="AF225" s="41" t="str">
        <f t="shared" si="109"/>
        <v/>
      </c>
      <c r="AG225" s="24">
        <f t="shared" si="95"/>
        <v>10.909592181444168</v>
      </c>
      <c r="AH225" s="41" t="str">
        <f t="shared" si="110"/>
        <v/>
      </c>
      <c r="AI225" s="24">
        <f t="shared" si="96"/>
        <v>10.915106177330017</v>
      </c>
      <c r="AJ225" s="41" t="str">
        <f t="shared" si="111"/>
        <v/>
      </c>
    </row>
    <row r="226" spans="1:36" x14ac:dyDescent="0.2">
      <c r="A226" s="314" t="s">
        <v>981</v>
      </c>
      <c r="B226" s="315">
        <v>108</v>
      </c>
      <c r="C226" s="316" t="s">
        <v>980</v>
      </c>
      <c r="D226" s="317">
        <v>277</v>
      </c>
      <c r="E226" s="316"/>
      <c r="F226" s="8">
        <v>2</v>
      </c>
      <c r="G226" s="21">
        <f t="shared" si="97"/>
        <v>277.37470962712769</v>
      </c>
      <c r="H226" s="37" t="str">
        <f t="shared" si="84"/>
        <v>1;E1</v>
      </c>
      <c r="I226" s="38">
        <v>2</v>
      </c>
      <c r="J226" s="128">
        <f t="shared" si="98"/>
        <v>1.9262132612994978</v>
      </c>
      <c r="K226" s="39" t="str">
        <f>INDEX(powers!$H$2:$H$75,33+I226)</f>
        <v>gross</v>
      </c>
      <c r="L226" s="40" t="str">
        <f t="shared" si="99"/>
        <v>1</v>
      </c>
      <c r="M226" s="24">
        <f t="shared" si="85"/>
        <v>11.114559135593973</v>
      </c>
      <c r="N226" s="41" t="str">
        <f t="shared" si="100"/>
        <v>E</v>
      </c>
      <c r="O226" s="24">
        <f t="shared" si="86"/>
        <v>1.3747096271276789</v>
      </c>
      <c r="P226" s="41" t="str">
        <f t="shared" si="101"/>
        <v>1</v>
      </c>
      <c r="Q226" s="24">
        <f t="shared" si="87"/>
        <v>4.4965155255321463</v>
      </c>
      <c r="R226" s="41" t="str">
        <f t="shared" si="102"/>
        <v/>
      </c>
      <c r="S226" s="24">
        <f t="shared" si="88"/>
        <v>5.9581863063857554</v>
      </c>
      <c r="T226" s="41" t="str">
        <f t="shared" si="103"/>
        <v/>
      </c>
      <c r="U226" s="24">
        <f t="shared" si="89"/>
        <v>11.498235676629065</v>
      </c>
      <c r="V226" s="41" t="str">
        <f t="shared" si="104"/>
        <v/>
      </c>
      <c r="W226" s="24">
        <f t="shared" si="90"/>
        <v>5.9788281195487798</v>
      </c>
      <c r="X226" s="41" t="str">
        <f t="shared" si="105"/>
        <v/>
      </c>
      <c r="Y226" s="24">
        <f t="shared" si="91"/>
        <v>11.745937434585358</v>
      </c>
      <c r="Z226" s="41" t="str">
        <f t="shared" si="106"/>
        <v/>
      </c>
      <c r="AA226" s="24">
        <f t="shared" si="92"/>
        <v>8.9512492150242906</v>
      </c>
      <c r="AB226" s="41" t="str">
        <f t="shared" si="107"/>
        <v/>
      </c>
      <c r="AC226" s="24">
        <f t="shared" si="93"/>
        <v>11.414990580291487</v>
      </c>
      <c r="AD226" s="41" t="str">
        <f t="shared" si="108"/>
        <v/>
      </c>
      <c r="AE226" s="24">
        <f t="shared" si="94"/>
        <v>4.9798869634978473</v>
      </c>
      <c r="AF226" s="41" t="str">
        <f t="shared" si="109"/>
        <v/>
      </c>
      <c r="AG226" s="24">
        <f t="shared" si="95"/>
        <v>11.758643561974168</v>
      </c>
      <c r="AH226" s="41" t="str">
        <f t="shared" si="110"/>
        <v/>
      </c>
      <c r="AI226" s="24">
        <f t="shared" si="96"/>
        <v>9.1037227436900139</v>
      </c>
      <c r="AJ226" s="41" t="str">
        <f t="shared" si="111"/>
        <v/>
      </c>
    </row>
    <row r="227" spans="1:36" x14ac:dyDescent="0.2">
      <c r="A227" s="314" t="s">
        <v>983</v>
      </c>
      <c r="B227" s="315">
        <v>109</v>
      </c>
      <c r="C227" s="316" t="s">
        <v>982</v>
      </c>
      <c r="D227" s="317">
        <v>276</v>
      </c>
      <c r="E227" s="316"/>
      <c r="F227" s="8">
        <v>2</v>
      </c>
      <c r="G227" s="21">
        <f t="shared" si="97"/>
        <v>276.37335688479146</v>
      </c>
      <c r="H227" s="37" t="str">
        <f t="shared" si="84"/>
        <v>1;E0</v>
      </c>
      <c r="I227" s="38">
        <v>2</v>
      </c>
      <c r="J227" s="128">
        <f t="shared" si="98"/>
        <v>1.9192594228110518</v>
      </c>
      <c r="K227" s="39" t="str">
        <f>INDEX(powers!$H$2:$H$75,33+I227)</f>
        <v>gross</v>
      </c>
      <c r="L227" s="40" t="str">
        <f t="shared" si="99"/>
        <v>1</v>
      </c>
      <c r="M227" s="24">
        <f t="shared" si="85"/>
        <v>11.031113073732621</v>
      </c>
      <c r="N227" s="41" t="str">
        <f t="shared" si="100"/>
        <v>E</v>
      </c>
      <c r="O227" s="24">
        <f t="shared" si="86"/>
        <v>0.37335688479145546</v>
      </c>
      <c r="P227" s="41" t="str">
        <f t="shared" si="101"/>
        <v>0</v>
      </c>
      <c r="Q227" s="24">
        <f t="shared" si="87"/>
        <v>4.4802826174974655</v>
      </c>
      <c r="R227" s="41" t="str">
        <f t="shared" si="102"/>
        <v/>
      </c>
      <c r="S227" s="24">
        <f t="shared" si="88"/>
        <v>5.7633914099695858</v>
      </c>
      <c r="T227" s="41" t="str">
        <f t="shared" si="103"/>
        <v/>
      </c>
      <c r="U227" s="24">
        <f t="shared" si="89"/>
        <v>9.1606969196350292</v>
      </c>
      <c r="V227" s="41" t="str">
        <f t="shared" si="104"/>
        <v/>
      </c>
      <c r="W227" s="24">
        <f t="shared" si="90"/>
        <v>1.9283630356203503</v>
      </c>
      <c r="X227" s="41" t="str">
        <f t="shared" si="105"/>
        <v/>
      </c>
      <c r="Y227" s="24">
        <f t="shared" si="91"/>
        <v>11.140356427444203</v>
      </c>
      <c r="Z227" s="41" t="str">
        <f t="shared" si="106"/>
        <v/>
      </c>
      <c r="AA227" s="24">
        <f t="shared" si="92"/>
        <v>1.6842771293304395</v>
      </c>
      <c r="AB227" s="41" t="str">
        <f t="shared" si="107"/>
        <v/>
      </c>
      <c r="AC227" s="24">
        <f t="shared" si="93"/>
        <v>8.2113255519652739</v>
      </c>
      <c r="AD227" s="41" t="str">
        <f t="shared" si="108"/>
        <v/>
      </c>
      <c r="AE227" s="24">
        <f t="shared" si="94"/>
        <v>2.535906623583287</v>
      </c>
      <c r="AF227" s="41" t="str">
        <f t="shared" si="109"/>
        <v/>
      </c>
      <c r="AG227" s="24">
        <f t="shared" si="95"/>
        <v>6.430879482999444</v>
      </c>
      <c r="AH227" s="41" t="str">
        <f t="shared" si="110"/>
        <v/>
      </c>
      <c r="AI227" s="24">
        <f t="shared" si="96"/>
        <v>5.1705537959933281</v>
      </c>
      <c r="AJ227" s="41" t="str">
        <f t="shared" si="111"/>
        <v/>
      </c>
    </row>
    <row r="228" spans="1:36" x14ac:dyDescent="0.2">
      <c r="A228" s="314"/>
      <c r="B228" s="315"/>
      <c r="C228" s="316"/>
      <c r="D228" s="317"/>
      <c r="E228" s="316">
        <v>268.13882000000001</v>
      </c>
      <c r="F228" s="8">
        <v>8</v>
      </c>
      <c r="G228" s="21">
        <f t="shared" si="97"/>
        <v>268.50154273379297</v>
      </c>
      <c r="H228" s="37" t="str">
        <f t="shared" si="84"/>
        <v>1;X46027EE</v>
      </c>
      <c r="I228" s="38">
        <v>2</v>
      </c>
      <c r="J228" s="128">
        <f t="shared" si="98"/>
        <v>1.8645940467624511</v>
      </c>
      <c r="K228" s="39" t="str">
        <f>INDEX(powers!$H$2:$H$75,33+I228)</f>
        <v>gross</v>
      </c>
      <c r="L228" s="40" t="str">
        <f t="shared" si="99"/>
        <v>1</v>
      </c>
      <c r="M228" s="24">
        <f t="shared" si="85"/>
        <v>10.375128561149413</v>
      </c>
      <c r="N228" s="41" t="str">
        <f t="shared" si="100"/>
        <v>X</v>
      </c>
      <c r="O228" s="24">
        <f t="shared" si="86"/>
        <v>4.5015427337929594</v>
      </c>
      <c r="P228" s="41" t="str">
        <f t="shared" si="101"/>
        <v>4</v>
      </c>
      <c r="Q228" s="24">
        <f t="shared" si="87"/>
        <v>6.0185128055155133</v>
      </c>
      <c r="R228" s="41" t="str">
        <f t="shared" si="102"/>
        <v>6</v>
      </c>
      <c r="S228" s="24">
        <f t="shared" si="88"/>
        <v>0.22215366618615917</v>
      </c>
      <c r="T228" s="41" t="str">
        <f t="shared" si="103"/>
        <v>0</v>
      </c>
      <c r="U228" s="24">
        <f t="shared" si="89"/>
        <v>2.6658439942339101</v>
      </c>
      <c r="V228" s="41" t="str">
        <f t="shared" si="104"/>
        <v>2</v>
      </c>
      <c r="W228" s="24">
        <f t="shared" si="90"/>
        <v>7.9901279308069206</v>
      </c>
      <c r="X228" s="41" t="str">
        <f t="shared" si="105"/>
        <v>7</v>
      </c>
      <c r="Y228" s="24">
        <f t="shared" si="91"/>
        <v>11.881535169683048</v>
      </c>
      <c r="Z228" s="41" t="str">
        <f t="shared" si="106"/>
        <v>E</v>
      </c>
      <c r="AA228" s="24">
        <f t="shared" si="92"/>
        <v>10.578422036196571</v>
      </c>
      <c r="AB228" s="41" t="str">
        <f t="shared" si="107"/>
        <v>E</v>
      </c>
      <c r="AC228" s="24">
        <f t="shared" si="93"/>
        <v>6.9410644343588501</v>
      </c>
      <c r="AD228" s="41" t="str">
        <f t="shared" si="108"/>
        <v/>
      </c>
      <c r="AE228" s="24">
        <f t="shared" si="94"/>
        <v>11.292773212306201</v>
      </c>
      <c r="AF228" s="41" t="str">
        <f t="shared" si="109"/>
        <v/>
      </c>
      <c r="AG228" s="24">
        <f t="shared" si="95"/>
        <v>3.5132785476744175</v>
      </c>
      <c r="AH228" s="41" t="str">
        <f t="shared" si="110"/>
        <v/>
      </c>
      <c r="AI228" s="24">
        <f t="shared" si="96"/>
        <v>6.1593425720930099</v>
      </c>
      <c r="AJ228" s="41" t="str">
        <f t="shared" si="111"/>
        <v/>
      </c>
    </row>
    <row r="229" spans="1:36" x14ac:dyDescent="0.2">
      <c r="A229" s="314" t="s">
        <v>985</v>
      </c>
      <c r="B229" s="315">
        <v>110</v>
      </c>
      <c r="C229" s="316" t="s">
        <v>984</v>
      </c>
      <c r="D229" s="317">
        <v>281</v>
      </c>
      <c r="E229" s="316"/>
      <c r="F229" s="8">
        <v>2</v>
      </c>
      <c r="G229" s="21">
        <f t="shared" si="97"/>
        <v>281.38012059647247</v>
      </c>
      <c r="H229" s="37" t="str">
        <f t="shared" si="84"/>
        <v>1;E5</v>
      </c>
      <c r="I229" s="38">
        <v>2</v>
      </c>
      <c r="J229" s="128">
        <f t="shared" si="98"/>
        <v>1.9540286152532811</v>
      </c>
      <c r="K229" s="39" t="str">
        <f>INDEX(powers!$H$2:$H$75,33+I229)</f>
        <v>gross</v>
      </c>
      <c r="L229" s="40" t="str">
        <f t="shared" si="99"/>
        <v>1</v>
      </c>
      <c r="M229" s="24">
        <f t="shared" si="85"/>
        <v>11.448343383039372</v>
      </c>
      <c r="N229" s="41" t="str">
        <f t="shared" si="100"/>
        <v>E</v>
      </c>
      <c r="O229" s="24">
        <f t="shared" si="86"/>
        <v>5.3801205964724659</v>
      </c>
      <c r="P229" s="41" t="str">
        <f t="shared" si="101"/>
        <v>5</v>
      </c>
      <c r="Q229" s="24">
        <f t="shared" si="87"/>
        <v>4.5614471576695905</v>
      </c>
      <c r="R229" s="41" t="str">
        <f t="shared" si="102"/>
        <v/>
      </c>
      <c r="S229" s="24">
        <f t="shared" si="88"/>
        <v>6.7373658920350863</v>
      </c>
      <c r="T229" s="41" t="str">
        <f t="shared" si="103"/>
        <v/>
      </c>
      <c r="U229" s="24">
        <f t="shared" si="89"/>
        <v>8.8483907044210355</v>
      </c>
      <c r="V229" s="41" t="str">
        <f t="shared" si="104"/>
        <v/>
      </c>
      <c r="W229" s="24">
        <f t="shared" si="90"/>
        <v>10.180688453052426</v>
      </c>
      <c r="X229" s="41" t="str">
        <f t="shared" si="105"/>
        <v/>
      </c>
      <c r="Y229" s="24">
        <f t="shared" si="91"/>
        <v>2.1682614366291091</v>
      </c>
      <c r="Z229" s="41" t="str">
        <f t="shared" si="106"/>
        <v/>
      </c>
      <c r="AA229" s="24">
        <f t="shared" si="92"/>
        <v>2.019137239549309</v>
      </c>
      <c r="AB229" s="41" t="str">
        <f t="shared" si="107"/>
        <v/>
      </c>
      <c r="AC229" s="24">
        <f t="shared" si="93"/>
        <v>0.22964687459170818</v>
      </c>
      <c r="AD229" s="41" t="str">
        <f t="shared" si="108"/>
        <v/>
      </c>
      <c r="AE229" s="24">
        <f t="shared" si="94"/>
        <v>2.7557624951004982</v>
      </c>
      <c r="AF229" s="41" t="str">
        <f t="shared" si="109"/>
        <v/>
      </c>
      <c r="AG229" s="24">
        <f t="shared" si="95"/>
        <v>9.0691499412059784</v>
      </c>
      <c r="AH229" s="41" t="str">
        <f t="shared" si="110"/>
        <v/>
      </c>
      <c r="AI229" s="24">
        <f t="shared" si="96"/>
        <v>0.82979929447174072</v>
      </c>
      <c r="AJ229" s="41" t="str">
        <f t="shared" si="111"/>
        <v/>
      </c>
    </row>
    <row r="230" spans="1:36" x14ac:dyDescent="0.2">
      <c r="A230" s="314"/>
      <c r="B230" s="315"/>
      <c r="C230" s="316"/>
      <c r="D230" s="317"/>
      <c r="E230" s="316">
        <v>269.14514000000003</v>
      </c>
      <c r="F230" s="8">
        <v>8</v>
      </c>
      <c r="G230" s="21">
        <f t="shared" si="97"/>
        <v>269.50922402546075</v>
      </c>
      <c r="H230" s="37" t="str">
        <f t="shared" si="84"/>
        <v>1;X5613E33</v>
      </c>
      <c r="I230" s="38">
        <v>2</v>
      </c>
      <c r="J230" s="128">
        <f t="shared" si="98"/>
        <v>1.871591833510144</v>
      </c>
      <c r="K230" s="39" t="str">
        <f>INDEX(powers!$H$2:$H$75,33+I230)</f>
        <v>gross</v>
      </c>
      <c r="L230" s="40" t="str">
        <f t="shared" si="99"/>
        <v>1</v>
      </c>
      <c r="M230" s="24">
        <f t="shared" si="85"/>
        <v>10.459102002121728</v>
      </c>
      <c r="N230" s="41" t="str">
        <f t="shared" si="100"/>
        <v>X</v>
      </c>
      <c r="O230" s="24">
        <f t="shared" si="86"/>
        <v>5.509224025460739</v>
      </c>
      <c r="P230" s="41" t="str">
        <f t="shared" si="101"/>
        <v>5</v>
      </c>
      <c r="Q230" s="24">
        <f t="shared" si="87"/>
        <v>6.1106883055288677</v>
      </c>
      <c r="R230" s="41" t="str">
        <f t="shared" si="102"/>
        <v>6</v>
      </c>
      <c r="S230" s="24">
        <f t="shared" si="88"/>
        <v>1.3282596663464119</v>
      </c>
      <c r="T230" s="41" t="str">
        <f t="shared" si="103"/>
        <v>1</v>
      </c>
      <c r="U230" s="24">
        <f t="shared" si="89"/>
        <v>3.9391159961569429</v>
      </c>
      <c r="V230" s="41" t="str">
        <f t="shared" si="104"/>
        <v>3</v>
      </c>
      <c r="W230" s="24">
        <f t="shared" si="90"/>
        <v>11.269391953883314</v>
      </c>
      <c r="X230" s="41" t="str">
        <f t="shared" si="105"/>
        <v>E</v>
      </c>
      <c r="Y230" s="24">
        <f t="shared" si="91"/>
        <v>3.2327034465997713</v>
      </c>
      <c r="Z230" s="41" t="str">
        <f t="shared" si="106"/>
        <v>3</v>
      </c>
      <c r="AA230" s="24">
        <f t="shared" si="92"/>
        <v>2.7924413591972552</v>
      </c>
      <c r="AB230" s="41" t="str">
        <f t="shared" si="107"/>
        <v>3</v>
      </c>
      <c r="AC230" s="24">
        <f t="shared" si="93"/>
        <v>9.5092963103670627</v>
      </c>
      <c r="AD230" s="41" t="str">
        <f t="shared" si="108"/>
        <v/>
      </c>
      <c r="AE230" s="24">
        <f t="shared" si="94"/>
        <v>6.1115557244047523</v>
      </c>
      <c r="AF230" s="41" t="str">
        <f t="shared" si="109"/>
        <v/>
      </c>
      <c r="AG230" s="24">
        <f t="shared" si="95"/>
        <v>1.3386686928570271</v>
      </c>
      <c r="AH230" s="41" t="str">
        <f t="shared" si="110"/>
        <v/>
      </c>
      <c r="AI230" s="24">
        <f t="shared" si="96"/>
        <v>4.0640243142843246</v>
      </c>
      <c r="AJ230" s="41" t="str">
        <f t="shared" si="111"/>
        <v/>
      </c>
    </row>
    <row r="231" spans="1:36" x14ac:dyDescent="0.2">
      <c r="A231" s="314" t="s">
        <v>988</v>
      </c>
      <c r="B231" s="315">
        <v>111</v>
      </c>
      <c r="C231" s="316" t="s">
        <v>986</v>
      </c>
      <c r="D231" s="317">
        <v>280</v>
      </c>
      <c r="E231" s="316">
        <v>272.15348</v>
      </c>
      <c r="F231" s="8">
        <v>8</v>
      </c>
      <c r="G231" s="21">
        <f t="shared" si="97"/>
        <v>280.37876785413624</v>
      </c>
      <c r="H231" s="37" t="str">
        <f t="shared" si="84"/>
        <v>1;E4466617</v>
      </c>
      <c r="I231" s="38">
        <v>2</v>
      </c>
      <c r="J231" s="128">
        <f t="shared" si="98"/>
        <v>1.9470747767648351</v>
      </c>
      <c r="K231" s="39" t="str">
        <f>INDEX(powers!$H$2:$H$75,33+I231)</f>
        <v>gross</v>
      </c>
      <c r="L231" s="40" t="str">
        <f t="shared" si="99"/>
        <v>1</v>
      </c>
      <c r="M231" s="24">
        <f t="shared" si="85"/>
        <v>11.36489732117802</v>
      </c>
      <c r="N231" s="41" t="str">
        <f t="shared" si="100"/>
        <v>E</v>
      </c>
      <c r="O231" s="24">
        <f t="shared" si="86"/>
        <v>4.3787678541362425</v>
      </c>
      <c r="P231" s="41" t="str">
        <f t="shared" si="101"/>
        <v>4</v>
      </c>
      <c r="Q231" s="24">
        <f t="shared" si="87"/>
        <v>4.5452142496349097</v>
      </c>
      <c r="R231" s="41" t="str">
        <f t="shared" si="102"/>
        <v>4</v>
      </c>
      <c r="S231" s="24">
        <f t="shared" si="88"/>
        <v>6.5425709956189166</v>
      </c>
      <c r="T231" s="41" t="str">
        <f t="shared" si="103"/>
        <v>6</v>
      </c>
      <c r="U231" s="24">
        <f t="shared" si="89"/>
        <v>6.5108519474269997</v>
      </c>
      <c r="V231" s="41" t="str">
        <f t="shared" si="104"/>
        <v>6</v>
      </c>
      <c r="W231" s="24">
        <f t="shared" si="90"/>
        <v>6.1302233691239962</v>
      </c>
      <c r="X231" s="41" t="str">
        <f t="shared" si="105"/>
        <v>6</v>
      </c>
      <c r="Y231" s="24">
        <f t="shared" si="91"/>
        <v>1.5626804294879548</v>
      </c>
      <c r="Z231" s="41" t="str">
        <f t="shared" si="106"/>
        <v>1</v>
      </c>
      <c r="AA231" s="24">
        <f t="shared" si="92"/>
        <v>6.7521651538554579</v>
      </c>
      <c r="AB231" s="41" t="str">
        <f t="shared" si="107"/>
        <v>7</v>
      </c>
      <c r="AC231" s="24">
        <f t="shared" si="93"/>
        <v>9.0259818462654948</v>
      </c>
      <c r="AD231" s="41" t="str">
        <f t="shared" si="108"/>
        <v/>
      </c>
      <c r="AE231" s="24">
        <f t="shared" si="94"/>
        <v>0.31178215518593788</v>
      </c>
      <c r="AF231" s="41" t="str">
        <f t="shared" si="109"/>
        <v/>
      </c>
      <c r="AG231" s="24">
        <f t="shared" si="95"/>
        <v>3.7413858622312546</v>
      </c>
      <c r="AH231" s="41" t="str">
        <f t="shared" si="110"/>
        <v/>
      </c>
      <c r="AI231" s="24">
        <f t="shared" si="96"/>
        <v>8.8966303467750549</v>
      </c>
      <c r="AJ231" s="41" t="str">
        <f t="shared" si="111"/>
        <v/>
      </c>
    </row>
    <row r="232" spans="1:36" x14ac:dyDescent="0.2">
      <c r="A232" s="314" t="s">
        <v>990</v>
      </c>
      <c r="B232" s="315">
        <v>112</v>
      </c>
      <c r="C232" s="316" t="s">
        <v>987</v>
      </c>
      <c r="D232" s="317">
        <v>285</v>
      </c>
      <c r="E232" s="318"/>
      <c r="F232" s="8">
        <v>2</v>
      </c>
      <c r="G232" s="21">
        <f t="shared" si="97"/>
        <v>285.38553156581725</v>
      </c>
      <c r="H232" s="37" t="str">
        <f t="shared" si="84"/>
        <v>1;E9</v>
      </c>
      <c r="I232" s="38">
        <v>2</v>
      </c>
      <c r="J232" s="128">
        <f t="shared" si="98"/>
        <v>1.9818439692070642</v>
      </c>
      <c r="K232" s="39" t="str">
        <f>INDEX(powers!$H$2:$H$75,33+I232)</f>
        <v>gross</v>
      </c>
      <c r="L232" s="40" t="str">
        <f t="shared" si="99"/>
        <v>1</v>
      </c>
      <c r="M232" s="24">
        <f t="shared" si="85"/>
        <v>11.782127630484769</v>
      </c>
      <c r="N232" s="41" t="str">
        <f t="shared" si="100"/>
        <v>E</v>
      </c>
      <c r="O232" s="24">
        <f t="shared" si="86"/>
        <v>9.3855315658172316</v>
      </c>
      <c r="P232" s="41" t="str">
        <f t="shared" si="101"/>
        <v>9</v>
      </c>
      <c r="Q232" s="24">
        <f t="shared" si="87"/>
        <v>4.626378789806779</v>
      </c>
      <c r="R232" s="41" t="str">
        <f t="shared" si="102"/>
        <v/>
      </c>
      <c r="S232" s="24">
        <f t="shared" si="88"/>
        <v>7.5165454776813476</v>
      </c>
      <c r="T232" s="41" t="str">
        <f t="shared" si="103"/>
        <v/>
      </c>
      <c r="U232" s="24">
        <f t="shared" si="89"/>
        <v>6.1985457321761714</v>
      </c>
      <c r="V232" s="41" t="str">
        <f t="shared" si="104"/>
        <v/>
      </c>
      <c r="W232" s="24">
        <f t="shared" si="90"/>
        <v>2.3825487861140573</v>
      </c>
      <c r="X232" s="41" t="str">
        <f t="shared" si="105"/>
        <v/>
      </c>
      <c r="Y232" s="24">
        <f t="shared" si="91"/>
        <v>4.5905854333686875</v>
      </c>
      <c r="Z232" s="41" t="str">
        <f t="shared" si="106"/>
        <v/>
      </c>
      <c r="AA232" s="24">
        <f t="shared" si="92"/>
        <v>7.0870252004242502</v>
      </c>
      <c r="AB232" s="41" t="str">
        <f t="shared" si="107"/>
        <v/>
      </c>
      <c r="AC232" s="24">
        <f t="shared" si="93"/>
        <v>1.0443024050910026</v>
      </c>
      <c r="AD232" s="41" t="str">
        <f t="shared" si="108"/>
        <v/>
      </c>
      <c r="AE232" s="24">
        <f t="shared" si="94"/>
        <v>0.531628861092031</v>
      </c>
      <c r="AF232" s="41" t="str">
        <f t="shared" si="109"/>
        <v/>
      </c>
      <c r="AG232" s="24">
        <f t="shared" si="95"/>
        <v>6.379546333104372</v>
      </c>
      <c r="AH232" s="41" t="str">
        <f t="shared" si="110"/>
        <v/>
      </c>
      <c r="AI232" s="24">
        <f t="shared" si="96"/>
        <v>4.5545559972524643</v>
      </c>
      <c r="AJ232" s="41" t="str">
        <f t="shared" si="111"/>
        <v/>
      </c>
    </row>
    <row r="233" spans="1:36" x14ac:dyDescent="0.2">
      <c r="A233" s="314" t="s">
        <v>992</v>
      </c>
      <c r="B233" s="315">
        <v>113</v>
      </c>
      <c r="C233" s="316" t="s">
        <v>989</v>
      </c>
      <c r="D233" s="317">
        <v>284</v>
      </c>
      <c r="E233" s="318"/>
      <c r="F233" s="8">
        <v>2</v>
      </c>
      <c r="G233" s="21">
        <f t="shared" si="97"/>
        <v>284.38417882348108</v>
      </c>
      <c r="H233" s="37" t="str">
        <f t="shared" si="84"/>
        <v>1;E8</v>
      </c>
      <c r="I233" s="38">
        <v>2</v>
      </c>
      <c r="J233" s="128">
        <f t="shared" si="98"/>
        <v>1.9748901307186186</v>
      </c>
      <c r="K233" s="39" t="str">
        <f>INDEX(powers!$H$2:$H$75,33+I233)</f>
        <v>gross</v>
      </c>
      <c r="L233" s="40" t="str">
        <f t="shared" si="99"/>
        <v>1</v>
      </c>
      <c r="M233" s="24">
        <f t="shared" si="85"/>
        <v>11.698681568623424</v>
      </c>
      <c r="N233" s="41" t="str">
        <f t="shared" si="100"/>
        <v>E</v>
      </c>
      <c r="O233" s="24">
        <f t="shared" si="86"/>
        <v>8.3841788234810934</v>
      </c>
      <c r="P233" s="41" t="str">
        <f t="shared" si="101"/>
        <v>8</v>
      </c>
      <c r="Q233" s="24">
        <f t="shared" si="87"/>
        <v>4.6101458817731213</v>
      </c>
      <c r="R233" s="41" t="str">
        <f t="shared" si="102"/>
        <v/>
      </c>
      <c r="S233" s="24">
        <f t="shared" si="88"/>
        <v>7.3217505812774561</v>
      </c>
      <c r="T233" s="41" t="str">
        <f t="shared" si="103"/>
        <v/>
      </c>
      <c r="U233" s="24">
        <f t="shared" si="89"/>
        <v>3.8610069753294738</v>
      </c>
      <c r="V233" s="41" t="str">
        <f t="shared" si="104"/>
        <v/>
      </c>
      <c r="W233" s="24">
        <f t="shared" si="90"/>
        <v>10.332083703953685</v>
      </c>
      <c r="X233" s="41" t="str">
        <f t="shared" si="105"/>
        <v/>
      </c>
      <c r="Y233" s="24">
        <f t="shared" si="91"/>
        <v>3.9850044474442257</v>
      </c>
      <c r="Z233" s="41" t="str">
        <f t="shared" si="106"/>
        <v/>
      </c>
      <c r="AA233" s="24">
        <f t="shared" si="92"/>
        <v>11.820053369330708</v>
      </c>
      <c r="AB233" s="41" t="str">
        <f t="shared" si="107"/>
        <v/>
      </c>
      <c r="AC233" s="24">
        <f t="shared" si="93"/>
        <v>9.8406404319684952</v>
      </c>
      <c r="AD233" s="41" t="str">
        <f t="shared" si="108"/>
        <v/>
      </c>
      <c r="AE233" s="24">
        <f t="shared" si="94"/>
        <v>10.087685183621943</v>
      </c>
      <c r="AF233" s="41" t="str">
        <f t="shared" si="109"/>
        <v/>
      </c>
      <c r="AG233" s="24">
        <f t="shared" si="95"/>
        <v>1.052222203463316</v>
      </c>
      <c r="AH233" s="41" t="str">
        <f t="shared" si="110"/>
        <v/>
      </c>
      <c r="AI233" s="24">
        <f t="shared" si="96"/>
        <v>0.62666644155979156</v>
      </c>
      <c r="AJ233" s="41" t="str">
        <f t="shared" si="111"/>
        <v/>
      </c>
    </row>
    <row r="234" spans="1:36" x14ac:dyDescent="0.2">
      <c r="A234" s="314" t="s">
        <v>994</v>
      </c>
      <c r="B234" s="315">
        <v>114</v>
      </c>
      <c r="C234" s="316" t="s">
        <v>991</v>
      </c>
      <c r="D234" s="317">
        <v>289</v>
      </c>
      <c r="E234" s="318"/>
      <c r="F234" s="8">
        <v>2</v>
      </c>
      <c r="G234" s="21">
        <f t="shared" si="97"/>
        <v>289.39094253516208</v>
      </c>
      <c r="H234" s="37" t="str">
        <f t="shared" si="84"/>
        <v>2;01</v>
      </c>
      <c r="I234" s="38">
        <v>2</v>
      </c>
      <c r="J234" s="128">
        <f t="shared" si="98"/>
        <v>2.0096593231608479</v>
      </c>
      <c r="K234" s="39" t="str">
        <f>INDEX(powers!$H$2:$H$75,33+I234)</f>
        <v>gross</v>
      </c>
      <c r="L234" s="40" t="str">
        <f t="shared" si="99"/>
        <v>2</v>
      </c>
      <c r="M234" s="24">
        <f t="shared" si="85"/>
        <v>0.11591187793017532</v>
      </c>
      <c r="N234" s="41" t="str">
        <f t="shared" si="100"/>
        <v>0</v>
      </c>
      <c r="O234" s="24">
        <f t="shared" si="86"/>
        <v>1.3909425351621039</v>
      </c>
      <c r="P234" s="41" t="str">
        <f t="shared" si="101"/>
        <v>1</v>
      </c>
      <c r="Q234" s="24">
        <f t="shared" si="87"/>
        <v>4.6913104219452464</v>
      </c>
      <c r="R234" s="41" t="str">
        <f t="shared" si="102"/>
        <v/>
      </c>
      <c r="S234" s="24">
        <f t="shared" si="88"/>
        <v>8.2957250633429567</v>
      </c>
      <c r="T234" s="41" t="str">
        <f t="shared" si="103"/>
        <v/>
      </c>
      <c r="U234" s="24">
        <f t="shared" si="89"/>
        <v>3.5487007601154801</v>
      </c>
      <c r="V234" s="41" t="str">
        <f t="shared" si="104"/>
        <v/>
      </c>
      <c r="W234" s="24">
        <f t="shared" si="90"/>
        <v>6.584409121385761</v>
      </c>
      <c r="X234" s="41" t="str">
        <f t="shared" si="105"/>
        <v/>
      </c>
      <c r="Y234" s="24">
        <f t="shared" si="91"/>
        <v>7.0129094566291315</v>
      </c>
      <c r="Z234" s="41" t="str">
        <f t="shared" si="106"/>
        <v/>
      </c>
      <c r="AA234" s="24">
        <f t="shared" si="92"/>
        <v>0.15491347954957746</v>
      </c>
      <c r="AB234" s="41" t="str">
        <f t="shared" si="107"/>
        <v/>
      </c>
      <c r="AC234" s="24">
        <f t="shared" si="93"/>
        <v>1.8589617545949295</v>
      </c>
      <c r="AD234" s="41" t="str">
        <f t="shared" si="108"/>
        <v/>
      </c>
      <c r="AE234" s="24">
        <f t="shared" si="94"/>
        <v>10.307541055139154</v>
      </c>
      <c r="AF234" s="41" t="str">
        <f t="shared" si="109"/>
        <v/>
      </c>
      <c r="AG234" s="24">
        <f t="shared" si="95"/>
        <v>3.6904926616698503</v>
      </c>
      <c r="AH234" s="41" t="str">
        <f t="shared" si="110"/>
        <v/>
      </c>
      <c r="AI234" s="24">
        <f t="shared" si="96"/>
        <v>8.2859119400382042</v>
      </c>
      <c r="AJ234" s="41" t="str">
        <f t="shared" si="111"/>
        <v/>
      </c>
    </row>
    <row r="235" spans="1:36" x14ac:dyDescent="0.2">
      <c r="A235" s="314" t="s">
        <v>996</v>
      </c>
      <c r="B235" s="315">
        <v>115</v>
      </c>
      <c r="C235" s="316" t="s">
        <v>993</v>
      </c>
      <c r="D235" s="317">
        <v>288</v>
      </c>
      <c r="E235" s="318"/>
      <c r="F235" s="8">
        <v>2</v>
      </c>
      <c r="G235" s="21">
        <f t="shared" si="97"/>
        <v>288.38958979282586</v>
      </c>
      <c r="H235" s="37" t="str">
        <f t="shared" si="84"/>
        <v>2;00</v>
      </c>
      <c r="I235" s="38">
        <v>2</v>
      </c>
      <c r="J235" s="128">
        <f t="shared" si="98"/>
        <v>2.0027054846724019</v>
      </c>
      <c r="K235" s="39" t="str">
        <f>INDEX(powers!$H$2:$H$75,33+I235)</f>
        <v>gross</v>
      </c>
      <c r="L235" s="40" t="str">
        <f t="shared" si="99"/>
        <v>2</v>
      </c>
      <c r="M235" s="24">
        <f t="shared" si="85"/>
        <v>3.2465816068823372E-2</v>
      </c>
      <c r="N235" s="41" t="str">
        <f t="shared" si="100"/>
        <v>0</v>
      </c>
      <c r="O235" s="24">
        <f t="shared" si="86"/>
        <v>0.38958979282588047</v>
      </c>
      <c r="P235" s="41" t="str">
        <f t="shared" si="101"/>
        <v>0</v>
      </c>
      <c r="Q235" s="24">
        <f t="shared" si="87"/>
        <v>4.6750775139105656</v>
      </c>
      <c r="R235" s="41" t="str">
        <f t="shared" si="102"/>
        <v/>
      </c>
      <c r="S235" s="24">
        <f t="shared" si="88"/>
        <v>8.100930166926787</v>
      </c>
      <c r="T235" s="41" t="str">
        <f t="shared" si="103"/>
        <v/>
      </c>
      <c r="U235" s="24">
        <f t="shared" si="89"/>
        <v>1.2111620031214443</v>
      </c>
      <c r="V235" s="41" t="str">
        <f t="shared" si="104"/>
        <v/>
      </c>
      <c r="W235" s="24">
        <f t="shared" si="90"/>
        <v>2.5339440374573314</v>
      </c>
      <c r="X235" s="41" t="str">
        <f t="shared" si="105"/>
        <v/>
      </c>
      <c r="Y235" s="24">
        <f t="shared" si="91"/>
        <v>6.4073284494879772</v>
      </c>
      <c r="Z235" s="41" t="str">
        <f t="shared" si="106"/>
        <v/>
      </c>
      <c r="AA235" s="24">
        <f t="shared" si="92"/>
        <v>4.8879413938557263</v>
      </c>
      <c r="AB235" s="41" t="str">
        <f t="shared" si="107"/>
        <v/>
      </c>
      <c r="AC235" s="24">
        <f t="shared" si="93"/>
        <v>10.655296726268716</v>
      </c>
      <c r="AD235" s="41" t="str">
        <f t="shared" si="108"/>
        <v/>
      </c>
      <c r="AE235" s="24">
        <f t="shared" si="94"/>
        <v>7.8635607152245939</v>
      </c>
      <c r="AF235" s="41" t="str">
        <f t="shared" si="109"/>
        <v/>
      </c>
      <c r="AG235" s="24">
        <f t="shared" si="95"/>
        <v>10.362728582695127</v>
      </c>
      <c r="AH235" s="41" t="str">
        <f t="shared" si="110"/>
        <v/>
      </c>
      <c r="AI235" s="24">
        <f t="shared" si="96"/>
        <v>4.3527429923415184</v>
      </c>
      <c r="AJ235" s="41" t="str">
        <f t="shared" si="111"/>
        <v/>
      </c>
    </row>
    <row r="236" spans="1:36" x14ac:dyDescent="0.2">
      <c r="A236" s="314" t="s">
        <v>998</v>
      </c>
      <c r="B236" s="315">
        <v>116</v>
      </c>
      <c r="C236" s="316" t="s">
        <v>995</v>
      </c>
      <c r="D236" s="317">
        <v>293</v>
      </c>
      <c r="E236" s="318"/>
      <c r="F236" s="8">
        <v>2</v>
      </c>
      <c r="G236" s="21">
        <f t="shared" si="97"/>
        <v>293.39635350450686</v>
      </c>
      <c r="H236" s="37" t="str">
        <f t="shared" si="84"/>
        <v>2;05</v>
      </c>
      <c r="I236" s="38">
        <v>2</v>
      </c>
      <c r="J236" s="128">
        <f t="shared" si="98"/>
        <v>2.037474677114631</v>
      </c>
      <c r="K236" s="39" t="str">
        <f>INDEX(powers!$H$2:$H$75,33+I236)</f>
        <v>gross</v>
      </c>
      <c r="L236" s="40" t="str">
        <f t="shared" si="99"/>
        <v>2</v>
      </c>
      <c r="M236" s="24">
        <f t="shared" si="85"/>
        <v>0.44969612537557246</v>
      </c>
      <c r="N236" s="41" t="str">
        <f t="shared" si="100"/>
        <v>0</v>
      </c>
      <c r="O236" s="24">
        <f t="shared" si="86"/>
        <v>5.3963535045068696</v>
      </c>
      <c r="P236" s="41" t="str">
        <f t="shared" si="101"/>
        <v>5</v>
      </c>
      <c r="Q236" s="24">
        <f t="shared" si="87"/>
        <v>4.7562420540824348</v>
      </c>
      <c r="R236" s="41" t="str">
        <f t="shared" si="102"/>
        <v/>
      </c>
      <c r="S236" s="24">
        <f t="shared" si="88"/>
        <v>9.074904648989218</v>
      </c>
      <c r="T236" s="41" t="str">
        <f t="shared" si="103"/>
        <v/>
      </c>
      <c r="U236" s="24">
        <f t="shared" si="89"/>
        <v>0.89885578787061604</v>
      </c>
      <c r="V236" s="41" t="str">
        <f t="shared" si="104"/>
        <v/>
      </c>
      <c r="W236" s="24">
        <f t="shared" si="90"/>
        <v>10.786269454447392</v>
      </c>
      <c r="X236" s="41" t="str">
        <f t="shared" si="105"/>
        <v/>
      </c>
      <c r="Y236" s="24">
        <f t="shared" si="91"/>
        <v>9.4352334533687099</v>
      </c>
      <c r="Z236" s="41" t="str">
        <f t="shared" si="106"/>
        <v/>
      </c>
      <c r="AA236" s="24">
        <f t="shared" si="92"/>
        <v>5.2228014404245187</v>
      </c>
      <c r="AB236" s="41" t="str">
        <f t="shared" si="107"/>
        <v/>
      </c>
      <c r="AC236" s="24">
        <f t="shared" si="93"/>
        <v>2.6736172850942239</v>
      </c>
      <c r="AD236" s="41" t="str">
        <f t="shared" si="108"/>
        <v/>
      </c>
      <c r="AE236" s="24">
        <f t="shared" si="94"/>
        <v>8.083407421130687</v>
      </c>
      <c r="AF236" s="41" t="str">
        <f t="shared" si="109"/>
        <v/>
      </c>
      <c r="AG236" s="24">
        <f t="shared" si="95"/>
        <v>1.000889053568244</v>
      </c>
      <c r="AH236" s="41" t="str">
        <f t="shared" si="110"/>
        <v/>
      </c>
      <c r="AI236" s="24">
        <f t="shared" si="96"/>
        <v>1.0668642818927765E-2</v>
      </c>
      <c r="AJ236" s="41" t="str">
        <f t="shared" si="111"/>
        <v/>
      </c>
    </row>
    <row r="237" spans="1:36" ht="12" thickBot="1" x14ac:dyDescent="0.25">
      <c r="A237" s="319" t="s">
        <v>999</v>
      </c>
      <c r="B237" s="320">
        <v>118</v>
      </c>
      <c r="C237" s="321" t="s">
        <v>997</v>
      </c>
      <c r="D237" s="322">
        <v>294</v>
      </c>
      <c r="E237" s="323"/>
      <c r="F237" s="33">
        <v>2</v>
      </c>
      <c r="G237" s="32">
        <f t="shared" si="97"/>
        <v>294.39770624684309</v>
      </c>
      <c r="H237" s="47" t="str">
        <f t="shared" si="84"/>
        <v>2;06</v>
      </c>
      <c r="I237" s="48">
        <v>2</v>
      </c>
      <c r="J237" s="106">
        <f t="shared" si="98"/>
        <v>2.044428515603077</v>
      </c>
      <c r="K237" s="49" t="str">
        <f>INDEX(powers!$H$2:$H$75,33+I237)</f>
        <v>gross</v>
      </c>
      <c r="L237" s="40" t="str">
        <f t="shared" si="99"/>
        <v>2</v>
      </c>
      <c r="M237" s="24">
        <f t="shared" si="85"/>
        <v>0.53314218723692441</v>
      </c>
      <c r="N237" s="41" t="str">
        <f t="shared" si="100"/>
        <v>0</v>
      </c>
      <c r="O237" s="24">
        <f t="shared" si="86"/>
        <v>6.397706246843093</v>
      </c>
      <c r="P237" s="41" t="str">
        <f t="shared" si="101"/>
        <v>6</v>
      </c>
      <c r="Q237" s="24">
        <f t="shared" si="87"/>
        <v>4.7724749621171156</v>
      </c>
      <c r="R237" s="41" t="str">
        <f t="shared" si="102"/>
        <v/>
      </c>
      <c r="S237" s="24">
        <f t="shared" si="88"/>
        <v>9.2696995454053877</v>
      </c>
      <c r="T237" s="41" t="str">
        <f t="shared" si="103"/>
        <v/>
      </c>
      <c r="U237" s="24">
        <f t="shared" si="89"/>
        <v>3.2363945448646518</v>
      </c>
      <c r="V237" s="41" t="str">
        <f t="shared" si="104"/>
        <v/>
      </c>
      <c r="W237" s="24">
        <f t="shared" si="90"/>
        <v>2.836734538375822</v>
      </c>
      <c r="X237" s="41" t="str">
        <f t="shared" si="105"/>
        <v/>
      </c>
      <c r="Y237" s="24">
        <f t="shared" si="91"/>
        <v>10.040814460509864</v>
      </c>
      <c r="Z237" s="41" t="str">
        <f t="shared" si="106"/>
        <v/>
      </c>
      <c r="AA237" s="24">
        <f t="shared" si="92"/>
        <v>0.48977352611836977</v>
      </c>
      <c r="AB237" s="41" t="str">
        <f t="shared" si="107"/>
        <v/>
      </c>
      <c r="AC237" s="24">
        <f t="shared" si="93"/>
        <v>5.8772823134204373</v>
      </c>
      <c r="AD237" s="41" t="str">
        <f t="shared" si="108"/>
        <v/>
      </c>
      <c r="AE237" s="24">
        <f t="shared" si="94"/>
        <v>10.527387761045247</v>
      </c>
      <c r="AF237" s="41" t="str">
        <f t="shared" si="109"/>
        <v/>
      </c>
      <c r="AG237" s="24">
        <f t="shared" si="95"/>
        <v>6.3286531325429678</v>
      </c>
      <c r="AH237" s="41" t="str">
        <f t="shared" si="110"/>
        <v/>
      </c>
      <c r="AI237" s="24">
        <f t="shared" si="96"/>
        <v>3.9438375905156136</v>
      </c>
      <c r="AJ237" s="41" t="str">
        <f t="shared" si="111"/>
        <v/>
      </c>
    </row>
  </sheetData>
  <mergeCells count="6">
    <mergeCell ref="D7:E7"/>
    <mergeCell ref="I9:J9"/>
    <mergeCell ref="D8:E8"/>
    <mergeCell ref="A8:A9"/>
    <mergeCell ref="B8:B9"/>
    <mergeCell ref="C8:C9"/>
  </mergeCells>
  <phoneticPr fontId="1"/>
  <dataValidations count="1">
    <dataValidation type="list" allowBlank="1" showInputMessage="1" showErrorMessage="1" sqref="G7" xr:uid="{00000000-0002-0000-0B00-000000000000}">
      <formula1>$M$2:$M$6</formula1>
    </dataValidation>
  </dataValidations>
  <hyperlinks>
    <hyperlink ref="B7" r:id="rId1" xr:uid="{00000000-0004-0000-0B00-000000000000}"/>
  </hyperlinks>
  <printOptions horizontalCentered="1"/>
  <pageMargins left="0.70866141732283472" right="0.70866141732283472" top="0.74803149606299213" bottom="0.74803149606299213" header="0.31496062992125984" footer="0.31496062992125984"/>
  <pageSetup paperSize="9" scale="73" fitToHeight="0" orientation="portrait" r:id="rId2"/>
  <headerFooter>
    <oddHeade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O75"/>
  <sheetViews>
    <sheetView topLeftCell="A38" zoomScaleNormal="100" workbookViewId="0">
      <selection activeCell="O64" sqref="O64"/>
    </sheetView>
  </sheetViews>
  <sheetFormatPr defaultColWidth="9" defaultRowHeight="11.5" x14ac:dyDescent="0.2"/>
  <cols>
    <col min="1" max="1" width="13.7265625" style="54" customWidth="1"/>
    <col min="2" max="2" width="22.7265625" style="138" customWidth="1"/>
    <col min="3" max="3" width="23.453125" style="14" customWidth="1"/>
    <col min="4" max="4" width="29" style="14" customWidth="1"/>
    <col min="5" max="5" width="7.7265625" style="54" customWidth="1"/>
    <col min="6" max="6" width="7.81640625" style="14" customWidth="1"/>
    <col min="7" max="7" width="7.453125" style="14" customWidth="1"/>
    <col min="8" max="10" width="16.36328125" style="14" customWidth="1"/>
    <col min="11" max="11" width="14.453125" style="14" customWidth="1"/>
    <col min="12" max="12" width="12.36328125" style="14" customWidth="1"/>
    <col min="13" max="13" width="3.6328125" style="54" customWidth="1"/>
    <col min="14" max="15" width="9" style="54"/>
    <col min="16" max="16384" width="9" style="14"/>
  </cols>
  <sheetData>
    <row r="1" spans="1:15" x14ac:dyDescent="0.2">
      <c r="A1" s="653" t="s">
        <v>1446</v>
      </c>
      <c r="B1" s="653"/>
      <c r="C1" s="653"/>
      <c r="D1" s="653"/>
      <c r="E1" s="54" t="s">
        <v>1119</v>
      </c>
      <c r="F1" s="640" t="s">
        <v>1117</v>
      </c>
      <c r="G1" s="640"/>
      <c r="H1" s="54" t="s">
        <v>1120</v>
      </c>
      <c r="K1" s="640" t="s">
        <v>1118</v>
      </c>
      <c r="L1" s="640"/>
      <c r="M1" s="640"/>
      <c r="N1" s="640"/>
      <c r="O1" s="640"/>
    </row>
    <row r="2" spans="1:15" x14ac:dyDescent="0.2">
      <c r="A2" s="432" t="s">
        <v>1143</v>
      </c>
      <c r="B2" s="432" t="s">
        <v>1144</v>
      </c>
      <c r="C2" s="432" t="s">
        <v>1145</v>
      </c>
      <c r="D2" s="436" t="s">
        <v>1154</v>
      </c>
      <c r="E2" s="54">
        <v>-32</v>
      </c>
      <c r="F2" s="430" t="s">
        <v>1124</v>
      </c>
      <c r="G2" s="14" t="s">
        <v>1648</v>
      </c>
      <c r="H2" s="14" t="str">
        <f>IF($H$1="I", I2,IF($H$1="J",J2,K2))</f>
        <v>tetra-atomic</v>
      </c>
      <c r="I2" s="14" t="s">
        <v>1478</v>
      </c>
      <c r="J2" s="14" t="s">
        <v>1478</v>
      </c>
      <c r="K2" s="14" t="s">
        <v>1478</v>
      </c>
    </row>
    <row r="3" spans="1:15" x14ac:dyDescent="0.2">
      <c r="A3" s="434" t="s">
        <v>1443</v>
      </c>
      <c r="B3" s="441" t="s">
        <v>1723</v>
      </c>
      <c r="C3" s="435" t="s">
        <v>1537</v>
      </c>
      <c r="D3" s="435" t="s">
        <v>1564</v>
      </c>
      <c r="E3" s="54">
        <v>-31</v>
      </c>
      <c r="F3" s="430"/>
      <c r="G3" s="14" t="s">
        <v>1649</v>
      </c>
      <c r="H3" s="14" t="str">
        <f t="shared" ref="H3:H33" si="0">IF($H$1="I", I3,IF($H$1="J",J3,K3))</f>
        <v>dozen tetra-atomic</v>
      </c>
      <c r="I3" s="14" t="s">
        <v>1595</v>
      </c>
      <c r="J3" s="14" t="s">
        <v>1479</v>
      </c>
      <c r="K3" s="14" t="s">
        <v>1480</v>
      </c>
    </row>
    <row r="4" spans="1:15" x14ac:dyDescent="0.2">
      <c r="A4" s="434" t="s">
        <v>1444</v>
      </c>
      <c r="B4" s="441" t="s">
        <v>1724</v>
      </c>
      <c r="C4" s="435" t="s">
        <v>1538</v>
      </c>
      <c r="D4" s="435" t="s">
        <v>1157</v>
      </c>
      <c r="E4" s="54">
        <v>-30</v>
      </c>
      <c r="F4" s="430"/>
      <c r="G4" s="14" t="s">
        <v>1650</v>
      </c>
      <c r="H4" s="14" t="str">
        <f t="shared" si="0"/>
        <v>gross tetra-atomic</v>
      </c>
      <c r="I4" s="14" t="s">
        <v>1596</v>
      </c>
      <c r="J4" s="14" t="s">
        <v>1481</v>
      </c>
      <c r="K4" s="14" t="s">
        <v>1482</v>
      </c>
    </row>
    <row r="5" spans="1:15" x14ac:dyDescent="0.2">
      <c r="A5" s="433" t="s">
        <v>1437</v>
      </c>
      <c r="B5" s="439" t="s">
        <v>1725</v>
      </c>
      <c r="C5" s="440" t="s">
        <v>1563</v>
      </c>
      <c r="D5" s="440" t="s">
        <v>1564</v>
      </c>
      <c r="E5" s="54">
        <v>-29</v>
      </c>
      <c r="F5" s="430"/>
      <c r="G5" s="14" t="s">
        <v>1651</v>
      </c>
      <c r="H5" s="14" t="str">
        <f t="shared" si="0"/>
        <v>doz gross tetra-atomic</v>
      </c>
      <c r="I5" s="14" t="s">
        <v>1597</v>
      </c>
      <c r="J5" s="14" t="s">
        <v>1483</v>
      </c>
      <c r="K5" s="14" t="s">
        <v>1484</v>
      </c>
    </row>
    <row r="6" spans="1:15" x14ac:dyDescent="0.2">
      <c r="A6" s="433" t="s">
        <v>1438</v>
      </c>
      <c r="B6" s="439" t="s">
        <v>1726</v>
      </c>
      <c r="C6" s="440" t="s">
        <v>1539</v>
      </c>
      <c r="D6" s="440" t="s">
        <v>1564</v>
      </c>
      <c r="E6" s="54">
        <v>-28</v>
      </c>
      <c r="F6" s="430" t="s">
        <v>1125</v>
      </c>
      <c r="G6" s="14" t="s">
        <v>1652</v>
      </c>
      <c r="H6" s="14" t="str">
        <f t="shared" si="0"/>
        <v>ter-atomic sub</v>
      </c>
      <c r="I6" s="14" t="s">
        <v>1565</v>
      </c>
      <c r="J6" s="14" t="s">
        <v>1565</v>
      </c>
      <c r="K6" s="14" t="s">
        <v>1566</v>
      </c>
    </row>
    <row r="7" spans="1:15" x14ac:dyDescent="0.2">
      <c r="A7" s="433" t="s">
        <v>1439</v>
      </c>
      <c r="B7" s="439" t="s">
        <v>1727</v>
      </c>
      <c r="C7" s="440" t="s">
        <v>1540</v>
      </c>
      <c r="D7" s="440" t="s">
        <v>1564</v>
      </c>
      <c r="E7" s="54">
        <v>-27</v>
      </c>
      <c r="F7" s="430"/>
      <c r="G7" s="14" t="s">
        <v>1653</v>
      </c>
      <c r="H7" s="14" t="str">
        <f t="shared" si="0"/>
        <v>terno ter-atomic</v>
      </c>
      <c r="I7" s="14" t="s">
        <v>1598</v>
      </c>
      <c r="J7" s="14" t="s">
        <v>1567</v>
      </c>
      <c r="K7" s="14" t="s">
        <v>1568</v>
      </c>
    </row>
    <row r="8" spans="1:15" x14ac:dyDescent="0.2">
      <c r="A8" s="433" t="s">
        <v>1440</v>
      </c>
      <c r="B8" s="439" t="s">
        <v>1728</v>
      </c>
      <c r="C8" s="440" t="s">
        <v>1541</v>
      </c>
      <c r="D8" s="440" t="s">
        <v>1564</v>
      </c>
      <c r="E8" s="54">
        <v>-26</v>
      </c>
      <c r="F8" s="430"/>
      <c r="G8" s="14" t="s">
        <v>1654</v>
      </c>
      <c r="H8" s="14" t="str">
        <f t="shared" si="0"/>
        <v>dino ter-atomic</v>
      </c>
      <c r="I8" s="14" t="s">
        <v>1599</v>
      </c>
      <c r="J8" s="14" t="s">
        <v>1569</v>
      </c>
      <c r="K8" s="14" t="s">
        <v>1570</v>
      </c>
    </row>
    <row r="9" spans="1:15" x14ac:dyDescent="0.2">
      <c r="A9" s="433" t="s">
        <v>1441</v>
      </c>
      <c r="B9" s="439" t="s">
        <v>1729</v>
      </c>
      <c r="C9" s="440" t="s">
        <v>1542</v>
      </c>
      <c r="D9" s="440" t="s">
        <v>1157</v>
      </c>
      <c r="E9" s="54">
        <v>-25</v>
      </c>
      <c r="F9" s="430"/>
      <c r="G9" s="14" t="s">
        <v>1655</v>
      </c>
      <c r="H9" s="14" t="str">
        <f t="shared" si="0"/>
        <v>unino ter-atomic</v>
      </c>
      <c r="I9" s="14" t="s">
        <v>1600</v>
      </c>
      <c r="J9" s="14" t="s">
        <v>1571</v>
      </c>
      <c r="K9" s="14" t="s">
        <v>1572</v>
      </c>
    </row>
    <row r="10" spans="1:15" x14ac:dyDescent="0.2">
      <c r="A10" s="433" t="s">
        <v>1442</v>
      </c>
      <c r="B10" s="439" t="s">
        <v>1730</v>
      </c>
      <c r="C10" s="440" t="s">
        <v>1543</v>
      </c>
      <c r="D10" s="440" t="s">
        <v>1564</v>
      </c>
      <c r="E10" s="54">
        <v>-24</v>
      </c>
      <c r="F10" s="430" t="s">
        <v>1126</v>
      </c>
      <c r="G10" s="14" t="s">
        <v>1656</v>
      </c>
      <c r="H10" s="14" t="str">
        <f t="shared" si="0"/>
        <v>ter-atomic</v>
      </c>
      <c r="I10" s="14" t="s">
        <v>1573</v>
      </c>
      <c r="J10" s="14" t="s">
        <v>1573</v>
      </c>
      <c r="K10" s="14" t="s">
        <v>1573</v>
      </c>
    </row>
    <row r="11" spans="1:15" x14ac:dyDescent="0.2">
      <c r="A11" s="433" t="s">
        <v>1436</v>
      </c>
      <c r="B11" s="439" t="s">
        <v>1731</v>
      </c>
      <c r="C11" s="440" t="s">
        <v>1544</v>
      </c>
      <c r="D11" s="440" t="s">
        <v>1157</v>
      </c>
      <c r="E11" s="54">
        <v>-23</v>
      </c>
      <c r="F11" s="430"/>
      <c r="G11" s="14" t="s">
        <v>1657</v>
      </c>
      <c r="H11" s="14" t="str">
        <f t="shared" si="0"/>
        <v>dozen ter-atomic</v>
      </c>
      <c r="I11" s="14" t="s">
        <v>1601</v>
      </c>
      <c r="J11" s="14" t="s">
        <v>1574</v>
      </c>
      <c r="K11" s="14" t="s">
        <v>1575</v>
      </c>
    </row>
    <row r="12" spans="1:15" x14ac:dyDescent="0.2">
      <c r="A12" s="434" t="s">
        <v>1435</v>
      </c>
      <c r="B12" s="441" t="s">
        <v>1732</v>
      </c>
      <c r="C12" s="435" t="s">
        <v>1562</v>
      </c>
      <c r="D12" s="435"/>
      <c r="E12" s="54">
        <v>-22</v>
      </c>
      <c r="F12" s="430"/>
      <c r="G12" s="14" t="s">
        <v>1658</v>
      </c>
      <c r="H12" s="14" t="str">
        <f t="shared" si="0"/>
        <v>gross ter-atomic</v>
      </c>
      <c r="I12" s="14" t="s">
        <v>1602</v>
      </c>
      <c r="J12" s="14" t="s">
        <v>1576</v>
      </c>
      <c r="K12" s="14" t="s">
        <v>1577</v>
      </c>
    </row>
    <row r="13" spans="1:15" x14ac:dyDescent="0.2">
      <c r="A13" s="434" t="s">
        <v>1434</v>
      </c>
      <c r="B13" s="441" t="s">
        <v>1733</v>
      </c>
      <c r="C13" s="435" t="s">
        <v>1545</v>
      </c>
      <c r="D13" s="436"/>
      <c r="E13" s="54">
        <v>-21</v>
      </c>
      <c r="F13" s="430"/>
      <c r="G13" s="14" t="s">
        <v>1659</v>
      </c>
      <c r="H13" s="14" t="str">
        <f t="shared" si="0"/>
        <v>doz gross ter-atomic</v>
      </c>
      <c r="I13" s="14" t="s">
        <v>1603</v>
      </c>
      <c r="J13" s="14" t="s">
        <v>1578</v>
      </c>
      <c r="K13" s="14" t="s">
        <v>1579</v>
      </c>
    </row>
    <row r="14" spans="1:15" x14ac:dyDescent="0.2">
      <c r="A14" s="434" t="s">
        <v>1433</v>
      </c>
      <c r="B14" s="441" t="s">
        <v>1734</v>
      </c>
      <c r="C14" s="435" t="s">
        <v>1546</v>
      </c>
      <c r="D14" s="436"/>
      <c r="E14" s="54">
        <v>-20</v>
      </c>
      <c r="F14" s="430" t="s">
        <v>1127</v>
      </c>
      <c r="G14" s="14" t="s">
        <v>1660</v>
      </c>
      <c r="H14" s="14" t="str">
        <f t="shared" si="0"/>
        <v>di-atomic sub</v>
      </c>
      <c r="I14" s="14" t="s">
        <v>1463</v>
      </c>
      <c r="J14" s="14" t="s">
        <v>1463</v>
      </c>
      <c r="K14" s="14" t="s">
        <v>1464</v>
      </c>
    </row>
    <row r="15" spans="1:15" x14ac:dyDescent="0.2">
      <c r="A15" s="434" t="s">
        <v>1432</v>
      </c>
      <c r="B15" s="441" t="s">
        <v>1735</v>
      </c>
      <c r="C15" s="435" t="s">
        <v>1547</v>
      </c>
      <c r="D15" s="436"/>
      <c r="E15" s="54">
        <v>-19</v>
      </c>
      <c r="F15" s="430"/>
      <c r="G15" s="14" t="s">
        <v>1661</v>
      </c>
      <c r="H15" s="14" t="str">
        <f t="shared" si="0"/>
        <v>terno di-atomic</v>
      </c>
      <c r="I15" s="14" t="s">
        <v>1604</v>
      </c>
      <c r="J15" s="14" t="s">
        <v>1465</v>
      </c>
      <c r="K15" s="14" t="s">
        <v>1466</v>
      </c>
    </row>
    <row r="16" spans="1:15" x14ac:dyDescent="0.2">
      <c r="A16" s="434" t="s">
        <v>1431</v>
      </c>
      <c r="B16" s="441" t="s">
        <v>1736</v>
      </c>
      <c r="C16" s="435" t="s">
        <v>1548</v>
      </c>
      <c r="D16" s="436"/>
      <c r="E16" s="54">
        <v>-18</v>
      </c>
      <c r="F16" s="430"/>
      <c r="G16" s="14" t="s">
        <v>1662</v>
      </c>
      <c r="H16" s="14" t="str">
        <f t="shared" si="0"/>
        <v>dino di-atomic</v>
      </c>
      <c r="I16" s="14" t="s">
        <v>1605</v>
      </c>
      <c r="J16" s="14" t="s">
        <v>1467</v>
      </c>
      <c r="K16" s="14" t="s">
        <v>1468</v>
      </c>
    </row>
    <row r="17" spans="1:15" x14ac:dyDescent="0.2">
      <c r="A17" s="434" t="s">
        <v>1430</v>
      </c>
      <c r="B17" s="441" t="s">
        <v>1737</v>
      </c>
      <c r="C17" s="435" t="s">
        <v>1549</v>
      </c>
      <c r="D17" s="436"/>
      <c r="E17" s="54">
        <v>-17</v>
      </c>
      <c r="F17" s="430"/>
      <c r="G17" s="14" t="s">
        <v>1663</v>
      </c>
      <c r="H17" s="14" t="str">
        <f t="shared" si="0"/>
        <v>unino di-atomic</v>
      </c>
      <c r="I17" s="14" t="s">
        <v>1606</v>
      </c>
      <c r="J17" s="14" t="s">
        <v>1469</v>
      </c>
      <c r="K17" s="14" t="s">
        <v>1470</v>
      </c>
    </row>
    <row r="18" spans="1:15" x14ac:dyDescent="0.2">
      <c r="A18" s="434" t="s">
        <v>1429</v>
      </c>
      <c r="B18" s="441" t="s">
        <v>1738</v>
      </c>
      <c r="C18" s="435" t="s">
        <v>1550</v>
      </c>
      <c r="D18" s="436"/>
      <c r="E18" s="54">
        <v>-16</v>
      </c>
      <c r="F18" s="430" t="s">
        <v>1128</v>
      </c>
      <c r="G18" s="14" t="s">
        <v>1664</v>
      </c>
      <c r="H18" s="14" t="str">
        <f t="shared" si="0"/>
        <v>di-atomic</v>
      </c>
      <c r="I18" s="14" t="s">
        <v>1471</v>
      </c>
      <c r="J18" s="14" t="s">
        <v>1471</v>
      </c>
      <c r="K18" s="14" t="s">
        <v>1471</v>
      </c>
    </row>
    <row r="19" spans="1:15" x14ac:dyDescent="0.2">
      <c r="A19" s="433" t="s">
        <v>1146</v>
      </c>
      <c r="B19" s="439">
        <v>1</v>
      </c>
      <c r="C19" s="440" t="s">
        <v>1161</v>
      </c>
      <c r="D19" s="440" t="s">
        <v>1158</v>
      </c>
      <c r="E19" s="54">
        <v>-15</v>
      </c>
      <c r="F19" s="430"/>
      <c r="G19" s="14" t="s">
        <v>1665</v>
      </c>
      <c r="H19" s="14" t="str">
        <f t="shared" si="0"/>
        <v>dozen di-atomic</v>
      </c>
      <c r="I19" s="14" t="s">
        <v>1607</v>
      </c>
      <c r="J19" s="14" t="s">
        <v>1472</v>
      </c>
      <c r="K19" s="14" t="s">
        <v>1473</v>
      </c>
    </row>
    <row r="20" spans="1:15" x14ac:dyDescent="0.2">
      <c r="A20" s="434">
        <v>1</v>
      </c>
      <c r="B20" s="441" t="s">
        <v>1177</v>
      </c>
      <c r="C20" s="435" t="s">
        <v>1162</v>
      </c>
      <c r="D20" s="435" t="s">
        <v>1155</v>
      </c>
      <c r="E20" s="54">
        <v>-14</v>
      </c>
      <c r="F20" s="430"/>
      <c r="G20" s="14" t="s">
        <v>1666</v>
      </c>
      <c r="H20" s="14" t="str">
        <f t="shared" si="0"/>
        <v>gross di-atomic</v>
      </c>
      <c r="I20" s="14" t="s">
        <v>1608</v>
      </c>
      <c r="J20" s="14" t="s">
        <v>1474</v>
      </c>
      <c r="K20" s="14" t="s">
        <v>1475</v>
      </c>
    </row>
    <row r="21" spans="1:15" x14ac:dyDescent="0.2">
      <c r="A21" s="434">
        <v>2</v>
      </c>
      <c r="B21" s="441" t="s">
        <v>1178</v>
      </c>
      <c r="C21" s="435" t="s">
        <v>1163</v>
      </c>
      <c r="D21" s="435" t="s">
        <v>1156</v>
      </c>
      <c r="E21" s="54">
        <v>-13</v>
      </c>
      <c r="F21" s="430"/>
      <c r="G21" s="14" t="s">
        <v>1667</v>
      </c>
      <c r="H21" s="14" t="str">
        <f t="shared" si="0"/>
        <v>doz gross di-atomic</v>
      </c>
      <c r="I21" s="14" t="s">
        <v>1609</v>
      </c>
      <c r="J21" s="14" t="s">
        <v>1476</v>
      </c>
      <c r="K21" s="14" t="s">
        <v>1477</v>
      </c>
    </row>
    <row r="22" spans="1:15" x14ac:dyDescent="0.2">
      <c r="A22" s="434">
        <v>3</v>
      </c>
      <c r="B22" s="441" t="s">
        <v>1179</v>
      </c>
      <c r="C22" s="435" t="s">
        <v>1551</v>
      </c>
      <c r="D22" s="435"/>
      <c r="E22" s="54">
        <v>-12</v>
      </c>
      <c r="F22" s="430" t="s">
        <v>1129</v>
      </c>
      <c r="G22" s="14" t="s">
        <v>1668</v>
      </c>
      <c r="H22" s="14" t="str">
        <f t="shared" si="0"/>
        <v>atomic sub</v>
      </c>
      <c r="I22" s="14" t="s">
        <v>1115</v>
      </c>
      <c r="J22" s="14" t="s">
        <v>1115</v>
      </c>
      <c r="K22" s="14" t="s">
        <v>1031</v>
      </c>
    </row>
    <row r="23" spans="1:15" x14ac:dyDescent="0.2">
      <c r="A23" s="434">
        <f>A21*2</f>
        <v>4</v>
      </c>
      <c r="B23" s="441" t="s">
        <v>1180</v>
      </c>
      <c r="C23" s="435" t="s">
        <v>1447</v>
      </c>
      <c r="D23" s="435" t="s">
        <v>1450</v>
      </c>
      <c r="E23" s="54">
        <v>-11</v>
      </c>
      <c r="F23" s="430"/>
      <c r="G23" s="14" t="s">
        <v>1669</v>
      </c>
      <c r="H23" s="14" t="str">
        <f t="shared" si="0"/>
        <v>terno atomic</v>
      </c>
      <c r="I23" s="14" t="s">
        <v>1610</v>
      </c>
      <c r="J23" s="14" t="s">
        <v>1147</v>
      </c>
      <c r="K23" s="14" t="s">
        <v>1030</v>
      </c>
    </row>
    <row r="24" spans="1:15" x14ac:dyDescent="0.2">
      <c r="A24" s="434" t="s">
        <v>1419</v>
      </c>
      <c r="B24" s="441" t="s">
        <v>1422</v>
      </c>
      <c r="C24" s="435" t="s">
        <v>1448</v>
      </c>
      <c r="D24" s="435"/>
      <c r="E24" s="54">
        <v>-10</v>
      </c>
      <c r="F24" s="430"/>
      <c r="G24" s="14" t="s">
        <v>1670</v>
      </c>
      <c r="H24" s="14" t="str">
        <f t="shared" si="0"/>
        <v>dino atomic</v>
      </c>
      <c r="I24" s="14" t="s">
        <v>1611</v>
      </c>
      <c r="J24" s="14" t="s">
        <v>1150</v>
      </c>
      <c r="K24" s="14" t="s">
        <v>1029</v>
      </c>
    </row>
    <row r="25" spans="1:15" x14ac:dyDescent="0.2">
      <c r="A25" s="434" t="s">
        <v>1420</v>
      </c>
      <c r="B25" s="441" t="s">
        <v>1423</v>
      </c>
      <c r="C25" s="435" t="s">
        <v>1449</v>
      </c>
      <c r="D25" s="435"/>
      <c r="E25" s="54">
        <v>-9</v>
      </c>
      <c r="F25" s="430"/>
      <c r="G25" s="14" t="s">
        <v>1671</v>
      </c>
      <c r="H25" s="14" t="str">
        <f t="shared" si="0"/>
        <v>unino atomic</v>
      </c>
      <c r="I25" s="14" t="s">
        <v>1612</v>
      </c>
      <c r="J25" s="14" t="s">
        <v>1261</v>
      </c>
      <c r="K25" s="14" t="s">
        <v>1028</v>
      </c>
    </row>
    <row r="26" spans="1:15" x14ac:dyDescent="0.2">
      <c r="A26" s="434" t="s">
        <v>1421</v>
      </c>
      <c r="B26" s="441" t="s">
        <v>1424</v>
      </c>
      <c r="C26" s="435" t="s">
        <v>1552</v>
      </c>
      <c r="D26" s="435"/>
      <c r="E26" s="54">
        <v>-8</v>
      </c>
      <c r="F26" s="430" t="s">
        <v>1130</v>
      </c>
      <c r="G26" s="14" t="s">
        <v>1672</v>
      </c>
      <c r="H26" s="14" t="str">
        <f t="shared" si="0"/>
        <v>atomic</v>
      </c>
      <c r="I26" s="14" t="s">
        <v>211</v>
      </c>
      <c r="J26" s="14" t="s">
        <v>211</v>
      </c>
      <c r="K26" s="14" t="s">
        <v>211</v>
      </c>
    </row>
    <row r="27" spans="1:15" x14ac:dyDescent="0.2">
      <c r="A27" s="433">
        <f>A23*2</f>
        <v>8</v>
      </c>
      <c r="B27" s="439" t="s">
        <v>1739</v>
      </c>
      <c r="C27" s="440" t="s">
        <v>1553</v>
      </c>
      <c r="D27" s="440"/>
      <c r="E27" s="54">
        <v>-7</v>
      </c>
      <c r="F27" s="430"/>
      <c r="G27" s="14" t="s">
        <v>1673</v>
      </c>
      <c r="H27" s="14" t="str">
        <f t="shared" si="0"/>
        <v>dozen atomic</v>
      </c>
      <c r="I27" s="14" t="s">
        <v>1613</v>
      </c>
      <c r="J27" s="14" t="s">
        <v>1382</v>
      </c>
      <c r="K27" s="14" t="s">
        <v>1027</v>
      </c>
    </row>
    <row r="28" spans="1:15" x14ac:dyDescent="0.2">
      <c r="A28" s="433">
        <f t="shared" ref="A28:A35" si="1">A27*2</f>
        <v>16</v>
      </c>
      <c r="B28" s="439" t="s">
        <v>1740</v>
      </c>
      <c r="C28" s="440" t="s">
        <v>1554</v>
      </c>
      <c r="D28" s="440"/>
      <c r="E28" s="54">
        <v>-6</v>
      </c>
      <c r="F28" s="430"/>
      <c r="G28" s="14" t="s">
        <v>1674</v>
      </c>
      <c r="H28" s="14" t="str">
        <f t="shared" si="0"/>
        <v>gross atomic</v>
      </c>
      <c r="I28" s="14" t="s">
        <v>1614</v>
      </c>
      <c r="J28" s="14" t="s">
        <v>1266</v>
      </c>
      <c r="K28" s="14" t="s">
        <v>1026</v>
      </c>
    </row>
    <row r="29" spans="1:15" x14ac:dyDescent="0.2">
      <c r="A29" s="433" t="s">
        <v>1425</v>
      </c>
      <c r="B29" s="439" t="s">
        <v>1741</v>
      </c>
      <c r="C29" s="440" t="s">
        <v>1555</v>
      </c>
      <c r="D29" s="440"/>
      <c r="E29" s="54">
        <v>-5</v>
      </c>
      <c r="F29" s="430"/>
      <c r="G29" s="14" t="s">
        <v>1675</v>
      </c>
      <c r="H29" s="14" t="str">
        <f t="shared" si="0"/>
        <v>doz gross atomic</v>
      </c>
      <c r="I29" s="14" t="s">
        <v>1615</v>
      </c>
      <c r="J29" s="14" t="s">
        <v>1269</v>
      </c>
      <c r="K29" s="14" t="s">
        <v>1025</v>
      </c>
      <c r="N29" s="54" t="s">
        <v>1063</v>
      </c>
      <c r="O29" s="54" t="s">
        <v>1064</v>
      </c>
    </row>
    <row r="30" spans="1:15" x14ac:dyDescent="0.2">
      <c r="A30" s="433">
        <f>A28*2</f>
        <v>32</v>
      </c>
      <c r="B30" s="439" t="s">
        <v>1742</v>
      </c>
      <c r="C30" s="440" t="s">
        <v>1556</v>
      </c>
      <c r="D30" s="440"/>
      <c r="E30" s="54">
        <v>-4</v>
      </c>
      <c r="F30" s="430" t="s">
        <v>1131</v>
      </c>
      <c r="G30" s="14" t="s">
        <v>1676</v>
      </c>
      <c r="H30" s="14" t="str">
        <f t="shared" si="0"/>
        <v>sub</v>
      </c>
      <c r="I30" s="14" t="s">
        <v>1116</v>
      </c>
      <c r="J30" s="14" t="s">
        <v>1116</v>
      </c>
      <c r="K30" s="14" t="s">
        <v>1021</v>
      </c>
      <c r="L30" s="14" t="s">
        <v>101</v>
      </c>
      <c r="M30" s="54">
        <v>4</v>
      </c>
      <c r="N30" s="54" t="s">
        <v>1021</v>
      </c>
      <c r="O30" s="54" t="s">
        <v>1056</v>
      </c>
    </row>
    <row r="31" spans="1:15" x14ac:dyDescent="0.2">
      <c r="A31" s="433" t="s">
        <v>1426</v>
      </c>
      <c r="B31" s="439" t="s">
        <v>1743</v>
      </c>
      <c r="C31" s="440" t="s">
        <v>1557</v>
      </c>
      <c r="D31" s="440"/>
      <c r="E31" s="54">
        <v>-3</v>
      </c>
      <c r="F31" s="430"/>
      <c r="G31" s="14" t="s">
        <v>1677</v>
      </c>
      <c r="H31" s="14" t="str">
        <f t="shared" si="0"/>
        <v>terno</v>
      </c>
      <c r="I31" s="14" t="s">
        <v>1616</v>
      </c>
      <c r="J31" s="14" t="s">
        <v>1148</v>
      </c>
      <c r="K31" s="14" t="s">
        <v>1020</v>
      </c>
      <c r="L31" s="14" t="s">
        <v>100</v>
      </c>
      <c r="M31" s="54">
        <v>3</v>
      </c>
      <c r="N31" s="54" t="s">
        <v>1020</v>
      </c>
      <c r="O31" s="54" t="s">
        <v>1057</v>
      </c>
    </row>
    <row r="32" spans="1:15" x14ac:dyDescent="0.2">
      <c r="A32" s="433" t="s">
        <v>1427</v>
      </c>
      <c r="B32" s="439" t="s">
        <v>1744</v>
      </c>
      <c r="C32" s="440" t="s">
        <v>1558</v>
      </c>
      <c r="D32" s="440"/>
      <c r="E32" s="54">
        <v>-2</v>
      </c>
      <c r="F32" s="430"/>
      <c r="G32" s="14" t="s">
        <v>1678</v>
      </c>
      <c r="H32" s="14" t="str">
        <f t="shared" si="0"/>
        <v>dino</v>
      </c>
      <c r="I32" s="14" t="s">
        <v>1617</v>
      </c>
      <c r="J32" s="14" t="s">
        <v>1151</v>
      </c>
      <c r="K32" s="14" t="s">
        <v>1019</v>
      </c>
      <c r="L32" s="14" t="s">
        <v>99</v>
      </c>
      <c r="M32" s="54">
        <v>2</v>
      </c>
      <c r="N32" s="54" t="s">
        <v>1019</v>
      </c>
      <c r="O32" s="54" t="s">
        <v>1058</v>
      </c>
    </row>
    <row r="33" spans="1:15" x14ac:dyDescent="0.2">
      <c r="A33" s="433" t="s">
        <v>1428</v>
      </c>
      <c r="B33" s="439" t="s">
        <v>1745</v>
      </c>
      <c r="C33" s="440" t="s">
        <v>1559</v>
      </c>
      <c r="D33" s="440"/>
      <c r="E33" s="54">
        <v>-1</v>
      </c>
      <c r="F33" s="430"/>
      <c r="G33" s="14" t="s">
        <v>1679</v>
      </c>
      <c r="H33" s="14" t="str">
        <f t="shared" si="0"/>
        <v>unino</v>
      </c>
      <c r="I33" s="14" t="s">
        <v>1618</v>
      </c>
      <c r="J33" s="14" t="s">
        <v>1262</v>
      </c>
      <c r="K33" s="14" t="s">
        <v>1018</v>
      </c>
      <c r="L33" s="14" t="s">
        <v>1040</v>
      </c>
      <c r="M33" s="54">
        <v>1</v>
      </c>
      <c r="N33" s="54" t="s">
        <v>1018</v>
      </c>
      <c r="O33" s="54" t="s">
        <v>1059</v>
      </c>
    </row>
    <row r="34" spans="1:15" x14ac:dyDescent="0.2">
      <c r="A34" s="434">
        <f>A30*2</f>
        <v>64</v>
      </c>
      <c r="B34" s="441" t="s">
        <v>1746</v>
      </c>
      <c r="C34" s="435" t="s">
        <v>1560</v>
      </c>
      <c r="D34" s="435"/>
      <c r="E34" s="54">
        <v>0</v>
      </c>
      <c r="F34" s="431"/>
      <c r="G34" s="55"/>
      <c r="H34" s="55" t="s">
        <v>104</v>
      </c>
      <c r="I34" s="55" t="s">
        <v>104</v>
      </c>
      <c r="J34" s="55" t="s">
        <v>104</v>
      </c>
      <c r="K34" s="55" t="s">
        <v>1041</v>
      </c>
      <c r="N34" s="326" t="s">
        <v>1041</v>
      </c>
      <c r="O34" s="326" t="s">
        <v>1041</v>
      </c>
    </row>
    <row r="35" spans="1:15" x14ac:dyDescent="0.2">
      <c r="A35" s="434">
        <f t="shared" si="1"/>
        <v>128</v>
      </c>
      <c r="B35" s="441" t="s">
        <v>1747</v>
      </c>
      <c r="C35" s="435" t="s">
        <v>1561</v>
      </c>
      <c r="D35" s="435"/>
      <c r="E35" s="54">
        <v>1</v>
      </c>
      <c r="F35" s="430"/>
      <c r="G35" s="14" t="s">
        <v>1680</v>
      </c>
      <c r="H35" s="14" t="str">
        <f t="shared" ref="H35:H75" si="2">IF($H$1="I", I35,IF($H$1="J",J35,K35))</f>
        <v>dozen</v>
      </c>
      <c r="I35" s="14" t="s">
        <v>1619</v>
      </c>
      <c r="J35" s="14" t="s">
        <v>1383</v>
      </c>
      <c r="K35" s="14" t="s">
        <v>1024</v>
      </c>
      <c r="L35" s="14" t="s">
        <v>98</v>
      </c>
      <c r="M35" s="54">
        <v>1</v>
      </c>
      <c r="N35" s="54" t="s">
        <v>1024</v>
      </c>
      <c r="O35" s="54" t="s">
        <v>1060</v>
      </c>
    </row>
    <row r="36" spans="1:15" x14ac:dyDescent="0.2">
      <c r="A36" s="432"/>
      <c r="B36" s="437"/>
      <c r="C36" s="525" t="s">
        <v>1455</v>
      </c>
      <c r="D36" s="438"/>
      <c r="E36" s="54">
        <v>2</v>
      </c>
      <c r="F36" s="430"/>
      <c r="G36" s="14" t="s">
        <v>1681</v>
      </c>
      <c r="H36" s="14" t="str">
        <f t="shared" si="2"/>
        <v>gross</v>
      </c>
      <c r="I36" s="14" t="s">
        <v>1620</v>
      </c>
      <c r="J36" s="14" t="s">
        <v>1267</v>
      </c>
      <c r="K36" s="14" t="s">
        <v>1023</v>
      </c>
      <c r="L36" s="14" t="s">
        <v>103</v>
      </c>
      <c r="M36" s="54">
        <v>7</v>
      </c>
      <c r="N36" s="54" t="s">
        <v>1023</v>
      </c>
      <c r="O36" s="54" t="s">
        <v>1061</v>
      </c>
    </row>
    <row r="37" spans="1:15" x14ac:dyDescent="0.2">
      <c r="A37" s="432"/>
      <c r="B37" s="437"/>
      <c r="C37" s="524"/>
      <c r="D37" s="438"/>
      <c r="E37" s="54">
        <v>3</v>
      </c>
      <c r="F37" s="430"/>
      <c r="G37" s="14" t="s">
        <v>1682</v>
      </c>
      <c r="H37" s="14" t="str">
        <f t="shared" si="2"/>
        <v>doz gross</v>
      </c>
      <c r="I37" s="14" t="s">
        <v>1551</v>
      </c>
      <c r="J37" s="14" t="s">
        <v>1274</v>
      </c>
      <c r="K37" s="14" t="s">
        <v>1275</v>
      </c>
      <c r="L37" s="14" t="s">
        <v>1271</v>
      </c>
      <c r="M37" s="54">
        <v>6</v>
      </c>
      <c r="N37" s="54" t="s">
        <v>1272</v>
      </c>
      <c r="O37" s="54" t="s">
        <v>1273</v>
      </c>
    </row>
    <row r="38" spans="1:15" x14ac:dyDescent="0.2">
      <c r="A38" s="432"/>
      <c r="B38" s="437"/>
      <c r="C38" s="524"/>
      <c r="D38" s="438"/>
      <c r="E38" s="54">
        <v>4</v>
      </c>
      <c r="F38" s="430" t="s">
        <v>1132</v>
      </c>
      <c r="G38" s="14" t="s">
        <v>1683</v>
      </c>
      <c r="H38" s="14" t="str">
        <f t="shared" si="2"/>
        <v>hyper</v>
      </c>
      <c r="I38" s="14" t="s">
        <v>1755</v>
      </c>
      <c r="J38" s="14" t="s">
        <v>1755</v>
      </c>
      <c r="K38" s="14" t="s">
        <v>1022</v>
      </c>
      <c r="L38" s="14" t="s">
        <v>102</v>
      </c>
      <c r="M38" s="54">
        <v>5</v>
      </c>
      <c r="N38" s="54" t="s">
        <v>1022</v>
      </c>
      <c r="O38" s="54" t="s">
        <v>1062</v>
      </c>
    </row>
    <row r="39" spans="1:15" x14ac:dyDescent="0.2">
      <c r="A39" s="443" t="s">
        <v>1185</v>
      </c>
      <c r="B39" s="138" t="s">
        <v>1186</v>
      </c>
      <c r="C39" s="654" t="s">
        <v>1194</v>
      </c>
      <c r="D39" s="654"/>
      <c r="E39" s="54">
        <v>5</v>
      </c>
      <c r="F39" s="430"/>
      <c r="G39" s="14" t="s">
        <v>1684</v>
      </c>
      <c r="H39" s="14" t="str">
        <f t="shared" si="2"/>
        <v>terno cosmic</v>
      </c>
      <c r="I39" s="14" t="s">
        <v>1621</v>
      </c>
      <c r="J39" s="14" t="s">
        <v>1149</v>
      </c>
      <c r="K39" s="14" t="s">
        <v>1032</v>
      </c>
    </row>
    <row r="40" spans="1:15" x14ac:dyDescent="0.2">
      <c r="A40" s="443" t="s">
        <v>1183</v>
      </c>
      <c r="B40" s="138" t="s">
        <v>1184</v>
      </c>
      <c r="C40" s="654"/>
      <c r="D40" s="654"/>
      <c r="E40" s="54">
        <v>6</v>
      </c>
      <c r="F40" s="430"/>
      <c r="G40" s="14" t="s">
        <v>1685</v>
      </c>
      <c r="H40" s="14" t="str">
        <f t="shared" si="2"/>
        <v>dino cosmic</v>
      </c>
      <c r="I40" s="14" t="s">
        <v>1622</v>
      </c>
      <c r="J40" s="14" t="s">
        <v>1152</v>
      </c>
      <c r="K40" s="14" t="s">
        <v>1033</v>
      </c>
    </row>
    <row r="41" spans="1:15" x14ac:dyDescent="0.2">
      <c r="A41" s="443" t="s">
        <v>1181</v>
      </c>
      <c r="B41" s="138" t="s">
        <v>1182</v>
      </c>
      <c r="C41" s="654"/>
      <c r="D41" s="654"/>
      <c r="E41" s="54">
        <v>7</v>
      </c>
      <c r="F41" s="430"/>
      <c r="G41" s="14" t="s">
        <v>1686</v>
      </c>
      <c r="H41" s="14" t="str">
        <f t="shared" si="2"/>
        <v>unino cosmic</v>
      </c>
      <c r="I41" s="14" t="s">
        <v>1623</v>
      </c>
      <c r="J41" s="14" t="s">
        <v>1263</v>
      </c>
      <c r="K41" s="14" t="s">
        <v>1034</v>
      </c>
    </row>
    <row r="42" spans="1:15" x14ac:dyDescent="0.2">
      <c r="A42" s="443" t="s">
        <v>1191</v>
      </c>
      <c r="B42" s="138" t="s">
        <v>1187</v>
      </c>
      <c r="E42" s="54">
        <v>8</v>
      </c>
      <c r="F42" s="430" t="s">
        <v>1133</v>
      </c>
      <c r="G42" s="14" t="s">
        <v>1687</v>
      </c>
      <c r="H42" s="14" t="str">
        <f t="shared" si="2"/>
        <v>cosmic</v>
      </c>
      <c r="I42" s="14" t="s">
        <v>212</v>
      </c>
      <c r="J42" s="14" t="s">
        <v>212</v>
      </c>
      <c r="K42" s="14" t="s">
        <v>1039</v>
      </c>
    </row>
    <row r="43" spans="1:15" x14ac:dyDescent="0.2">
      <c r="A43" s="54" t="s">
        <v>1188</v>
      </c>
      <c r="B43" s="138" t="s">
        <v>1222</v>
      </c>
      <c r="C43" s="14" t="s">
        <v>1223</v>
      </c>
      <c r="E43" s="54">
        <v>9</v>
      </c>
      <c r="F43" s="430"/>
      <c r="G43" s="14" t="s">
        <v>1688</v>
      </c>
      <c r="H43" s="14" t="str">
        <f t="shared" si="2"/>
        <v>dozen cosmic</v>
      </c>
      <c r="I43" s="14" t="s">
        <v>1624</v>
      </c>
      <c r="J43" s="14" t="s">
        <v>1384</v>
      </c>
      <c r="K43" s="14" t="s">
        <v>1035</v>
      </c>
    </row>
    <row r="44" spans="1:15" ht="14" x14ac:dyDescent="0.2">
      <c r="A44" s="54" t="s">
        <v>1189</v>
      </c>
      <c r="B44" s="138" t="s">
        <v>1235</v>
      </c>
      <c r="C44" s="14" t="s">
        <v>1192</v>
      </c>
      <c r="E44" s="54">
        <v>10</v>
      </c>
      <c r="F44" s="430"/>
      <c r="G44" s="14" t="s">
        <v>1689</v>
      </c>
      <c r="H44" s="14" t="str">
        <f t="shared" si="2"/>
        <v>gross cosmic</v>
      </c>
      <c r="I44" s="14" t="s">
        <v>1625</v>
      </c>
      <c r="J44" s="14" t="s">
        <v>1268</v>
      </c>
      <c r="K44" s="14" t="s">
        <v>1036</v>
      </c>
    </row>
    <row r="45" spans="1:15" ht="14" x14ac:dyDescent="0.2">
      <c r="A45" s="326" t="s">
        <v>1190</v>
      </c>
      <c r="B45" s="138" t="s">
        <v>1236</v>
      </c>
      <c r="C45" s="14" t="s">
        <v>1193</v>
      </c>
      <c r="E45" s="54">
        <v>11</v>
      </c>
      <c r="F45" s="430"/>
      <c r="G45" s="14" t="s">
        <v>1690</v>
      </c>
      <c r="H45" s="14" t="str">
        <f t="shared" si="2"/>
        <v>doz gross cosmic</v>
      </c>
      <c r="I45" s="14" t="s">
        <v>1626</v>
      </c>
      <c r="J45" s="14" t="s">
        <v>1270</v>
      </c>
      <c r="K45" s="14" t="s">
        <v>1037</v>
      </c>
    </row>
    <row r="46" spans="1:15" x14ac:dyDescent="0.2">
      <c r="A46" s="326" t="s">
        <v>1226</v>
      </c>
      <c r="B46" s="138" t="s">
        <v>1748</v>
      </c>
      <c r="E46" s="54">
        <v>12</v>
      </c>
      <c r="F46" s="430" t="s">
        <v>1134</v>
      </c>
      <c r="G46" s="14" t="s">
        <v>1691</v>
      </c>
      <c r="H46" s="14" t="str">
        <f t="shared" si="2"/>
        <v>cosmic hyper</v>
      </c>
      <c r="I46" s="14" t="s">
        <v>1756</v>
      </c>
      <c r="J46" s="14" t="s">
        <v>1756</v>
      </c>
      <c r="K46" s="14" t="s">
        <v>1038</v>
      </c>
    </row>
    <row r="47" spans="1:15" x14ac:dyDescent="0.2">
      <c r="A47" s="326" t="s">
        <v>1227</v>
      </c>
      <c r="B47" s="138" t="s">
        <v>1230</v>
      </c>
      <c r="E47" s="54">
        <v>13</v>
      </c>
      <c r="F47" s="430"/>
      <c r="G47" s="14" t="s">
        <v>1692</v>
      </c>
      <c r="H47" s="14" t="str">
        <f t="shared" si="2"/>
        <v>terno di-cosmic</v>
      </c>
      <c r="I47" s="14" t="s">
        <v>1627</v>
      </c>
      <c r="J47" s="14" t="s">
        <v>1509</v>
      </c>
      <c r="K47" s="14" t="s">
        <v>1510</v>
      </c>
    </row>
    <row r="48" spans="1:15" x14ac:dyDescent="0.2">
      <c r="A48" s="326" t="s">
        <v>1228</v>
      </c>
      <c r="B48" s="138" t="s">
        <v>1233</v>
      </c>
      <c r="C48" s="14" t="s">
        <v>1721</v>
      </c>
      <c r="E48" s="54">
        <v>14</v>
      </c>
      <c r="F48" s="430"/>
      <c r="G48" s="14" t="s">
        <v>1693</v>
      </c>
      <c r="H48" s="14" t="str">
        <f t="shared" si="2"/>
        <v>dino di-cosmic</v>
      </c>
      <c r="I48" s="14" t="s">
        <v>1628</v>
      </c>
      <c r="J48" s="14" t="s">
        <v>1511</v>
      </c>
      <c r="K48" s="14" t="s">
        <v>1512</v>
      </c>
    </row>
    <row r="49" spans="1:11" x14ac:dyDescent="0.2">
      <c r="A49" s="326" t="s">
        <v>1229</v>
      </c>
      <c r="B49" s="138" t="s">
        <v>1234</v>
      </c>
      <c r="C49" s="14" t="s">
        <v>1722</v>
      </c>
      <c r="E49" s="54">
        <v>15</v>
      </c>
      <c r="F49" s="430"/>
      <c r="G49" s="14" t="s">
        <v>1694</v>
      </c>
      <c r="H49" s="14" t="str">
        <f t="shared" si="2"/>
        <v>unino di-cosmic</v>
      </c>
      <c r="I49" s="14" t="s">
        <v>1629</v>
      </c>
      <c r="J49" s="14" t="s">
        <v>1513</v>
      </c>
      <c r="K49" s="14" t="s">
        <v>1514</v>
      </c>
    </row>
    <row r="50" spans="1:11" x14ac:dyDescent="0.2">
      <c r="A50" s="326" t="s">
        <v>1224</v>
      </c>
      <c r="B50" s="138" t="s">
        <v>1231</v>
      </c>
      <c r="C50" s="55" t="s">
        <v>1347</v>
      </c>
      <c r="E50" s="54">
        <v>16</v>
      </c>
      <c r="F50" s="430" t="s">
        <v>1135</v>
      </c>
      <c r="G50" s="14" t="s">
        <v>1695</v>
      </c>
      <c r="H50" s="14" t="str">
        <f t="shared" si="2"/>
        <v>di-cosmic</v>
      </c>
      <c r="I50" s="14" t="s">
        <v>1515</v>
      </c>
      <c r="J50" s="14" t="s">
        <v>1515</v>
      </c>
      <c r="K50" s="14" t="s">
        <v>1515</v>
      </c>
    </row>
    <row r="51" spans="1:11" x14ac:dyDescent="0.2">
      <c r="A51" s="326" t="s">
        <v>1225</v>
      </c>
      <c r="B51" s="138" t="s">
        <v>1232</v>
      </c>
      <c r="C51" s="55" t="s">
        <v>1348</v>
      </c>
      <c r="E51" s="54">
        <v>17</v>
      </c>
      <c r="F51" s="430"/>
      <c r="G51" s="14" t="s">
        <v>1696</v>
      </c>
      <c r="H51" s="14" t="str">
        <f t="shared" si="2"/>
        <v>dozen di-cosmic</v>
      </c>
      <c r="I51" s="14" t="s">
        <v>1630</v>
      </c>
      <c r="J51" s="14" t="s">
        <v>1516</v>
      </c>
      <c r="K51" s="14" t="s">
        <v>1517</v>
      </c>
    </row>
    <row r="52" spans="1:11" x14ac:dyDescent="0.2">
      <c r="E52" s="54">
        <v>18</v>
      </c>
      <c r="F52" s="430"/>
      <c r="G52" s="14" t="s">
        <v>1697</v>
      </c>
      <c r="H52" s="14" t="str">
        <f t="shared" si="2"/>
        <v>gross di-cosmic</v>
      </c>
      <c r="I52" s="14" t="s">
        <v>1631</v>
      </c>
      <c r="J52" s="14" t="s">
        <v>1518</v>
      </c>
      <c r="K52" s="14" t="s">
        <v>1519</v>
      </c>
    </row>
    <row r="53" spans="1:11" x14ac:dyDescent="0.2">
      <c r="A53" s="326"/>
      <c r="B53" s="444" t="s">
        <v>1580</v>
      </c>
      <c r="E53" s="54">
        <v>19</v>
      </c>
      <c r="F53" s="430"/>
      <c r="G53" s="14" t="s">
        <v>1698</v>
      </c>
      <c r="H53" s="14" t="str">
        <f t="shared" si="2"/>
        <v>doz gross di-cosmic</v>
      </c>
      <c r="I53" s="14" t="s">
        <v>1632</v>
      </c>
      <c r="J53" s="14" t="s">
        <v>1520</v>
      </c>
      <c r="K53" s="14" t="s">
        <v>1521</v>
      </c>
    </row>
    <row r="54" spans="1:11" x14ac:dyDescent="0.2">
      <c r="E54" s="54">
        <v>20</v>
      </c>
      <c r="F54" s="430" t="s">
        <v>1136</v>
      </c>
      <c r="G54" s="14" t="s">
        <v>1699</v>
      </c>
      <c r="H54" s="14" t="str">
        <f t="shared" si="2"/>
        <v>di-cosmic hyper</v>
      </c>
      <c r="I54" s="14" t="s">
        <v>1757</v>
      </c>
      <c r="J54" s="14" t="s">
        <v>1757</v>
      </c>
      <c r="K54" s="14" t="s">
        <v>1522</v>
      </c>
    </row>
    <row r="55" spans="1:11" x14ac:dyDescent="0.2">
      <c r="E55" s="54">
        <v>21</v>
      </c>
      <c r="F55" s="430"/>
      <c r="G55" s="14" t="s">
        <v>1700</v>
      </c>
      <c r="H55" s="14" t="str">
        <f t="shared" si="2"/>
        <v>terno ter-cosmic</v>
      </c>
      <c r="I55" s="14" t="s">
        <v>1633</v>
      </c>
      <c r="J55" s="14" t="s">
        <v>1581</v>
      </c>
      <c r="K55" s="14" t="s">
        <v>1582</v>
      </c>
    </row>
    <row r="56" spans="1:11" x14ac:dyDescent="0.2">
      <c r="E56" s="54">
        <v>22</v>
      </c>
      <c r="F56" s="430"/>
      <c r="G56" s="14" t="s">
        <v>1701</v>
      </c>
      <c r="H56" s="14" t="str">
        <f t="shared" si="2"/>
        <v>dino ter-cosmic</v>
      </c>
      <c r="I56" s="14" t="s">
        <v>1634</v>
      </c>
      <c r="J56" s="14" t="s">
        <v>1583</v>
      </c>
      <c r="K56" s="14" t="s">
        <v>1584</v>
      </c>
    </row>
    <row r="57" spans="1:11" x14ac:dyDescent="0.2">
      <c r="E57" s="54">
        <v>23</v>
      </c>
      <c r="F57" s="430"/>
      <c r="G57" s="14" t="s">
        <v>1702</v>
      </c>
      <c r="H57" s="14" t="str">
        <f t="shared" si="2"/>
        <v>unino ter-cosmic</v>
      </c>
      <c r="I57" s="14" t="s">
        <v>1635</v>
      </c>
      <c r="J57" s="14" t="s">
        <v>1585</v>
      </c>
      <c r="K57" s="14" t="s">
        <v>1586</v>
      </c>
    </row>
    <row r="58" spans="1:11" x14ac:dyDescent="0.2">
      <c r="E58" s="54">
        <v>24</v>
      </c>
      <c r="F58" s="430" t="s">
        <v>1137</v>
      </c>
      <c r="G58" s="14" t="s">
        <v>1703</v>
      </c>
      <c r="H58" s="14" t="str">
        <f t="shared" si="2"/>
        <v>ter-cosmic</v>
      </c>
      <c r="I58" s="14" t="s">
        <v>1587</v>
      </c>
      <c r="J58" s="14" t="s">
        <v>1587</v>
      </c>
      <c r="K58" s="14" t="s">
        <v>1587</v>
      </c>
    </row>
    <row r="59" spans="1:11" x14ac:dyDescent="0.2">
      <c r="E59" s="54">
        <v>25</v>
      </c>
      <c r="F59" s="430"/>
      <c r="G59" s="14" t="s">
        <v>1704</v>
      </c>
      <c r="H59" s="14" t="str">
        <f t="shared" si="2"/>
        <v>dozen ter-cosmic</v>
      </c>
      <c r="I59" s="14" t="s">
        <v>1636</v>
      </c>
      <c r="J59" s="14" t="s">
        <v>1588</v>
      </c>
      <c r="K59" s="14" t="s">
        <v>1589</v>
      </c>
    </row>
    <row r="60" spans="1:11" x14ac:dyDescent="0.2">
      <c r="E60" s="54">
        <v>26</v>
      </c>
      <c r="F60" s="430"/>
      <c r="G60" s="14" t="s">
        <v>1705</v>
      </c>
      <c r="H60" s="14" t="str">
        <f t="shared" si="2"/>
        <v>gross ter-cosmic</v>
      </c>
      <c r="I60" s="14" t="s">
        <v>1637</v>
      </c>
      <c r="J60" s="14" t="s">
        <v>1590</v>
      </c>
      <c r="K60" s="14" t="s">
        <v>1591</v>
      </c>
    </row>
    <row r="61" spans="1:11" x14ac:dyDescent="0.2">
      <c r="E61" s="54">
        <v>27</v>
      </c>
      <c r="F61" s="430"/>
      <c r="G61" s="14" t="s">
        <v>1706</v>
      </c>
      <c r="H61" s="14" t="str">
        <f t="shared" si="2"/>
        <v>doz gross ter-cosmic</v>
      </c>
      <c r="I61" s="14" t="s">
        <v>1638</v>
      </c>
      <c r="J61" s="14" t="s">
        <v>1592</v>
      </c>
      <c r="K61" s="14" t="s">
        <v>1593</v>
      </c>
    </row>
    <row r="62" spans="1:11" x14ac:dyDescent="0.2">
      <c r="E62" s="54">
        <v>28</v>
      </c>
      <c r="F62" s="430" t="s">
        <v>1138</v>
      </c>
      <c r="G62" s="14" t="s">
        <v>1707</v>
      </c>
      <c r="H62" s="14" t="str">
        <f t="shared" si="2"/>
        <v>ter-cosmic hyper</v>
      </c>
      <c r="I62" s="14" t="s">
        <v>1758</v>
      </c>
      <c r="J62" s="14" t="s">
        <v>1758</v>
      </c>
      <c r="K62" s="14" t="s">
        <v>1594</v>
      </c>
    </row>
    <row r="63" spans="1:11" x14ac:dyDescent="0.2">
      <c r="E63" s="54">
        <v>29</v>
      </c>
      <c r="F63" s="430"/>
      <c r="G63" s="14" t="s">
        <v>1708</v>
      </c>
      <c r="H63" s="14" t="str">
        <f t="shared" si="2"/>
        <v>terno tetra-cosmic</v>
      </c>
      <c r="I63" s="14" t="s">
        <v>1639</v>
      </c>
      <c r="J63" s="14" t="s">
        <v>1494</v>
      </c>
      <c r="K63" s="14" t="s">
        <v>1495</v>
      </c>
    </row>
    <row r="64" spans="1:11" x14ac:dyDescent="0.2">
      <c r="E64" s="54">
        <v>30</v>
      </c>
      <c r="F64" s="430"/>
      <c r="G64" s="14" t="s">
        <v>1709</v>
      </c>
      <c r="H64" s="14" t="str">
        <f t="shared" si="2"/>
        <v>dino tetra-cosmic</v>
      </c>
      <c r="I64" s="14" t="s">
        <v>1640</v>
      </c>
      <c r="J64" s="14" t="s">
        <v>1496</v>
      </c>
      <c r="K64" s="14" t="s">
        <v>1497</v>
      </c>
    </row>
    <row r="65" spans="5:11" x14ac:dyDescent="0.2">
      <c r="E65" s="54">
        <v>31</v>
      </c>
      <c r="F65" s="430"/>
      <c r="G65" s="14" t="s">
        <v>1710</v>
      </c>
      <c r="H65" s="14" t="str">
        <f t="shared" si="2"/>
        <v>unino tetra-cosmic</v>
      </c>
      <c r="I65" s="14" t="s">
        <v>1641</v>
      </c>
      <c r="J65" s="14" t="s">
        <v>1498</v>
      </c>
      <c r="K65" s="14" t="s">
        <v>1499</v>
      </c>
    </row>
    <row r="66" spans="5:11" x14ac:dyDescent="0.2">
      <c r="E66" s="54">
        <v>32</v>
      </c>
      <c r="F66" s="430" t="s">
        <v>1139</v>
      </c>
      <c r="G66" s="14" t="s">
        <v>1711</v>
      </c>
      <c r="H66" s="14" t="str">
        <f t="shared" si="2"/>
        <v>tetra-cosmic</v>
      </c>
      <c r="I66" s="14" t="s">
        <v>1500</v>
      </c>
      <c r="J66" s="14" t="s">
        <v>1500</v>
      </c>
      <c r="K66" s="14" t="s">
        <v>1500</v>
      </c>
    </row>
    <row r="67" spans="5:11" x14ac:dyDescent="0.2">
      <c r="E67" s="54">
        <v>33</v>
      </c>
      <c r="F67" s="430"/>
      <c r="G67" s="14" t="s">
        <v>1712</v>
      </c>
      <c r="H67" s="14" t="str">
        <f t="shared" si="2"/>
        <v>dozen tetra-cosmic</v>
      </c>
      <c r="I67" s="14" t="s">
        <v>1642</v>
      </c>
      <c r="J67" s="14" t="s">
        <v>1501</v>
      </c>
      <c r="K67" s="14" t="s">
        <v>1502</v>
      </c>
    </row>
    <row r="68" spans="5:11" x14ac:dyDescent="0.2">
      <c r="E68" s="54">
        <v>34</v>
      </c>
      <c r="F68" s="430"/>
      <c r="G68" s="14" t="s">
        <v>1713</v>
      </c>
      <c r="H68" s="14" t="str">
        <f t="shared" si="2"/>
        <v>gross tetra-cosmic</v>
      </c>
      <c r="I68" s="14" t="s">
        <v>1643</v>
      </c>
      <c r="J68" s="14" t="s">
        <v>1503</v>
      </c>
      <c r="K68" s="14" t="s">
        <v>1504</v>
      </c>
    </row>
    <row r="69" spans="5:11" x14ac:dyDescent="0.2">
      <c r="E69" s="54">
        <v>35</v>
      </c>
      <c r="F69" s="430"/>
      <c r="G69" s="14" t="s">
        <v>1714</v>
      </c>
      <c r="H69" s="14" t="str">
        <f t="shared" si="2"/>
        <v>doz gross tetra-cosmic</v>
      </c>
      <c r="I69" s="14" t="s">
        <v>1644</v>
      </c>
      <c r="J69" s="14" t="s">
        <v>1505</v>
      </c>
      <c r="K69" s="14" t="s">
        <v>1506</v>
      </c>
    </row>
    <row r="70" spans="5:11" x14ac:dyDescent="0.2">
      <c r="E70" s="54">
        <v>36</v>
      </c>
      <c r="F70" s="430" t="s">
        <v>1140</v>
      </c>
      <c r="G70" s="14" t="s">
        <v>1715</v>
      </c>
      <c r="H70" s="14" t="str">
        <f t="shared" si="2"/>
        <v>tetra-cosmic hyper</v>
      </c>
      <c r="I70" s="14" t="s">
        <v>1759</v>
      </c>
      <c r="J70" s="14" t="s">
        <v>1759</v>
      </c>
      <c r="K70" s="14" t="s">
        <v>1507</v>
      </c>
    </row>
    <row r="71" spans="5:11" x14ac:dyDescent="0.2">
      <c r="E71" s="54">
        <v>37</v>
      </c>
      <c r="F71" s="430"/>
      <c r="G71" s="14" t="s">
        <v>1716</v>
      </c>
      <c r="H71" s="14" t="str">
        <f t="shared" si="2"/>
        <v>terno penta-cosmic</v>
      </c>
      <c r="I71" s="14" t="s">
        <v>1645</v>
      </c>
      <c r="J71" s="14" t="s">
        <v>1485</v>
      </c>
      <c r="K71" s="14" t="s">
        <v>1486</v>
      </c>
    </row>
    <row r="72" spans="5:11" x14ac:dyDescent="0.2">
      <c r="E72" s="54">
        <v>38</v>
      </c>
      <c r="F72" s="430"/>
      <c r="G72" s="14" t="s">
        <v>1717</v>
      </c>
      <c r="H72" s="14" t="str">
        <f t="shared" si="2"/>
        <v>dino penta-cosmic</v>
      </c>
      <c r="I72" s="14" t="s">
        <v>1646</v>
      </c>
      <c r="J72" s="14" t="s">
        <v>1487</v>
      </c>
      <c r="K72" s="14" t="s">
        <v>1488</v>
      </c>
    </row>
    <row r="73" spans="5:11" x14ac:dyDescent="0.2">
      <c r="E73" s="54">
        <v>39</v>
      </c>
      <c r="F73" s="430"/>
      <c r="G73" s="14" t="s">
        <v>1718</v>
      </c>
      <c r="H73" s="14" t="str">
        <f t="shared" si="2"/>
        <v>unino penta-cosmic</v>
      </c>
      <c r="I73" s="14" t="s">
        <v>1647</v>
      </c>
      <c r="J73" s="14" t="s">
        <v>1489</v>
      </c>
      <c r="K73" s="14" t="s">
        <v>1490</v>
      </c>
    </row>
    <row r="74" spans="5:11" x14ac:dyDescent="0.2">
      <c r="E74" s="54">
        <v>40</v>
      </c>
      <c r="F74" s="430" t="s">
        <v>1141</v>
      </c>
      <c r="G74" s="14" t="s">
        <v>1719</v>
      </c>
      <c r="H74" s="14" t="str">
        <f t="shared" si="2"/>
        <v>penta-cosmic</v>
      </c>
      <c r="I74" s="14" t="s">
        <v>1749</v>
      </c>
      <c r="J74" s="14" t="s">
        <v>1491</v>
      </c>
      <c r="K74" s="14" t="s">
        <v>1491</v>
      </c>
    </row>
    <row r="75" spans="5:11" x14ac:dyDescent="0.2">
      <c r="E75" s="54">
        <v>41</v>
      </c>
      <c r="F75" s="430" t="s">
        <v>1142</v>
      </c>
      <c r="G75" s="14" t="s">
        <v>1720</v>
      </c>
      <c r="H75" s="14" t="str">
        <f t="shared" si="2"/>
        <v>dozen penta-cosmic</v>
      </c>
      <c r="I75" s="14" t="s">
        <v>1750</v>
      </c>
      <c r="J75" s="14" t="s">
        <v>1492</v>
      </c>
      <c r="K75" s="14" t="s">
        <v>1493</v>
      </c>
    </row>
  </sheetData>
  <mergeCells count="4">
    <mergeCell ref="F1:G1"/>
    <mergeCell ref="K1:O1"/>
    <mergeCell ref="A1:D1"/>
    <mergeCell ref="C39:D41"/>
  </mergeCells>
  <phoneticPr fontId="1"/>
  <pageMargins left="0.70866141732283472" right="0.70866141732283472" top="0.74803149606299213" bottom="0.74803149606299213" header="0.31496062992125984" footer="0.31496062992125984"/>
  <pageSetup paperSize="9" scale="48" orientation="portrait" r:id="rId1"/>
  <headerFooter>
    <oddHeade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3"/>
  <sheetViews>
    <sheetView workbookViewId="0">
      <selection activeCell="E31" sqref="E31"/>
    </sheetView>
  </sheetViews>
  <sheetFormatPr defaultColWidth="9" defaultRowHeight="11.5" x14ac:dyDescent="0.2"/>
  <cols>
    <col min="1" max="1" width="21.7265625" style="214" customWidth="1"/>
    <col min="2" max="2" width="4.36328125" style="214" customWidth="1"/>
    <col min="3" max="3" width="22.36328125" style="214" customWidth="1"/>
    <col min="4" max="4" width="27.6328125" style="214" customWidth="1"/>
    <col min="5" max="5" width="26.1796875" style="214" customWidth="1"/>
    <col min="6" max="16384" width="9" style="214"/>
  </cols>
  <sheetData>
    <row r="1" spans="1:5" ht="21" customHeight="1" x14ac:dyDescent="0.2">
      <c r="A1" s="213" t="s">
        <v>238</v>
      </c>
      <c r="B1" s="213" t="s">
        <v>249</v>
      </c>
      <c r="C1" s="213" t="s">
        <v>234</v>
      </c>
      <c r="D1" s="213" t="s">
        <v>235</v>
      </c>
      <c r="E1" s="213" t="s">
        <v>581</v>
      </c>
    </row>
    <row r="2" spans="1:5" x14ac:dyDescent="0.2">
      <c r="A2" s="215" t="s">
        <v>1834</v>
      </c>
      <c r="B2" s="216" t="s">
        <v>110</v>
      </c>
      <c r="C2" s="217" t="s">
        <v>236</v>
      </c>
      <c r="D2" s="217" t="s">
        <v>237</v>
      </c>
      <c r="E2" s="217" t="s">
        <v>1804</v>
      </c>
    </row>
    <row r="3" spans="1:5" ht="24.75" customHeight="1" x14ac:dyDescent="0.2">
      <c r="A3" s="215" t="s">
        <v>1835</v>
      </c>
      <c r="B3" s="216" t="s">
        <v>110</v>
      </c>
      <c r="C3" s="216" t="s">
        <v>239</v>
      </c>
      <c r="D3" s="215" t="s">
        <v>256</v>
      </c>
      <c r="E3" s="216" t="s">
        <v>582</v>
      </c>
    </row>
    <row r="4" spans="1:5" ht="23" x14ac:dyDescent="0.2">
      <c r="A4" s="215" t="s">
        <v>251</v>
      </c>
      <c r="B4" s="216" t="s">
        <v>110</v>
      </c>
      <c r="C4" s="216" t="s">
        <v>252</v>
      </c>
      <c r="D4" s="216" t="s">
        <v>253</v>
      </c>
      <c r="E4" s="216" t="s">
        <v>1836</v>
      </c>
    </row>
    <row r="5" spans="1:5" ht="24.75" customHeight="1" x14ac:dyDescent="0.2">
      <c r="A5" s="215" t="s">
        <v>240</v>
      </c>
      <c r="B5" s="216" t="s">
        <v>110</v>
      </c>
      <c r="C5" s="216" t="s">
        <v>241</v>
      </c>
      <c r="D5" s="216" t="s">
        <v>242</v>
      </c>
      <c r="E5" s="216" t="s">
        <v>1837</v>
      </c>
    </row>
    <row r="6" spans="1:5" x14ac:dyDescent="0.2">
      <c r="A6" s="215" t="s">
        <v>246</v>
      </c>
      <c r="B6" s="216" t="s">
        <v>110</v>
      </c>
      <c r="C6" s="216" t="s">
        <v>243</v>
      </c>
      <c r="D6" s="216" t="s">
        <v>244</v>
      </c>
      <c r="E6" s="216" t="s">
        <v>245</v>
      </c>
    </row>
    <row r="7" spans="1:5" x14ac:dyDescent="0.2">
      <c r="A7" s="215" t="s">
        <v>247</v>
      </c>
      <c r="B7" s="215" t="s">
        <v>57</v>
      </c>
      <c r="C7" s="218">
        <f>Rydberg!F3</f>
        <v>0.2721028832766943</v>
      </c>
      <c r="D7" s="218">
        <f>Clock!F3</f>
        <v>0.27235212567339145</v>
      </c>
      <c r="E7" s="218">
        <f>Clock_by_Rydberg!F3</f>
        <v>0.27235220594173376</v>
      </c>
    </row>
    <row r="8" spans="1:5" x14ac:dyDescent="0.2">
      <c r="A8" s="215" t="s">
        <v>250</v>
      </c>
      <c r="B8" s="215" t="s">
        <v>56</v>
      </c>
      <c r="C8" s="218">
        <f>Rydberg!F4</f>
        <v>0.39026752046511809</v>
      </c>
      <c r="D8" s="218">
        <f>Clock!F4</f>
        <v>0.390625</v>
      </c>
      <c r="E8" s="218">
        <f>Clock_by_Rydberg!F4</f>
        <v>0.39062511512603815</v>
      </c>
    </row>
    <row r="9" spans="1:5" x14ac:dyDescent="0.2">
      <c r="A9" s="215" t="s">
        <v>248</v>
      </c>
      <c r="B9" s="215" t="s">
        <v>61</v>
      </c>
      <c r="C9" s="218">
        <f>Rydberg!F8</f>
        <v>0.13195008193971713</v>
      </c>
      <c r="D9" s="218">
        <f>Clock!F8</f>
        <v>0.13182932813768336</v>
      </c>
      <c r="E9" s="218">
        <f>Clock_by_Rydberg!F8</f>
        <v>0.13182928928460486</v>
      </c>
    </row>
    <row r="10" spans="1:5" x14ac:dyDescent="0.2">
      <c r="A10" s="216" t="s">
        <v>254</v>
      </c>
      <c r="B10" s="215" t="s">
        <v>56</v>
      </c>
      <c r="C10" s="219">
        <f>C8*128*12*12*12</f>
        <v>86320.931246556691</v>
      </c>
      <c r="D10" s="219">
        <f>D8*128*12*12*12</f>
        <v>86400</v>
      </c>
      <c r="E10" s="219">
        <f>E8*128*12*12*12</f>
        <v>86400.025464037637</v>
      </c>
    </row>
    <row r="11" spans="1:5" ht="14.25" customHeight="1" x14ac:dyDescent="0.2">
      <c r="A11" s="216" t="s">
        <v>255</v>
      </c>
      <c r="B11" s="215" t="s">
        <v>227</v>
      </c>
      <c r="C11" s="219">
        <f>(C10-86400)*1000</f>
        <v>-79068.753443309106</v>
      </c>
      <c r="D11" s="219">
        <f>(D10-86400)*1000</f>
        <v>0</v>
      </c>
      <c r="E11" s="219">
        <f>(E10-86400)*1000</f>
        <v>25.464037636993453</v>
      </c>
    </row>
    <row r="12" spans="1:5" ht="21.75" customHeight="1" x14ac:dyDescent="0.2">
      <c r="A12" s="215" t="s">
        <v>258</v>
      </c>
      <c r="B12" s="216" t="s">
        <v>110</v>
      </c>
      <c r="C12" s="219" t="s">
        <v>259</v>
      </c>
      <c r="D12" s="219" t="s">
        <v>257</v>
      </c>
      <c r="E12" s="219" t="s">
        <v>260</v>
      </c>
    </row>
    <row r="13" spans="1:5" x14ac:dyDescent="0.2">
      <c r="C13" s="220">
        <f t="shared" ref="C13:D13" si="0">C11/1.7-1</f>
        <v>-46512.03143724065</v>
      </c>
      <c r="D13" s="220">
        <f t="shared" si="0"/>
        <v>-1</v>
      </c>
      <c r="E13" s="220">
        <f>E11/1.7-1</f>
        <v>13.978845668819678</v>
      </c>
    </row>
  </sheetData>
  <phoneticPr fontId="1"/>
  <pageMargins left="0.7" right="0.7" top="0.75" bottom="0.75" header="0.3" footer="0.3"/>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4"/>
  <sheetViews>
    <sheetView workbookViewId="0">
      <selection activeCell="A39" sqref="A39"/>
    </sheetView>
  </sheetViews>
  <sheetFormatPr defaultColWidth="15.6328125" defaultRowHeight="11" x14ac:dyDescent="0.2"/>
  <cols>
    <col min="1" max="4" width="15.6328125" style="1"/>
    <col min="5" max="5" width="7.81640625" style="1" customWidth="1"/>
    <col min="6" max="6" width="8.26953125" style="1" customWidth="1"/>
    <col min="7" max="7" width="7.36328125" style="1" customWidth="1"/>
    <col min="8" max="8" width="8.1796875" style="1" customWidth="1"/>
    <col min="9" max="10" width="8.6328125" style="1" customWidth="1"/>
    <col min="11" max="16384" width="15.6328125" style="1"/>
  </cols>
  <sheetData>
    <row r="1" spans="1:10" ht="11.5" x14ac:dyDescent="0.2">
      <c r="A1" s="8"/>
      <c r="B1" s="9" t="s">
        <v>86</v>
      </c>
      <c r="C1" s="10" t="s">
        <v>89</v>
      </c>
      <c r="D1" s="9" t="s">
        <v>85</v>
      </c>
      <c r="E1" s="9" t="s">
        <v>87</v>
      </c>
      <c r="F1" s="655" t="s">
        <v>1208</v>
      </c>
      <c r="G1" s="655"/>
    </row>
    <row r="2" spans="1:10" ht="11.5" x14ac:dyDescent="0.2">
      <c r="A2" s="8" t="s">
        <v>81</v>
      </c>
      <c r="B2" s="470">
        <f>Rydberg!F10</f>
        <v>0.2357317007983418</v>
      </c>
      <c r="C2" s="11">
        <f>35*POWER(12,40)*B2</f>
        <v>1.2126511302583943E+44</v>
      </c>
      <c r="D2" s="12">
        <f>POWER(c_0,4)/C2</f>
        <v>6.6611150655846881E-11</v>
      </c>
      <c r="E2" s="13">
        <f>(D2-D$31)/D$32</f>
        <v>-87.899562768741831</v>
      </c>
      <c r="F2" s="13"/>
      <c r="G2" s="13"/>
    </row>
    <row r="3" spans="1:10" ht="11.5" x14ac:dyDescent="0.2">
      <c r="A3" s="8" t="s">
        <v>82</v>
      </c>
      <c r="B3" s="470">
        <f>Bohr!F10</f>
        <v>0.23410979402637536</v>
      </c>
      <c r="C3" s="11">
        <f t="shared" ref="C3:C6" si="0">35*POWER(12,40)*B3</f>
        <v>1.2043077166507296E+44</v>
      </c>
      <c r="D3" s="12">
        <f>POWER(c_0,4)/C3</f>
        <v>6.7072631034258649E-11</v>
      </c>
      <c r="E3" s="13">
        <f>(D3-D$31)/D$32</f>
        <v>219.75402283910338</v>
      </c>
      <c r="F3" s="13"/>
      <c r="G3" s="13"/>
    </row>
    <row r="4" spans="1:10" ht="11.5" x14ac:dyDescent="0.2">
      <c r="A4" s="8" t="s">
        <v>83</v>
      </c>
      <c r="B4" s="470">
        <f>Clock!F10</f>
        <v>0.23530043961765457</v>
      </c>
      <c r="C4" s="11">
        <f t="shared" si="0"/>
        <v>1.2104326362822943E+44</v>
      </c>
      <c r="D4" s="12">
        <f>POWER(c_0,4)/C4</f>
        <v>6.6733236290389062E-11</v>
      </c>
      <c r="E4" s="13">
        <f>(D4-D$31)/D$32</f>
        <v>-6.5091397406212232</v>
      </c>
      <c r="F4" s="13">
        <v>0</v>
      </c>
      <c r="G4" s="13" t="s">
        <v>1206</v>
      </c>
    </row>
    <row r="5" spans="1:10" ht="11.5" x14ac:dyDescent="0.2">
      <c r="A5" s="30" t="s">
        <v>84</v>
      </c>
      <c r="B5" s="471">
        <f>Clock_by_Rydberg!F10</f>
        <v>0.23530030092097412</v>
      </c>
      <c r="C5" s="461">
        <f t="shared" si="0"/>
        <v>1.2104319227987632E+44</v>
      </c>
      <c r="D5" s="462">
        <f>POWER(c_0,4)/C5</f>
        <v>6.6733275625988337E-11</v>
      </c>
      <c r="E5" s="463">
        <f>(D5-D$31)/D$32</f>
        <v>-6.4829160077711192</v>
      </c>
      <c r="F5" s="463">
        <v>9.2994423006262927</v>
      </c>
      <c r="G5" s="463" t="s">
        <v>1206</v>
      </c>
      <c r="H5" s="460"/>
      <c r="I5" s="14">
        <f>-E5*12</f>
        <v>77.794992093253427</v>
      </c>
      <c r="J5" s="14">
        <f>(I5-7)*12</f>
        <v>849.53990511904112</v>
      </c>
    </row>
    <row r="6" spans="1:10" ht="11.5" x14ac:dyDescent="0.2">
      <c r="A6" s="30" t="s">
        <v>1203</v>
      </c>
      <c r="B6" s="471">
        <f>Gravitic!F$10*POWER(12,-40)</f>
        <v>0.23526601795300434</v>
      </c>
      <c r="C6" s="461">
        <f t="shared" si="0"/>
        <v>1.2102555643382065E+44</v>
      </c>
      <c r="D6" s="462">
        <f>POWER(c_0,4)/C6</f>
        <v>6.6742999999999981E-11</v>
      </c>
      <c r="E6" s="463">
        <f>(D6-D$31)/D$32</f>
        <v>-8.6164647140940394E-12</v>
      </c>
      <c r="F6" s="463">
        <f>Gravitic!G4</f>
        <v>38.474254598038563</v>
      </c>
      <c r="G6" s="463" t="s">
        <v>1207</v>
      </c>
      <c r="H6" s="655">
        <v>2018</v>
      </c>
      <c r="I6" s="14"/>
    </row>
    <row r="7" spans="1:10" ht="11.5" x14ac:dyDescent="0.2">
      <c r="A7" s="466" t="s">
        <v>1204</v>
      </c>
      <c r="B7" s="472">
        <v>0.23527130550313324</v>
      </c>
      <c r="C7" s="467">
        <v>1.2102827645561594E+44</v>
      </c>
      <c r="D7" s="468">
        <v>6.6741499999999994E-11</v>
      </c>
      <c r="E7" s="469">
        <v>-0.99999999999996214</v>
      </c>
      <c r="F7" s="469">
        <v>32.563632739775898</v>
      </c>
      <c r="G7" s="469" t="s">
        <v>1207</v>
      </c>
      <c r="H7" s="655"/>
      <c r="I7" s="14"/>
    </row>
    <row r="8" spans="1:10" ht="11.5" x14ac:dyDescent="0.2">
      <c r="A8" s="45" t="s">
        <v>1205</v>
      </c>
      <c r="B8" s="473">
        <v>0.23526073064053768</v>
      </c>
      <c r="C8" s="464">
        <v>1.210228365342836E+44</v>
      </c>
      <c r="D8" s="420">
        <v>6.6744499999999981E-11</v>
      </c>
      <c r="E8" s="465">
        <v>0.9999999999913457</v>
      </c>
      <c r="F8" s="465">
        <v>44.384810038259971</v>
      </c>
      <c r="G8" s="465" t="s">
        <v>1207</v>
      </c>
      <c r="H8" s="655"/>
      <c r="I8" s="14"/>
    </row>
    <row r="9" spans="1:10" ht="11.5" x14ac:dyDescent="0.2">
      <c r="A9" s="385" t="s">
        <v>1771</v>
      </c>
      <c r="B9" s="533">
        <v>0.2352737731078646</v>
      </c>
      <c r="C9" s="534">
        <v>1.2102954584096225E+44</v>
      </c>
      <c r="D9" s="535">
        <v>6.6740799999999978E-11</v>
      </c>
      <c r="E9" s="536">
        <v>-8.3385142394458432E-12</v>
      </c>
      <c r="F9" s="536">
        <v>29.805319808842984</v>
      </c>
      <c r="G9" s="536" t="s">
        <v>1210</v>
      </c>
      <c r="H9" s="656">
        <v>2014</v>
      </c>
      <c r="I9" s="14"/>
    </row>
    <row r="10" spans="1:10" ht="11.5" x14ac:dyDescent="0.2">
      <c r="A10" s="385" t="s">
        <v>1772</v>
      </c>
      <c r="B10" s="533">
        <v>0.23528470169390567</v>
      </c>
      <c r="C10" s="534">
        <v>1.2103516772472667E+44</v>
      </c>
      <c r="D10" s="535">
        <v>6.6737699999999985E-11</v>
      </c>
      <c r="E10" s="536">
        <v>-1.0000000000060771</v>
      </c>
      <c r="F10" s="536">
        <v>17.58535959361982</v>
      </c>
      <c r="G10" s="536" t="s">
        <v>1210</v>
      </c>
      <c r="H10" s="657"/>
      <c r="I10" s="14"/>
    </row>
    <row r="11" spans="1:10" ht="11.5" x14ac:dyDescent="0.2">
      <c r="A11" s="385" t="s">
        <v>1773</v>
      </c>
      <c r="B11" s="533">
        <v>0.23526284553700591</v>
      </c>
      <c r="C11" s="534">
        <v>1.2102392447942795E+44</v>
      </c>
      <c r="D11" s="535">
        <v>6.6743899999999983E-11</v>
      </c>
      <c r="E11" s="536">
        <v>0.99999999999356926</v>
      </c>
      <c r="F11" s="536">
        <v>42.016195128849041</v>
      </c>
      <c r="G11" s="536" t="s">
        <v>1210</v>
      </c>
      <c r="H11" s="658"/>
      <c r="I11" s="14"/>
    </row>
    <row r="12" spans="1:10" ht="11.5" x14ac:dyDescent="0.2">
      <c r="A12" s="30" t="s">
        <v>1203</v>
      </c>
      <c r="B12" s="471">
        <v>0.23528223385992716</v>
      </c>
      <c r="C12" s="461">
        <v>1.2103389822145105E+44</v>
      </c>
      <c r="D12" s="462">
        <v>6.6738400000000014E-11</v>
      </c>
      <c r="E12" s="463">
        <v>1.615587133892632E-12</v>
      </c>
      <c r="F12" s="463">
        <v>20.325282763208502</v>
      </c>
      <c r="G12" s="463" t="s">
        <v>1207</v>
      </c>
      <c r="H12" s="655">
        <v>2010</v>
      </c>
      <c r="I12" s="14"/>
    </row>
    <row r="13" spans="1:10" ht="11.5" x14ac:dyDescent="0.2">
      <c r="A13" s="466" t="s">
        <v>1204</v>
      </c>
      <c r="B13" s="472">
        <v>0.23531044076219179</v>
      </c>
      <c r="C13" s="467">
        <v>1.2104840841749022E+44</v>
      </c>
      <c r="D13" s="468">
        <v>6.673040000000001E-11</v>
      </c>
      <c r="E13" s="469">
        <v>-0.99999999999888489</v>
      </c>
      <c r="F13" s="469">
        <v>-11.199886455150754</v>
      </c>
      <c r="G13" s="469" t="s">
        <v>1207</v>
      </c>
      <c r="H13" s="655"/>
      <c r="I13" s="14"/>
    </row>
    <row r="14" spans="1:10" ht="11.5" x14ac:dyDescent="0.2">
      <c r="A14" s="45" t="s">
        <v>1205</v>
      </c>
      <c r="B14" s="473">
        <v>0.23525403371923229</v>
      </c>
      <c r="C14" s="464">
        <v>1.2101939150369894E+44</v>
      </c>
      <c r="D14" s="420">
        <v>6.6746399999999992E-11</v>
      </c>
      <c r="E14" s="465">
        <v>0.99999999999888489</v>
      </c>
      <c r="F14" s="465">
        <v>51.848562561010453</v>
      </c>
      <c r="G14" s="465" t="s">
        <v>1207</v>
      </c>
      <c r="H14" s="655"/>
      <c r="I14" s="14"/>
    </row>
    <row r="15" spans="1:10" ht="11.5" x14ac:dyDescent="0.2">
      <c r="A15" s="30" t="s">
        <v>1203</v>
      </c>
      <c r="B15" s="471">
        <v>0.23526672294595621</v>
      </c>
      <c r="C15" s="461">
        <v>1.2102591909632935E+44</v>
      </c>
      <c r="D15" s="462">
        <v>6.6742799999999995E-11</v>
      </c>
      <c r="E15" s="463">
        <v>1.615587133892632E-12</v>
      </c>
      <c r="F15" s="463">
        <v>37.663320446026667</v>
      </c>
      <c r="G15" s="463" t="s">
        <v>1210</v>
      </c>
      <c r="H15" s="655">
        <v>2006</v>
      </c>
      <c r="I15" s="14"/>
    </row>
    <row r="16" spans="1:10" ht="11.5" x14ac:dyDescent="0.2">
      <c r="A16" s="466" t="s">
        <v>1204</v>
      </c>
      <c r="B16" s="472">
        <v>0.23529034265168877</v>
      </c>
      <c r="C16" s="467">
        <v>1.2103806954650469E+44</v>
      </c>
      <c r="D16" s="468">
        <v>6.6736099999999991E-11</v>
      </c>
      <c r="E16" s="469">
        <v>-0.99999999999888489</v>
      </c>
      <c r="F16" s="469">
        <v>11.261990145773828</v>
      </c>
      <c r="G16" s="469" t="s">
        <v>1210</v>
      </c>
      <c r="H16" s="655"/>
      <c r="I16" s="14"/>
    </row>
    <row r="17" spans="1:9" ht="11.5" x14ac:dyDescent="0.2">
      <c r="A17" s="45" t="s">
        <v>1205</v>
      </c>
      <c r="B17" s="473">
        <v>0.23524310798189296</v>
      </c>
      <c r="C17" s="464">
        <v>1.2101377108536378E+44</v>
      </c>
      <c r="D17" s="420">
        <v>6.6749499999999998E-11</v>
      </c>
      <c r="E17" s="465">
        <v>0.99999999999888489</v>
      </c>
      <c r="F17" s="465">
        <v>64.063325626034683</v>
      </c>
      <c r="G17" s="465" t="s">
        <v>1210</v>
      </c>
      <c r="H17" s="655"/>
      <c r="I17" s="14"/>
    </row>
    <row r="18" spans="1:9" ht="11.5" x14ac:dyDescent="0.2">
      <c r="A18" s="30" t="s">
        <v>1203</v>
      </c>
      <c r="B18" s="471">
        <v>0.23526954296001559</v>
      </c>
      <c r="C18" s="461">
        <v>1.2102736976809937E+44</v>
      </c>
      <c r="D18" s="462">
        <v>6.6742000000000011E-11</v>
      </c>
      <c r="E18" s="463">
        <v>1.615587133892632E-12</v>
      </c>
      <c r="F18" s="463">
        <v>34.510992467756267</v>
      </c>
      <c r="G18" s="463" t="s">
        <v>1210</v>
      </c>
      <c r="H18" s="655">
        <v>2002</v>
      </c>
      <c r="I18" s="14"/>
    </row>
    <row r="19" spans="1:9" ht="11.5" x14ac:dyDescent="0.2">
      <c r="A19" s="466" t="s">
        <v>1211</v>
      </c>
      <c r="B19" s="472">
        <v>0.23530479884069655</v>
      </c>
      <c r="C19" s="467">
        <v>1.2104550609995937E+44</v>
      </c>
      <c r="D19" s="468">
        <v>6.6732000000000016E-11</v>
      </c>
      <c r="E19" s="469">
        <v>-0.99999999999888489</v>
      </c>
      <c r="F19" s="469">
        <v>-4.8947014415286452</v>
      </c>
      <c r="G19" s="469" t="s">
        <v>1210</v>
      </c>
      <c r="H19" s="655"/>
      <c r="I19" s="14"/>
    </row>
    <row r="20" spans="1:9" ht="11.5" x14ac:dyDescent="0.2">
      <c r="A20" s="45" t="s">
        <v>1205</v>
      </c>
      <c r="B20" s="473">
        <v>0.23523429764257792</v>
      </c>
      <c r="C20" s="464">
        <v>1.2100923887018349E+44</v>
      </c>
      <c r="D20" s="420">
        <v>6.6752000000000019E-11</v>
      </c>
      <c r="E20" s="465">
        <v>0.99999999999888489</v>
      </c>
      <c r="F20" s="465">
        <v>73.913734396304577</v>
      </c>
      <c r="G20" s="465" t="s">
        <v>1210</v>
      </c>
      <c r="H20" s="655"/>
      <c r="I20" s="14"/>
    </row>
    <row r="21" spans="1:9" ht="11.5" x14ac:dyDescent="0.2">
      <c r="A21" s="30" t="s">
        <v>1203</v>
      </c>
      <c r="B21" s="471">
        <v>0.23531185128483989</v>
      </c>
      <c r="C21" s="461">
        <v>1.2104913401861967E+44</v>
      </c>
      <c r="D21" s="462">
        <v>6.6729999999999999E-11</v>
      </c>
      <c r="E21" s="463">
        <v>1.615587133892632E-12</v>
      </c>
      <c r="F21" s="463">
        <v>-12.776194519444383</v>
      </c>
      <c r="G21" s="463" t="s">
        <v>1210</v>
      </c>
      <c r="H21" s="655">
        <v>1998</v>
      </c>
      <c r="I21" s="14"/>
    </row>
    <row r="22" spans="1:9" ht="11.5" x14ac:dyDescent="0.2">
      <c r="A22" s="466" t="s">
        <v>1211</v>
      </c>
      <c r="B22" s="472">
        <v>0.23566501330087594</v>
      </c>
      <c r="C22" s="467">
        <v>1.2123080764013942E+44</v>
      </c>
      <c r="D22" s="468">
        <v>6.6630000000000007E-11</v>
      </c>
      <c r="E22" s="469">
        <v>-0.99999999999888489</v>
      </c>
      <c r="F22" s="469">
        <v>-407.00155072054054</v>
      </c>
      <c r="G22" s="469" t="s">
        <v>1210</v>
      </c>
      <c r="H22" s="655"/>
      <c r="I22" s="14"/>
    </row>
    <row r="23" spans="1:9" ht="11.5" x14ac:dyDescent="0.2">
      <c r="A23" s="45" t="s">
        <v>1205</v>
      </c>
      <c r="B23" s="473">
        <v>0.23495974616545509</v>
      </c>
      <c r="C23" s="464">
        <v>1.2086800408592682E+44</v>
      </c>
      <c r="D23" s="420">
        <v>6.6830000000000003E-11</v>
      </c>
      <c r="E23" s="465">
        <v>0.99999999999888489</v>
      </c>
      <c r="F23" s="465">
        <v>381.15388378336343</v>
      </c>
      <c r="G23" s="465" t="s">
        <v>1210</v>
      </c>
      <c r="H23" s="655"/>
      <c r="I23" s="14"/>
    </row>
    <row r="24" spans="1:9" ht="11.5" x14ac:dyDescent="0.2">
      <c r="A24" s="30" t="s">
        <v>1203</v>
      </c>
      <c r="B24" s="471">
        <v>0.23532631011702146</v>
      </c>
      <c r="C24" s="461">
        <v>1.2105657193177594E+44</v>
      </c>
      <c r="D24" s="462">
        <v>6.672590000000001E-11</v>
      </c>
      <c r="E24" s="463">
        <v>1.615587133892632E-12</v>
      </c>
      <c r="F24" s="463">
        <v>-28.933624579624613</v>
      </c>
      <c r="G24" s="463" t="s">
        <v>1210</v>
      </c>
      <c r="H24" s="655">
        <v>1986</v>
      </c>
      <c r="I24" s="14"/>
    </row>
    <row r="25" spans="1:9" ht="11.5" x14ac:dyDescent="0.2">
      <c r="A25" s="466" t="s">
        <v>1212</v>
      </c>
      <c r="B25" s="472">
        <v>0.23535629140580072</v>
      </c>
      <c r="C25" s="467">
        <v>1.2107199490781254E+44</v>
      </c>
      <c r="D25" s="468">
        <v>6.6717399999999976E-11</v>
      </c>
      <c r="E25" s="469">
        <v>-0.99999999999888489</v>
      </c>
      <c r="F25" s="469">
        <v>-62.432317090197877</v>
      </c>
      <c r="G25" s="469" t="s">
        <v>1210</v>
      </c>
      <c r="H25" s="655"/>
      <c r="I25" s="14"/>
    </row>
    <row r="26" spans="1:9" ht="11.5" x14ac:dyDescent="0.2">
      <c r="A26" s="45" t="s">
        <v>1205</v>
      </c>
      <c r="B26" s="473">
        <v>0.23529633646571133</v>
      </c>
      <c r="C26" s="464">
        <v>1.2104115288460659E+44</v>
      </c>
      <c r="D26" s="420">
        <v>6.6734399999999992E-11</v>
      </c>
      <c r="E26" s="465">
        <v>0.99999999999888489</v>
      </c>
      <c r="F26" s="465">
        <v>4.5629343527317792</v>
      </c>
      <c r="G26" s="465" t="s">
        <v>1210</v>
      </c>
      <c r="H26" s="655"/>
      <c r="I26" s="14"/>
    </row>
    <row r="27" spans="1:9" ht="11.5" x14ac:dyDescent="0.2">
      <c r="A27" s="30" t="s">
        <v>1203</v>
      </c>
      <c r="B27" s="471">
        <v>0.23534711984768242</v>
      </c>
      <c r="C27" s="461">
        <v>1.2106727687443784E+44</v>
      </c>
      <c r="D27" s="462">
        <v>6.6719999999999977E-11</v>
      </c>
      <c r="E27" s="463">
        <v>1.615587133892632E-12</v>
      </c>
      <c r="F27" s="463">
        <v>-52.185431681407849</v>
      </c>
      <c r="G27" s="463" t="s">
        <v>1210</v>
      </c>
      <c r="H27" s="655">
        <v>1973</v>
      </c>
      <c r="I27" s="14"/>
    </row>
    <row r="28" spans="1:9" ht="11.5" x14ac:dyDescent="0.2">
      <c r="A28" s="466" t="s">
        <v>1213</v>
      </c>
      <c r="B28" s="472">
        <v>0.23549183155472292</v>
      </c>
      <c r="C28" s="467">
        <v>1.2114171947783399E+44</v>
      </c>
      <c r="D28" s="468">
        <v>6.6678999999999975E-11</v>
      </c>
      <c r="E28" s="469">
        <v>-0.99999999999888489</v>
      </c>
      <c r="F28" s="469">
        <v>-213.79418944481114</v>
      </c>
      <c r="G28" s="469" t="s">
        <v>1210</v>
      </c>
      <c r="H28" s="655"/>
      <c r="I28" s="14"/>
    </row>
    <row r="29" spans="1:9" ht="11.5" x14ac:dyDescent="0.2">
      <c r="A29" s="45" t="s">
        <v>1205</v>
      </c>
      <c r="B29" s="473">
        <v>0.23520258588453394</v>
      </c>
      <c r="C29" s="464">
        <v>1.2099292570606331E+44</v>
      </c>
      <c r="D29" s="420">
        <v>6.676099999999998E-11</v>
      </c>
      <c r="E29" s="465">
        <v>0.99999999999888489</v>
      </c>
      <c r="F29" s="465">
        <v>109.37367873669088</v>
      </c>
      <c r="G29" s="465" t="s">
        <v>1210</v>
      </c>
      <c r="H29" s="655"/>
      <c r="I29" s="14"/>
    </row>
    <row r="30" spans="1:9" ht="11.5" x14ac:dyDescent="0.2">
      <c r="A30" s="14"/>
      <c r="B30" s="14"/>
      <c r="C30" s="14"/>
      <c r="D30" s="14"/>
      <c r="E30" s="14"/>
      <c r="F30" s="14"/>
      <c r="G30" s="14"/>
    </row>
    <row r="31" spans="1:9" ht="11.5" x14ac:dyDescent="0.2">
      <c r="A31" s="14"/>
      <c r="B31" s="14"/>
      <c r="C31" s="15" t="s">
        <v>1774</v>
      </c>
      <c r="D31" s="12">
        <v>6.6742999999999994E-11</v>
      </c>
      <c r="E31" s="14"/>
      <c r="F31" s="14"/>
      <c r="G31" s="14"/>
    </row>
    <row r="32" spans="1:9" ht="11.5" x14ac:dyDescent="0.2">
      <c r="A32" s="14"/>
      <c r="B32" s="14"/>
      <c r="C32" s="15" t="s">
        <v>88</v>
      </c>
      <c r="D32" s="16">
        <v>1.4999999999999999E-15</v>
      </c>
      <c r="E32" s="244">
        <f>D32/D31</f>
        <v>2.2474266964325848E-5</v>
      </c>
      <c r="F32" s="244"/>
      <c r="G32" s="244"/>
    </row>
    <row r="33" spans="1:7" ht="11.5" x14ac:dyDescent="0.2">
      <c r="A33" s="14"/>
      <c r="B33" s="14"/>
      <c r="C33" s="14"/>
      <c r="D33" s="14"/>
      <c r="E33" s="14"/>
      <c r="F33" s="14"/>
      <c r="G33" s="14"/>
    </row>
    <row r="34" spans="1:7" ht="11.5" x14ac:dyDescent="0.2">
      <c r="A34" s="14"/>
      <c r="B34" s="14"/>
      <c r="C34" s="14"/>
      <c r="D34" s="14">
        <f>D42*0.00000000001+E34*E42*0.0000000000000001</f>
        <v>6.6742999999999994E-11</v>
      </c>
      <c r="E34" s="14">
        <v>0</v>
      </c>
      <c r="F34" s="460">
        <f>Gravitic!G4</f>
        <v>38.474254598038563</v>
      </c>
      <c r="G34" s="54" t="s">
        <v>1214</v>
      </c>
    </row>
    <row r="35" spans="1:7" ht="11.5" x14ac:dyDescent="0.2">
      <c r="A35" s="8"/>
      <c r="B35" s="9" t="s">
        <v>90</v>
      </c>
      <c r="C35" s="10" t="s">
        <v>91</v>
      </c>
      <c r="D35" s="459">
        <v>6.6719999999999997</v>
      </c>
      <c r="E35" s="14">
        <v>410</v>
      </c>
      <c r="F35" s="14">
        <v>1973</v>
      </c>
      <c r="G35" s="460">
        <f t="shared" ref="G35:G39" si="1">(D$4*100000000000-D35)/(E35/100000)</f>
        <v>0.32283635095280044</v>
      </c>
    </row>
    <row r="36" spans="1:7" ht="11.5" x14ac:dyDescent="0.2">
      <c r="A36" s="8" t="s">
        <v>81</v>
      </c>
      <c r="B36" s="8">
        <f>Rydberg!F$3/POWER(Rydberg!F$4,2)</f>
        <v>1.7865218219874883</v>
      </c>
      <c r="C36" s="11">
        <f>B36*(5.5-1/144)</f>
        <v>9.813463619389605</v>
      </c>
      <c r="D36" s="459">
        <v>6.6725899999999996</v>
      </c>
      <c r="E36" s="14">
        <v>85</v>
      </c>
      <c r="F36" s="14">
        <v>1986</v>
      </c>
      <c r="G36" s="460">
        <f t="shared" si="1"/>
        <v>0.8630929869489572</v>
      </c>
    </row>
    <row r="37" spans="1:7" ht="11.5" x14ac:dyDescent="0.2">
      <c r="A37" s="8" t="s">
        <v>82</v>
      </c>
      <c r="B37" s="8">
        <f>Bohr!F$3/POWER(Bohr!F$4,2)</f>
        <v>1.7803653035846294</v>
      </c>
      <c r="C37" s="11">
        <f t="shared" ref="C37:C39" si="2">B37*(5.5-1/144)</f>
        <v>9.7796455217739009</v>
      </c>
      <c r="D37" s="459">
        <v>6.673</v>
      </c>
      <c r="E37" s="14">
        <v>1000</v>
      </c>
      <c r="F37" s="14">
        <v>1998</v>
      </c>
      <c r="G37" s="460">
        <f t="shared" si="1"/>
        <v>3.2362903890614803E-2</v>
      </c>
    </row>
    <row r="38" spans="1:7" ht="11.5" x14ac:dyDescent="0.2">
      <c r="A38" s="8" t="s">
        <v>83</v>
      </c>
      <c r="B38" s="8">
        <f>Clock!F$3/POWER(Clock!F$4,2)</f>
        <v>1.7848868908131383</v>
      </c>
      <c r="C38" s="11">
        <f t="shared" si="2"/>
        <v>9.804482851619392</v>
      </c>
      <c r="D38" s="459">
        <v>6.6741999999999999</v>
      </c>
      <c r="E38" s="14">
        <v>100</v>
      </c>
      <c r="F38" s="14">
        <v>2002</v>
      </c>
      <c r="G38" s="460">
        <f t="shared" si="1"/>
        <v>-0.87637096109371981</v>
      </c>
    </row>
    <row r="39" spans="1:7" ht="11.5" x14ac:dyDescent="0.2">
      <c r="A39" s="8" t="s">
        <v>84</v>
      </c>
      <c r="B39" s="8">
        <f>Clock_by_Rydberg!F$3/POWER(Clock_by_Rydberg!F$4,2)</f>
        <v>1.7848863647666853</v>
      </c>
      <c r="C39" s="11">
        <f t="shared" si="2"/>
        <v>9.804479962017</v>
      </c>
      <c r="D39" s="459">
        <v>6.6742800000000004</v>
      </c>
      <c r="E39" s="14">
        <v>67</v>
      </c>
      <c r="F39" s="14">
        <v>2006</v>
      </c>
      <c r="G39" s="460">
        <f t="shared" si="1"/>
        <v>-1.4274193449167818</v>
      </c>
    </row>
    <row r="40" spans="1:7" ht="11.5" x14ac:dyDescent="0.2">
      <c r="A40" s="8" t="s">
        <v>1202</v>
      </c>
      <c r="B40" s="8">
        <f>Gravitic!F$3/POWER(Gravitic!F$4,2)*POWER(12,-47)</f>
        <v>1.7847563321427005</v>
      </c>
      <c r="C40" s="11">
        <f t="shared" ref="C40" si="3">B40*(5.5-1/144)</f>
        <v>9.8037656855894166</v>
      </c>
      <c r="D40" s="459">
        <v>6.6738400000000002</v>
      </c>
      <c r="E40" s="14">
        <v>80</v>
      </c>
      <c r="F40" s="14">
        <v>2010</v>
      </c>
      <c r="G40" s="460">
        <f>(D$4*100000000000-D40)/(E40/100000)</f>
        <v>-0.64546370136753239</v>
      </c>
    </row>
    <row r="41" spans="1:7" ht="11.5" x14ac:dyDescent="0.2">
      <c r="A41" s="14"/>
      <c r="B41" s="14"/>
      <c r="C41" s="243"/>
      <c r="D41" s="459">
        <v>6.67408</v>
      </c>
      <c r="E41" s="14">
        <v>31</v>
      </c>
      <c r="F41" s="14">
        <v>2014</v>
      </c>
      <c r="G41" s="460">
        <f>(D$4*100000000000-D41)/(E41/100000)</f>
        <v>-2.4399063261091025</v>
      </c>
    </row>
    <row r="42" spans="1:7" ht="11.5" x14ac:dyDescent="0.2">
      <c r="A42" s="14"/>
      <c r="B42" s="14"/>
      <c r="C42" s="243"/>
      <c r="D42" s="459">
        <v>6.6742999999999997</v>
      </c>
      <c r="E42" s="14">
        <v>15</v>
      </c>
      <c r="F42" s="14">
        <v>2018</v>
      </c>
      <c r="G42" s="460">
        <f>(D$4*100000000000-D42)/(E42/100000)</f>
        <v>-6.5091397406232456</v>
      </c>
    </row>
    <row r="43" spans="1:7" ht="11.5" x14ac:dyDescent="0.2">
      <c r="D43" s="459">
        <v>6.6754499999999997</v>
      </c>
      <c r="E43" s="14">
        <v>18</v>
      </c>
      <c r="F43" s="14" t="s">
        <v>1381</v>
      </c>
      <c r="G43" s="460">
        <f>(D$4*100000000000-D43)/(E43/100000)</f>
        <v>-11.813172006074838</v>
      </c>
    </row>
    <row r="44" spans="1:7" ht="11.5" x14ac:dyDescent="0.2">
      <c r="D44" s="459">
        <f>Rydberg!D100*100000000000</f>
        <v>6.6743054317511898</v>
      </c>
      <c r="E44" s="14">
        <v>0</v>
      </c>
      <c r="F44" s="475" t="s">
        <v>1218</v>
      </c>
      <c r="G44" s="460"/>
    </row>
  </sheetData>
  <mergeCells count="9">
    <mergeCell ref="H24:H26"/>
    <mergeCell ref="H27:H29"/>
    <mergeCell ref="F1:G1"/>
    <mergeCell ref="H12:H14"/>
    <mergeCell ref="H15:H17"/>
    <mergeCell ref="H18:H20"/>
    <mergeCell ref="H21:H23"/>
    <mergeCell ref="H6:H8"/>
    <mergeCell ref="H9:H11"/>
  </mergeCells>
  <phoneticPr fontId="1"/>
  <printOptions horizontalCentered="1" verticalCentered="1"/>
  <pageMargins left="0.70866141732283472" right="0.70866141732283472" top="0.74803149606299213" bottom="0.74803149606299213" header="0.31496062992125984" footer="0.31496062992125984"/>
  <pageSetup paperSize="9" scale="128" orientation="landscape" r:id="rId1"/>
  <headerFooter>
    <oddHeader>&amp;A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I78"/>
  <sheetViews>
    <sheetView topLeftCell="B50" workbookViewId="0">
      <selection activeCell="R78" sqref="R78"/>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3.1796875" style="14" customWidth="1"/>
    <col min="8" max="8" width="3.6328125" style="14" customWidth="1"/>
    <col min="9" max="9" width="9.1796875" style="14" customWidth="1"/>
    <col min="10" max="10" width="8.6328125" style="14" customWidth="1"/>
    <col min="11" max="11" width="3.1796875" style="14" customWidth="1"/>
    <col min="12" max="12" width="8.6328125" style="14" customWidth="1"/>
    <col min="13" max="13" width="3.1796875" style="14" customWidth="1"/>
    <col min="14" max="14" width="9"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16384" width="9" style="14"/>
  </cols>
  <sheetData>
    <row r="1" spans="1:35" ht="11.25" customHeight="1" x14ac:dyDescent="0.2">
      <c r="A1" s="580" t="s">
        <v>202</v>
      </c>
      <c r="B1" s="17" t="s">
        <v>42</v>
      </c>
      <c r="C1" s="18" t="s">
        <v>95</v>
      </c>
      <c r="D1" s="17" t="s">
        <v>43</v>
      </c>
      <c r="E1" s="18" t="s">
        <v>44</v>
      </c>
      <c r="F1" s="17" t="s">
        <v>55</v>
      </c>
      <c r="G1" s="17" t="s">
        <v>261</v>
      </c>
      <c r="H1" s="19"/>
      <c r="I1" s="20" t="s">
        <v>46</v>
      </c>
      <c r="J1" s="90"/>
    </row>
    <row r="2" spans="1:35" ht="13.5" customHeight="1" x14ac:dyDescent="0.2">
      <c r="A2" s="581"/>
      <c r="B2" s="2" t="s">
        <v>31</v>
      </c>
      <c r="C2" s="2" t="s">
        <v>56</v>
      </c>
      <c r="D2" s="21"/>
      <c r="E2" s="8"/>
      <c r="F2" s="8"/>
      <c r="G2" s="8"/>
      <c r="H2" s="8"/>
      <c r="I2" s="22"/>
      <c r="J2" s="91"/>
      <c r="K2" s="23"/>
      <c r="L2" s="24"/>
      <c r="M2" s="24"/>
      <c r="N2" s="24"/>
      <c r="O2" s="24"/>
      <c r="P2" s="24"/>
      <c r="Q2" s="24"/>
      <c r="R2" s="24"/>
      <c r="S2" s="24"/>
      <c r="T2" s="24"/>
      <c r="U2" s="24"/>
      <c r="V2" s="24"/>
      <c r="W2" s="24"/>
      <c r="X2" s="24"/>
      <c r="Y2" s="24"/>
      <c r="Z2" s="24"/>
      <c r="AA2" s="24"/>
      <c r="AB2" s="24"/>
      <c r="AC2" s="24"/>
      <c r="AD2" s="24"/>
      <c r="AE2" s="24"/>
      <c r="AF2" s="24"/>
      <c r="AG2" s="24"/>
      <c r="AH2" s="24"/>
      <c r="AI2" s="24"/>
    </row>
    <row r="3" spans="1:35" ht="13.5" customHeight="1" x14ac:dyDescent="0.2">
      <c r="A3" s="581"/>
      <c r="B3" s="2" t="s">
        <v>17</v>
      </c>
      <c r="C3" s="2" t="s">
        <v>57</v>
      </c>
      <c r="D3" s="21"/>
      <c r="E3" s="8"/>
      <c r="F3" s="21">
        <f>IF(G$1="suffix u",Rydberg!F3,IF(G$1="suffix B",Bohr!F3,IF(G$1="suffix e",Clock!F3,Clock_by_Rydberg!F3)))</f>
        <v>0.27235220594173376</v>
      </c>
      <c r="G3" s="21"/>
      <c r="H3" s="8">
        <v>-3</v>
      </c>
      <c r="I3" s="27">
        <f>F3/POWER(10,H3)</f>
        <v>272.35220594173376</v>
      </c>
      <c r="J3" s="92"/>
      <c r="K3" s="23"/>
      <c r="L3" s="82">
        <f>-LOG(F3)/(LOG(12)-LOG(10))</f>
        <v>7.1338748878587435</v>
      </c>
      <c r="M3" s="24"/>
      <c r="N3" s="83">
        <f>POWER(12,L3)*F3/POWER(10,L3)</f>
        <v>0.99999999999999667</v>
      </c>
      <c r="O3" s="24"/>
      <c r="P3" s="24"/>
      <c r="Q3" s="24"/>
      <c r="R3" s="24"/>
      <c r="S3" s="24"/>
      <c r="T3" s="24"/>
      <c r="U3" s="24"/>
      <c r="V3" s="24"/>
      <c r="W3" s="24"/>
      <c r="X3" s="24"/>
      <c r="Y3" s="24"/>
      <c r="Z3" s="24"/>
      <c r="AA3" s="24"/>
      <c r="AB3" s="24"/>
      <c r="AC3" s="24"/>
      <c r="AD3" s="24"/>
      <c r="AE3" s="24"/>
      <c r="AF3" s="24"/>
      <c r="AG3" s="24"/>
      <c r="AH3" s="24"/>
      <c r="AI3" s="24"/>
    </row>
    <row r="4" spans="1:35" ht="13.5" customHeight="1" x14ac:dyDescent="0.2">
      <c r="A4" s="581"/>
      <c r="B4" s="2" t="s">
        <v>15</v>
      </c>
      <c r="C4" s="2" t="s">
        <v>56</v>
      </c>
      <c r="D4" s="21"/>
      <c r="E4" s="8"/>
      <c r="F4" s="21">
        <f>IF(G$1="suffix u",Rydberg!F4,IF(G$1="suffix B",Bohr!F4,IF(G$1="suffix e",Clock!F4,Clock_by_Rydberg!F4)))</f>
        <v>0.39062511512603815</v>
      </c>
      <c r="G4" s="21"/>
      <c r="H4" s="8">
        <v>-3</v>
      </c>
      <c r="I4" s="27">
        <f t="shared" ref="I4:I15" si="0">F4/POWER(10,H4)</f>
        <v>390.62511512603811</v>
      </c>
      <c r="J4" s="92"/>
      <c r="K4" s="23"/>
      <c r="L4" s="82">
        <f t="shared" ref="L4:L15" si="1">-LOG(F4)/(LOG(12)-LOG(10))</f>
        <v>5.1557642458657673</v>
      </c>
      <c r="M4" s="24"/>
      <c r="N4" s="83">
        <f t="shared" ref="N4:N15" si="2">POWER(12,L4)*F4/POWER(10,L4)</f>
        <v>0.99999999999999856</v>
      </c>
      <c r="O4" s="24"/>
      <c r="P4" s="24"/>
      <c r="Q4" s="24"/>
      <c r="R4" s="24"/>
      <c r="S4" s="24"/>
      <c r="T4" s="24"/>
      <c r="U4" s="24"/>
      <c r="V4" s="24"/>
      <c r="W4" s="24"/>
      <c r="X4" s="24"/>
      <c r="Y4" s="24"/>
      <c r="Z4" s="24"/>
      <c r="AA4" s="24"/>
      <c r="AB4" s="24"/>
      <c r="AC4" s="24"/>
      <c r="AD4" s="24"/>
      <c r="AE4" s="24"/>
      <c r="AF4" s="24"/>
      <c r="AG4" s="24"/>
      <c r="AH4" s="24"/>
      <c r="AI4" s="24"/>
    </row>
    <row r="5" spans="1:35" ht="13.5" customHeight="1" x14ac:dyDescent="0.2">
      <c r="A5" s="581"/>
      <c r="B5" s="2" t="s">
        <v>18</v>
      </c>
      <c r="C5" s="2" t="s">
        <v>58</v>
      </c>
      <c r="D5" s="21"/>
      <c r="E5" s="8"/>
      <c r="F5" s="21">
        <f>IF(G$1="suffix u",Rydberg!F5,IF(G$1="suffix B",Bohr!F5,IF(G$1="suffix e",Clock!F5,Clock_by_Rydberg!F5)))</f>
        <v>6.4084556014581059E-2</v>
      </c>
      <c r="G5" s="21"/>
      <c r="H5" s="8">
        <v>-3</v>
      </c>
      <c r="I5" s="27">
        <f t="shared" si="0"/>
        <v>64.084556014581054</v>
      </c>
      <c r="J5" s="92"/>
      <c r="K5" s="23"/>
      <c r="L5" s="82">
        <f t="shared" si="1"/>
        <v>15.06981362055963</v>
      </c>
      <c r="M5" s="24"/>
      <c r="N5" s="83">
        <f t="shared" si="2"/>
        <v>0.999999999999994</v>
      </c>
      <c r="O5" s="24"/>
      <c r="P5" s="24"/>
      <c r="Q5" s="24"/>
      <c r="R5" s="24"/>
      <c r="S5" s="24"/>
      <c r="T5" s="24"/>
      <c r="U5" s="24"/>
      <c r="V5" s="24"/>
      <c r="W5" s="24"/>
      <c r="X5" s="24"/>
      <c r="Y5" s="24"/>
      <c r="Z5" s="24"/>
      <c r="AA5" s="24"/>
      <c r="AB5" s="24"/>
      <c r="AC5" s="24"/>
      <c r="AD5" s="24"/>
      <c r="AE5" s="24"/>
      <c r="AF5" s="24"/>
      <c r="AG5" s="24"/>
      <c r="AH5" s="24"/>
      <c r="AI5" s="24"/>
    </row>
    <row r="6" spans="1:35" ht="13.5" customHeight="1" x14ac:dyDescent="0.2">
      <c r="A6" s="581"/>
      <c r="B6" s="2" t="s">
        <v>19</v>
      </c>
      <c r="C6" s="2" t="s">
        <v>59</v>
      </c>
      <c r="D6" s="21"/>
      <c r="E6" s="8"/>
      <c r="F6" s="21">
        <f>IF(G$1="suffix u",Rydberg!F6,IF(G$1="suffix B",Bohr!F6,IF(G$1="suffix e",Clock!F6,Clock_by_Rydberg!F6)))</f>
        <v>5.8387541905853228E-5</v>
      </c>
      <c r="G6" s="21"/>
      <c r="H6" s="8">
        <v>0</v>
      </c>
      <c r="I6" s="27">
        <f t="shared" si="0"/>
        <v>5.8387541905853228E-5</v>
      </c>
      <c r="J6" s="92"/>
      <c r="K6" s="23"/>
      <c r="L6" s="82">
        <f t="shared" si="1"/>
        <v>53.468213994210103</v>
      </c>
      <c r="M6" s="24"/>
      <c r="N6" s="83">
        <f t="shared" si="2"/>
        <v>0.99999999999997857</v>
      </c>
      <c r="O6" s="24"/>
      <c r="P6" s="24"/>
      <c r="Q6" s="24"/>
      <c r="R6" s="24"/>
      <c r="S6" s="24"/>
      <c r="T6" s="24"/>
      <c r="U6" s="24"/>
      <c r="V6" s="24"/>
      <c r="W6" s="24"/>
      <c r="X6" s="24"/>
      <c r="Y6" s="24"/>
      <c r="Z6" s="24"/>
      <c r="AA6" s="24"/>
      <c r="AB6" s="24"/>
      <c r="AC6" s="24"/>
      <c r="AD6" s="24"/>
      <c r="AE6" s="24"/>
      <c r="AF6" s="24"/>
      <c r="AG6" s="24"/>
      <c r="AH6" s="24"/>
      <c r="AI6" s="24"/>
    </row>
    <row r="7" spans="1:35" ht="13.5" customHeight="1" x14ac:dyDescent="0.2">
      <c r="A7" s="581"/>
      <c r="B7" s="2" t="s">
        <v>16</v>
      </c>
      <c r="C7" s="2" t="s">
        <v>60</v>
      </c>
      <c r="D7" s="21"/>
      <c r="E7" s="8"/>
      <c r="F7" s="21">
        <f>IF(G$1="suffix u",Rydberg!F7,IF(G$1="suffix B",Bohr!F7,IF(G$1="suffix e",Clock!F7,Clock_by_Rydberg!F7)))</f>
        <v>132.00762049838045</v>
      </c>
      <c r="G7" s="21"/>
      <c r="H7" s="8">
        <v>0</v>
      </c>
      <c r="I7" s="27">
        <f t="shared" si="0"/>
        <v>132.00762049838045</v>
      </c>
      <c r="J7" s="92"/>
      <c r="K7" s="23"/>
      <c r="L7" s="82">
        <f t="shared" si="1"/>
        <v>-26.781581606866993</v>
      </c>
      <c r="M7" s="24"/>
      <c r="N7" s="83">
        <f t="shared" si="2"/>
        <v>1.0000000000000102</v>
      </c>
      <c r="O7" s="24"/>
      <c r="P7" s="24"/>
      <c r="Q7" s="24"/>
      <c r="R7" s="24"/>
      <c r="S7" s="24"/>
      <c r="T7" s="24"/>
      <c r="U7" s="24"/>
      <c r="V7" s="24"/>
      <c r="W7" s="24"/>
      <c r="X7" s="24"/>
      <c r="Y7" s="24"/>
      <c r="Z7" s="24"/>
      <c r="AA7" s="24"/>
      <c r="AB7" s="24"/>
      <c r="AC7" s="24"/>
      <c r="AD7" s="24"/>
      <c r="AE7" s="24"/>
      <c r="AF7" s="24"/>
      <c r="AG7" s="24"/>
      <c r="AH7" s="24"/>
      <c r="AI7" s="24"/>
    </row>
    <row r="8" spans="1:35" ht="13.5" customHeight="1" x14ac:dyDescent="0.2">
      <c r="A8" s="581"/>
      <c r="B8" s="2" t="s">
        <v>20</v>
      </c>
      <c r="C8" s="2" t="s">
        <v>215</v>
      </c>
      <c r="D8" s="21"/>
      <c r="E8" s="8"/>
      <c r="F8" s="21">
        <f>IF(G$1="suffix u",Rydberg!F8,IF(G$1="suffix B",Bohr!F8,IF(G$1="suffix e",Clock!F8,Clock_by_Rydberg!F8)))</f>
        <v>0.13182928928460486</v>
      </c>
      <c r="G8" s="21"/>
      <c r="H8" s="8">
        <v>-3</v>
      </c>
      <c r="I8" s="27">
        <f t="shared" si="0"/>
        <v>131.82928928460484</v>
      </c>
      <c r="J8" s="92"/>
      <c r="K8" s="23"/>
      <c r="L8" s="82">
        <f t="shared" si="1"/>
        <v>11.11359233657368</v>
      </c>
      <c r="M8" s="24"/>
      <c r="N8" s="83">
        <f t="shared" si="2"/>
        <v>0.999999999999994</v>
      </c>
      <c r="O8" s="24"/>
      <c r="P8" s="24"/>
      <c r="Q8" s="24"/>
      <c r="R8" s="24"/>
      <c r="S8" s="24"/>
      <c r="T8" s="24"/>
      <c r="U8" s="24"/>
      <c r="V8" s="24"/>
      <c r="W8" s="24"/>
      <c r="X8" s="24"/>
      <c r="Y8" s="24"/>
      <c r="Z8" s="24"/>
      <c r="AA8" s="24"/>
      <c r="AB8" s="24"/>
      <c r="AC8" s="24"/>
      <c r="AD8" s="24"/>
      <c r="AE8" s="24"/>
      <c r="AF8" s="24"/>
      <c r="AG8" s="24"/>
      <c r="AH8" s="24"/>
      <c r="AI8" s="24"/>
    </row>
    <row r="9" spans="1:35" ht="13.5" customHeight="1" x14ac:dyDescent="0.2">
      <c r="A9" s="581"/>
      <c r="B9" s="2" t="s">
        <v>21</v>
      </c>
      <c r="C9" s="2" t="s">
        <v>62</v>
      </c>
      <c r="D9" s="21"/>
      <c r="E9" s="8"/>
      <c r="F9" s="21">
        <f>IF(G$1="suffix u",Rydberg!F9,IF(G$1="suffix B",Bohr!F9,IF(G$1="suffix e",Clock!F9,Clock_by_Rydberg!F9)))</f>
        <v>0.16405641504618487</v>
      </c>
      <c r="G9" s="21"/>
      <c r="H9" s="8">
        <v>-3</v>
      </c>
      <c r="I9" s="27">
        <f t="shared" si="0"/>
        <v>164.05641504618487</v>
      </c>
      <c r="J9" s="92"/>
      <c r="K9" s="23"/>
      <c r="L9" s="82">
        <f t="shared" si="1"/>
        <v>9.914049374693862</v>
      </c>
      <c r="M9" s="24"/>
      <c r="N9" s="83">
        <f t="shared" si="2"/>
        <v>0.99999999999999556</v>
      </c>
      <c r="O9" s="24"/>
      <c r="P9" s="24"/>
      <c r="Q9" s="24"/>
      <c r="R9" s="24"/>
      <c r="S9" s="24"/>
      <c r="T9" s="24"/>
      <c r="U9" s="24"/>
      <c r="V9" s="24"/>
      <c r="W9" s="24"/>
      <c r="X9" s="24"/>
      <c r="Y9" s="24"/>
      <c r="Z9" s="24"/>
      <c r="AA9" s="24"/>
      <c r="AB9" s="24"/>
      <c r="AC9" s="24"/>
      <c r="AD9" s="24"/>
      <c r="AE9" s="24"/>
      <c r="AF9" s="24"/>
      <c r="AG9" s="24"/>
      <c r="AH9" s="24"/>
      <c r="AI9" s="24"/>
    </row>
    <row r="10" spans="1:35" ht="13.5" customHeight="1" x14ac:dyDescent="0.2">
      <c r="A10" s="581"/>
      <c r="B10" s="2" t="s">
        <v>22</v>
      </c>
      <c r="C10" s="2" t="s">
        <v>63</v>
      </c>
      <c r="D10" s="21"/>
      <c r="E10" s="8"/>
      <c r="F10" s="21">
        <f>IF(G$1="suffix u",Rydberg!F10,IF(G$1="suffix B",Bohr!F10,IF(G$1="suffix e",Clock!F10,Clock_by_Rydberg!F10)))</f>
        <v>0.23530030092097412</v>
      </c>
      <c r="G10" s="21"/>
      <c r="H10" s="8">
        <v>-3</v>
      </c>
      <c r="I10" s="27">
        <f t="shared" si="0"/>
        <v>235.30030092097411</v>
      </c>
      <c r="J10" s="92"/>
      <c r="K10" s="23"/>
      <c r="L10" s="82">
        <f t="shared" si="1"/>
        <v>7.9359387327008859</v>
      </c>
      <c r="M10" s="24"/>
      <c r="N10" s="83">
        <f t="shared" si="2"/>
        <v>0.99999999999999745</v>
      </c>
      <c r="O10" s="24"/>
      <c r="P10" s="24"/>
      <c r="Q10" s="24"/>
      <c r="R10" s="24"/>
      <c r="S10" s="24"/>
      <c r="T10" s="24"/>
      <c r="U10" s="24"/>
      <c r="V10" s="24"/>
      <c r="W10" s="24"/>
      <c r="X10" s="24"/>
      <c r="Y10" s="24"/>
      <c r="Z10" s="24"/>
      <c r="AA10" s="24"/>
      <c r="AB10" s="24"/>
      <c r="AC10" s="24"/>
      <c r="AD10" s="24"/>
      <c r="AE10" s="24"/>
      <c r="AF10" s="24"/>
      <c r="AG10" s="24"/>
      <c r="AH10" s="24"/>
      <c r="AI10" s="24"/>
    </row>
    <row r="11" spans="1:35" ht="13.5" customHeight="1" x14ac:dyDescent="0.2">
      <c r="A11" s="581"/>
      <c r="B11" s="2" t="s">
        <v>23</v>
      </c>
      <c r="C11" s="2" t="s">
        <v>216</v>
      </c>
      <c r="D11" s="21"/>
      <c r="E11" s="8"/>
      <c r="F11" s="21">
        <f>IF(G$1="suffix u",Rydberg!F11,IF(G$1="suffix B",Bohr!F11,IF(G$1="suffix e",Clock!F11,Clock_by_Rydberg!F11)))</f>
        <v>3.1722009300911389</v>
      </c>
      <c r="G11" s="21"/>
      <c r="H11" s="8">
        <v>0</v>
      </c>
      <c r="I11" s="27">
        <f t="shared" si="0"/>
        <v>3.1722009300911389</v>
      </c>
      <c r="J11" s="92"/>
      <c r="K11" s="23"/>
      <c r="L11" s="82">
        <f t="shared" si="1"/>
        <v>-6.3318110430166019</v>
      </c>
      <c r="M11" s="24"/>
      <c r="N11" s="83">
        <f t="shared" si="2"/>
        <v>1.0000000000000024</v>
      </c>
      <c r="O11" s="24"/>
      <c r="P11" s="24"/>
      <c r="Q11" s="24"/>
      <c r="R11" s="24"/>
      <c r="S11" s="24"/>
      <c r="T11" s="24"/>
      <c r="U11" s="24"/>
      <c r="V11" s="24"/>
      <c r="W11" s="24"/>
      <c r="X11" s="24"/>
      <c r="Y11" s="24"/>
      <c r="Z11" s="24"/>
      <c r="AA11" s="24"/>
      <c r="AB11" s="24"/>
      <c r="AC11" s="24"/>
      <c r="AD11" s="24"/>
      <c r="AE11" s="24"/>
      <c r="AF11" s="24"/>
      <c r="AG11" s="24"/>
      <c r="AH11" s="24"/>
      <c r="AI11" s="24"/>
    </row>
    <row r="12" spans="1:35" ht="13.5" customHeight="1" x14ac:dyDescent="0.2">
      <c r="A12" s="581"/>
      <c r="B12" s="2" t="s">
        <v>24</v>
      </c>
      <c r="C12" s="2" t="s">
        <v>65</v>
      </c>
      <c r="D12" s="21"/>
      <c r="E12" s="8"/>
      <c r="F12" s="21">
        <f>IF(G$1="suffix u",Rydberg!F12,IF(G$1="suffix B",Bohr!F12,IF(G$1="suffix e",Clock!F12,Clock_by_Rydberg!F12)))</f>
        <v>2.8896578276067276E-2</v>
      </c>
      <c r="G12" s="21"/>
      <c r="H12" s="8">
        <v>-3</v>
      </c>
      <c r="I12" s="27">
        <f t="shared" si="0"/>
        <v>28.896578276067274</v>
      </c>
      <c r="J12" s="92"/>
      <c r="K12" s="23"/>
      <c r="L12" s="82">
        <f t="shared" si="1"/>
        <v>19.438360180472873</v>
      </c>
      <c r="M12" s="24"/>
      <c r="N12" s="83">
        <f t="shared" si="2"/>
        <v>0.99999999999999867</v>
      </c>
      <c r="O12" s="24"/>
      <c r="P12" s="24"/>
      <c r="Q12" s="24"/>
      <c r="R12" s="24"/>
      <c r="S12" s="24"/>
      <c r="T12" s="24"/>
      <c r="U12" s="24"/>
      <c r="V12" s="24"/>
      <c r="W12" s="24"/>
      <c r="X12" s="24"/>
      <c r="Y12" s="24"/>
      <c r="Z12" s="24"/>
      <c r="AA12" s="24"/>
      <c r="AB12" s="24"/>
      <c r="AC12" s="24"/>
      <c r="AD12" s="24"/>
      <c r="AE12" s="24"/>
      <c r="AF12" s="24"/>
      <c r="AG12" s="24"/>
      <c r="AH12" s="24"/>
      <c r="AI12" s="24"/>
    </row>
    <row r="13" spans="1:35" ht="14.25" customHeight="1" x14ac:dyDescent="0.2">
      <c r="A13" s="581"/>
      <c r="B13" s="6" t="s">
        <v>25</v>
      </c>
      <c r="C13" s="6" t="s">
        <v>66</v>
      </c>
      <c r="D13" s="29"/>
      <c r="E13" s="30"/>
      <c r="F13" s="29">
        <f>IF(G$1="suffix u",Rydberg!F13,IF(G$1="suffix B",Bohr!F13,IF(G$1="suffix e",Clock!F13,Clock_by_Rydberg!F13)))</f>
        <v>7.3975218584559216E-2</v>
      </c>
      <c r="G13" s="29"/>
      <c r="H13" s="30">
        <v>-3</v>
      </c>
      <c r="I13" s="31">
        <f t="shared" si="0"/>
        <v>73.975218584559215</v>
      </c>
      <c r="J13" s="92"/>
      <c r="K13" s="23"/>
      <c r="L13" s="82">
        <f t="shared" si="1"/>
        <v>14.282595934607103</v>
      </c>
      <c r="M13" s="24"/>
      <c r="N13" s="83">
        <f t="shared" si="2"/>
        <v>0.99999999999999678</v>
      </c>
      <c r="O13" s="24"/>
      <c r="P13" s="24"/>
      <c r="Q13" s="24"/>
      <c r="R13" s="24"/>
      <c r="S13" s="24"/>
      <c r="T13" s="24"/>
      <c r="U13" s="24"/>
      <c r="V13" s="24"/>
      <c r="W13" s="24"/>
      <c r="X13" s="24"/>
      <c r="Y13" s="24"/>
      <c r="Z13" s="24"/>
      <c r="AA13" s="24"/>
      <c r="AB13" s="24"/>
      <c r="AC13" s="24"/>
      <c r="AD13" s="24"/>
      <c r="AE13" s="24"/>
      <c r="AF13" s="24"/>
      <c r="AG13" s="24"/>
      <c r="AH13" s="24"/>
      <c r="AI13" s="24"/>
    </row>
    <row r="14" spans="1:35" ht="14.25" customHeight="1" x14ac:dyDescent="0.2">
      <c r="A14" s="581"/>
      <c r="B14" s="2" t="s">
        <v>96</v>
      </c>
      <c r="C14" s="2" t="s">
        <v>214</v>
      </c>
      <c r="D14" s="21"/>
      <c r="E14" s="8"/>
      <c r="F14" s="21">
        <f>IF(G$1="suffix u",Rydberg!F16,IF(G$1="suffix B",Bohr!F16,IF(G$1="suffix e",Clock!F16,Clock_by_Rydberg!F16)))</f>
        <v>29.979245795870352</v>
      </c>
      <c r="G14" s="21"/>
      <c r="H14" s="8">
        <v>0</v>
      </c>
      <c r="I14" s="27">
        <f t="shared" si="0"/>
        <v>29.979245795870352</v>
      </c>
      <c r="J14" s="92"/>
      <c r="K14" s="23"/>
      <c r="L14" s="82">
        <f t="shared" si="1"/>
        <v>-18.651142493764809</v>
      </c>
      <c r="M14" s="24"/>
      <c r="N14" s="83">
        <f t="shared" si="2"/>
        <v>1.0000000000000011</v>
      </c>
      <c r="O14" s="24"/>
      <c r="P14" s="24"/>
      <c r="Q14" s="24"/>
      <c r="R14" s="24"/>
      <c r="S14" s="24"/>
      <c r="T14" s="24"/>
      <c r="U14" s="24"/>
      <c r="V14" s="24"/>
      <c r="W14" s="24"/>
      <c r="X14" s="24"/>
      <c r="Y14" s="24"/>
      <c r="Z14" s="24"/>
      <c r="AA14" s="24"/>
      <c r="AB14" s="24"/>
      <c r="AC14" s="24"/>
      <c r="AD14" s="24"/>
      <c r="AE14" s="24"/>
      <c r="AF14" s="24"/>
      <c r="AG14" s="24"/>
      <c r="AH14" s="24"/>
      <c r="AI14" s="24"/>
    </row>
    <row r="15" spans="1:35" ht="14.25" customHeight="1" thickBot="1" x14ac:dyDescent="0.25">
      <c r="A15" s="582"/>
      <c r="B15" s="4" t="s">
        <v>77</v>
      </c>
      <c r="C15" s="4" t="s">
        <v>217</v>
      </c>
      <c r="D15" s="32"/>
      <c r="E15" s="33"/>
      <c r="F15" s="32">
        <f>IF(G$1="suffix u",Rydberg!F17,IF(G$1="suffix B",Bohr!F17,IF(G$1="suffix e",Clock!F17,Clock_by_Rydberg!F17)))</f>
        <v>2.2177212607497374</v>
      </c>
      <c r="G15" s="32"/>
      <c r="H15" s="33">
        <v>0</v>
      </c>
      <c r="I15" s="95">
        <f t="shared" si="0"/>
        <v>2.2177212607497374</v>
      </c>
      <c r="J15" s="93"/>
      <c r="K15" s="23"/>
      <c r="L15" s="82">
        <f t="shared" si="1"/>
        <v>-4.3685465591577062</v>
      </c>
      <c r="M15" s="24"/>
      <c r="N15" s="83">
        <f t="shared" si="2"/>
        <v>1.0000000000000018</v>
      </c>
      <c r="O15" s="24"/>
      <c r="P15" s="24"/>
      <c r="Q15" s="24"/>
      <c r="R15" s="24"/>
      <c r="S15" s="24"/>
      <c r="T15" s="24"/>
      <c r="U15" s="24"/>
      <c r="V15" s="24"/>
      <c r="W15" s="24"/>
      <c r="X15" s="24"/>
      <c r="Y15" s="24"/>
      <c r="Z15" s="24"/>
      <c r="AA15" s="24"/>
      <c r="AB15" s="24"/>
      <c r="AC15" s="24"/>
      <c r="AD15" s="24"/>
      <c r="AE15" s="24"/>
      <c r="AF15" s="24"/>
      <c r="AG15" s="24"/>
      <c r="AH15" s="24"/>
      <c r="AI15" s="24"/>
    </row>
    <row r="16" spans="1:35" ht="11.25" customHeight="1" x14ac:dyDescent="0.2">
      <c r="A16" s="580" t="s">
        <v>201</v>
      </c>
      <c r="B16" s="17" t="s">
        <v>42</v>
      </c>
      <c r="C16" s="18" t="s">
        <v>95</v>
      </c>
      <c r="D16" s="17" t="s">
        <v>43</v>
      </c>
      <c r="E16" s="18" t="s">
        <v>54</v>
      </c>
      <c r="F16" s="17" t="s">
        <v>47</v>
      </c>
      <c r="G16" s="17" t="s">
        <v>45</v>
      </c>
      <c r="H16" s="575" t="s">
        <v>80</v>
      </c>
      <c r="I16" s="659"/>
      <c r="J16" s="90" t="s">
        <v>528</v>
      </c>
      <c r="K16" s="35">
        <v>0</v>
      </c>
      <c r="L16" s="36"/>
      <c r="M16" s="36">
        <f>K16+1</f>
        <v>1</v>
      </c>
      <c r="N16" s="36"/>
      <c r="O16" s="36">
        <f>M16+1</f>
        <v>2</v>
      </c>
      <c r="P16" s="36"/>
      <c r="Q16" s="36">
        <f>O16+1</f>
        <v>3</v>
      </c>
      <c r="R16" s="36"/>
      <c r="S16" s="36">
        <f>Q16+1</f>
        <v>4</v>
      </c>
      <c r="T16" s="36"/>
      <c r="U16" s="36">
        <f>S16+1</f>
        <v>5</v>
      </c>
      <c r="V16" s="36"/>
      <c r="W16" s="36">
        <f>U16+1</f>
        <v>6</v>
      </c>
      <c r="X16" s="36"/>
      <c r="Y16" s="36">
        <f>W16+1</f>
        <v>7</v>
      </c>
      <c r="Z16" s="36"/>
      <c r="AA16" s="36">
        <f>Y16+1</f>
        <v>8</v>
      </c>
      <c r="AB16" s="36"/>
      <c r="AC16" s="36">
        <f>AA16+1</f>
        <v>9</v>
      </c>
      <c r="AD16" s="36"/>
      <c r="AE16" s="36">
        <f>AC16+1</f>
        <v>10</v>
      </c>
      <c r="AF16" s="36"/>
      <c r="AG16" s="36">
        <f>AE16+1</f>
        <v>11</v>
      </c>
      <c r="AH16" s="36"/>
      <c r="AI16" s="36">
        <f>AG16+1</f>
        <v>12</v>
      </c>
    </row>
    <row r="17" spans="1:35" ht="14.25" customHeight="1" x14ac:dyDescent="0.2">
      <c r="A17" s="581"/>
      <c r="B17" s="2" t="s">
        <v>118</v>
      </c>
      <c r="C17" s="2" t="s">
        <v>119</v>
      </c>
      <c r="D17" s="8">
        <v>0.30480000000000002</v>
      </c>
      <c r="E17" s="8">
        <v>9</v>
      </c>
      <c r="F17" s="8">
        <f>D17/F$3</f>
        <v>1.1191390903042953</v>
      </c>
      <c r="G17" s="37" t="str">
        <f>K17&amp;";"&amp;M17&amp;O17&amp;Q17&amp;S17&amp;U17&amp;W17&amp;Y17&amp;AA17&amp;AC17&amp;AE17&amp;AG17&amp;AI17</f>
        <v>1;151X57501</v>
      </c>
      <c r="H17" s="38">
        <v>0</v>
      </c>
      <c r="I17" s="39">
        <f t="shared" ref="I17:I30" si="3">F17/POWER(12,H17)</f>
        <v>1.1191390903042953</v>
      </c>
      <c r="J17" s="94" t="str">
        <f>INDEX(powers!$H$2:$H$75,33+H17)</f>
        <v xml:space="preserve"> </v>
      </c>
      <c r="K17" s="40" t="str">
        <f t="shared" ref="K17:K20" si="4">IF($E17&gt;=K$16,MID($H$16,IF($E17&gt;K$16,INT(I17),ROUND(I17,0))+1,1),"")</f>
        <v>1</v>
      </c>
      <c r="L17" s="24">
        <f>(I17-INT(I17))*12</f>
        <v>1.4296690836515431</v>
      </c>
      <c r="M17" s="41" t="str">
        <f t="shared" ref="M17:M20" si="5">IF($E17&gt;=M$16,MID($H$16,IF($E17&gt;M$16,INT(L17),ROUND(L17,0))+1,1),"")</f>
        <v>1</v>
      </c>
      <c r="N17" s="24">
        <f>(L17-INT(L17))*12</f>
        <v>5.1560290038185173</v>
      </c>
      <c r="O17" s="41" t="str">
        <f t="shared" ref="O17:O20" si="6">IF($E17&gt;=O$16,MID($H$16,IF($E17&gt;O$16,INT(N17),ROUND(N17,0))+1,1),"")</f>
        <v>5</v>
      </c>
      <c r="P17" s="24">
        <f>(N17-INT(N17))*12</f>
        <v>1.872348045822207</v>
      </c>
      <c r="Q17" s="41" t="str">
        <f t="shared" ref="Q17:Q20" si="7">IF($E17&gt;=Q$16,MID($H$16,IF($E17&gt;Q$16,INT(P17),ROUND(P17,0))+1,1),"")</f>
        <v>1</v>
      </c>
      <c r="R17" s="24">
        <f>(P17-INT(P17))*12</f>
        <v>10.468176549866484</v>
      </c>
      <c r="S17" s="41" t="str">
        <f t="shared" ref="S17:S20" si="8">IF($E17&gt;=S$16,MID($H$16,IF($E17&gt;S$16,INT(R17),ROUND(R17,0))+1,1),"")</f>
        <v>X</v>
      </c>
      <c r="T17" s="24">
        <f>(R17-INT(R17))*12</f>
        <v>5.6181185983978139</v>
      </c>
      <c r="U17" s="41" t="str">
        <f t="shared" ref="U17:U20" si="9">IF($E17&gt;=U$16,MID($H$16,IF($E17&gt;U$16,INT(T17),ROUND(T17,0))+1,1),"")</f>
        <v>5</v>
      </c>
      <c r="V17" s="24">
        <f>(T17-INT(T17))*12</f>
        <v>7.4174231807737669</v>
      </c>
      <c r="W17" s="41" t="str">
        <f t="shared" ref="W17:W20" si="10">IF($E17&gt;=W$16,MID($H$16,IF($E17&gt;W$16,INT(V17),ROUND(V17,0))+1,1),"")</f>
        <v>7</v>
      </c>
      <c r="X17" s="24">
        <f>(V17-INT(V17))*12</f>
        <v>5.0090781692852033</v>
      </c>
      <c r="Y17" s="41" t="str">
        <f t="shared" ref="Y17:Y20" si="11">IF($E17&gt;=Y$16,MID($H$16,IF($E17&gt;Y$16,INT(X17),ROUND(X17,0))+1,1),"")</f>
        <v>5</v>
      </c>
      <c r="Z17" s="24">
        <f>(X17-INT(X17))*12</f>
        <v>0.10893803142243996</v>
      </c>
      <c r="AA17" s="41" t="str">
        <f t="shared" ref="AA17:AA20" si="12">IF($E17&gt;=AA$16,MID($H$16,IF($E17&gt;AA$16,INT(Z17),ROUND(Z17,0))+1,1),"")</f>
        <v>0</v>
      </c>
      <c r="AB17" s="24">
        <f>(Z17-INT(Z17))*12</f>
        <v>1.3072563770692796</v>
      </c>
      <c r="AC17" s="41" t="str">
        <f t="shared" ref="AC17:AC20" si="13">IF($E17&gt;=AC$16,MID($H$16,IF($E17&gt;AC$16,INT(AB17),ROUND(AB17,0))+1,1),"")</f>
        <v>1</v>
      </c>
      <c r="AD17" s="24">
        <f>(AB17-INT(AB17))*12</f>
        <v>3.6870765248313546</v>
      </c>
      <c r="AE17" s="41" t="str">
        <f t="shared" ref="AE17:AE20" si="14">IF($E17&gt;=AE$16,MID($H$16,IF($E17&gt;AE$16,INT(AD17),ROUND(AD17,0))+1,1),"")</f>
        <v/>
      </c>
      <c r="AF17" s="24">
        <f>(AD17-INT(AD17))*12</f>
        <v>8.2449182979762554</v>
      </c>
      <c r="AG17" s="41" t="str">
        <f t="shared" ref="AG17:AG20" si="15">IF($E17&gt;=AG$16,MID($H$16,IF($E17&gt;AG$16,INT(AF17),ROUND(AF17,0))+1,1),"")</f>
        <v/>
      </c>
      <c r="AH17" s="24">
        <f>(AF17-INT(AF17))*12</f>
        <v>2.939019575715065</v>
      </c>
      <c r="AI17" s="41" t="str">
        <f t="shared" ref="AI17:AI20" si="16">IF($E17&gt;=AI$16,MID($H$16,IF($E17&gt;AI$16,INT(AH17),ROUND(AH17,0))+1,1),"")</f>
        <v/>
      </c>
    </row>
    <row r="18" spans="1:35" ht="15" customHeight="1" x14ac:dyDescent="0.2">
      <c r="A18" s="581"/>
      <c r="B18" s="3" t="s">
        <v>120</v>
      </c>
      <c r="C18" s="3" t="s">
        <v>121</v>
      </c>
      <c r="D18" s="8">
        <f>1/D17</f>
        <v>3.280839895013123</v>
      </c>
      <c r="E18" s="8">
        <v>9</v>
      </c>
      <c r="F18" s="38">
        <f>1/F17</f>
        <v>0.89354398274847036</v>
      </c>
      <c r="G18" s="21" t="str">
        <f t="shared" ref="G18:G20" si="17">K18&amp;";"&amp;M18&amp;O18&amp;Q18&amp;S18&amp;U18&amp;W18&amp;Y18&amp;AA18&amp;AC18&amp;AE18&amp;AG18&amp;AI18</f>
        <v>0;X88064052</v>
      </c>
      <c r="H18" s="8">
        <v>0</v>
      </c>
      <c r="I18" s="39">
        <f t="shared" si="3"/>
        <v>0.89354398274847036</v>
      </c>
      <c r="J18" s="94" t="str">
        <f>INDEX(powers!$H$2:$H$75,33+H18)</f>
        <v xml:space="preserve"> </v>
      </c>
      <c r="K18" s="40" t="str">
        <f t="shared" si="4"/>
        <v>0</v>
      </c>
      <c r="L18" s="24">
        <f t="shared" ref="L18:L20" si="18">(I18-INT(I18))*12</f>
        <v>10.722527792981644</v>
      </c>
      <c r="M18" s="41" t="str">
        <f t="shared" si="5"/>
        <v>X</v>
      </c>
      <c r="N18" s="24">
        <f t="shared" ref="N18:N20" si="19">(L18-INT(L18))*12</f>
        <v>8.6703335157797312</v>
      </c>
      <c r="O18" s="41" t="str">
        <f t="shared" si="6"/>
        <v>8</v>
      </c>
      <c r="P18" s="24">
        <f t="shared" ref="P18:P20" si="20">(N18-INT(N18))*12</f>
        <v>8.0440021893567746</v>
      </c>
      <c r="Q18" s="41" t="str">
        <f t="shared" si="7"/>
        <v>8</v>
      </c>
      <c r="R18" s="24">
        <f t="shared" ref="R18:R20" si="21">(P18-INT(P18))*12</f>
        <v>0.52802627228129495</v>
      </c>
      <c r="S18" s="41" t="str">
        <f t="shared" si="8"/>
        <v>0</v>
      </c>
      <c r="T18" s="24">
        <f t="shared" ref="T18:T20" si="22">(R18-INT(R18))*12</f>
        <v>6.3363152673755394</v>
      </c>
      <c r="U18" s="41" t="str">
        <f t="shared" si="9"/>
        <v>6</v>
      </c>
      <c r="V18" s="24">
        <f t="shared" ref="V18:V20" si="23">(T18-INT(T18))*12</f>
        <v>4.0357832085064729</v>
      </c>
      <c r="W18" s="41" t="str">
        <f t="shared" si="10"/>
        <v>4</v>
      </c>
      <c r="X18" s="24">
        <f t="shared" ref="X18:X20" si="24">(V18-INT(V18))*12</f>
        <v>0.42939850207767449</v>
      </c>
      <c r="Y18" s="41" t="str">
        <f t="shared" si="11"/>
        <v>0</v>
      </c>
      <c r="Z18" s="24">
        <f t="shared" ref="Z18:Z20" si="25">(X18-INT(X18))*12</f>
        <v>5.1527820249320939</v>
      </c>
      <c r="AA18" s="41" t="str">
        <f t="shared" si="12"/>
        <v>5</v>
      </c>
      <c r="AB18" s="24">
        <f t="shared" ref="AB18:AB20" si="26">(Z18-INT(Z18))*12</f>
        <v>1.833384299185127</v>
      </c>
      <c r="AC18" s="41" t="str">
        <f t="shared" si="13"/>
        <v>2</v>
      </c>
      <c r="AD18" s="24">
        <f t="shared" ref="AD18:AD20" si="27">(AB18-INT(AB18))*12</f>
        <v>10.000611590221524</v>
      </c>
      <c r="AE18" s="41" t="str">
        <f t="shared" si="14"/>
        <v/>
      </c>
      <c r="AF18" s="24">
        <f t="shared" ref="AF18:AF20" si="28">(AD18-INT(AD18))*12</f>
        <v>7.339082658290863E-3</v>
      </c>
      <c r="AG18" s="41" t="str">
        <f t="shared" si="15"/>
        <v/>
      </c>
      <c r="AH18" s="24">
        <f t="shared" ref="AH18:AH20" si="29">(AF18-INT(AF18))*12</f>
        <v>8.8068991899490356E-2</v>
      </c>
      <c r="AI18" s="41" t="str">
        <f t="shared" si="16"/>
        <v/>
      </c>
    </row>
    <row r="19" spans="1:35" ht="15" customHeight="1" x14ac:dyDescent="0.2">
      <c r="A19" s="581"/>
      <c r="B19" s="3" t="s">
        <v>122</v>
      </c>
      <c r="C19" s="3" t="s">
        <v>123</v>
      </c>
      <c r="D19" s="8">
        <f>D17*D17</f>
        <v>9.2903040000000006E-2</v>
      </c>
      <c r="E19" s="8">
        <v>9</v>
      </c>
      <c r="F19" s="8">
        <f>F17*F17</f>
        <v>1.2524723034471255</v>
      </c>
      <c r="G19" s="37" t="str">
        <f t="shared" si="17"/>
        <v>1;304332313</v>
      </c>
      <c r="H19" s="38">
        <v>0</v>
      </c>
      <c r="I19" s="39">
        <f t="shared" si="3"/>
        <v>1.2524723034471255</v>
      </c>
      <c r="J19" s="94" t="str">
        <f>INDEX(powers!$H$2:$H$75,33+H19)</f>
        <v xml:space="preserve"> </v>
      </c>
      <c r="K19" s="40" t="str">
        <f t="shared" si="4"/>
        <v>1</v>
      </c>
      <c r="L19" s="24">
        <f t="shared" si="18"/>
        <v>3.0296676413655055</v>
      </c>
      <c r="M19" s="41" t="str">
        <f t="shared" si="5"/>
        <v>3</v>
      </c>
      <c r="N19" s="24">
        <f t="shared" si="19"/>
        <v>0.35601169638606578</v>
      </c>
      <c r="O19" s="41" t="str">
        <f t="shared" si="6"/>
        <v>0</v>
      </c>
      <c r="P19" s="24">
        <f t="shared" si="20"/>
        <v>4.2721403566327893</v>
      </c>
      <c r="Q19" s="41" t="str">
        <f t="shared" si="7"/>
        <v>4</v>
      </c>
      <c r="R19" s="24">
        <f t="shared" si="21"/>
        <v>3.2656842795934722</v>
      </c>
      <c r="S19" s="41" t="str">
        <f t="shared" si="8"/>
        <v>3</v>
      </c>
      <c r="T19" s="24">
        <f t="shared" si="22"/>
        <v>3.1882113551216662</v>
      </c>
      <c r="U19" s="41" t="str">
        <f t="shared" si="9"/>
        <v>3</v>
      </c>
      <c r="V19" s="24">
        <f t="shared" si="23"/>
        <v>2.2585362614599944</v>
      </c>
      <c r="W19" s="41" t="str">
        <f t="shared" si="10"/>
        <v>2</v>
      </c>
      <c r="X19" s="24">
        <f t="shared" si="24"/>
        <v>3.1024351375199331</v>
      </c>
      <c r="Y19" s="41" t="str">
        <f t="shared" si="11"/>
        <v>3</v>
      </c>
      <c r="Z19" s="24">
        <f t="shared" si="25"/>
        <v>1.2292216502391966</v>
      </c>
      <c r="AA19" s="41" t="str">
        <f t="shared" si="12"/>
        <v>1</v>
      </c>
      <c r="AB19" s="24">
        <f t="shared" si="26"/>
        <v>2.7506598028703593</v>
      </c>
      <c r="AC19" s="41" t="str">
        <f t="shared" si="13"/>
        <v>3</v>
      </c>
      <c r="AD19" s="24">
        <f t="shared" si="27"/>
        <v>9.0079176344443113</v>
      </c>
      <c r="AE19" s="41" t="str">
        <f t="shared" si="14"/>
        <v/>
      </c>
      <c r="AF19" s="24">
        <f t="shared" si="28"/>
        <v>9.5011613331735134E-2</v>
      </c>
      <c r="AG19" s="41" t="str">
        <f t="shared" si="15"/>
        <v/>
      </c>
      <c r="AH19" s="24">
        <f t="shared" si="29"/>
        <v>1.1401393599808216</v>
      </c>
      <c r="AI19" s="41" t="str">
        <f t="shared" si="16"/>
        <v/>
      </c>
    </row>
    <row r="20" spans="1:35" ht="15" customHeight="1" x14ac:dyDescent="0.2">
      <c r="A20" s="581"/>
      <c r="B20" s="3" t="s">
        <v>124</v>
      </c>
      <c r="C20" s="3" t="s">
        <v>125</v>
      </c>
      <c r="D20" s="8">
        <f>1/D19</f>
        <v>10.763910416709722</v>
      </c>
      <c r="E20" s="8">
        <v>9</v>
      </c>
      <c r="F20" s="38">
        <f>1/F19</f>
        <v>0.79842084910599875</v>
      </c>
      <c r="G20" s="21" t="str">
        <f t="shared" si="17"/>
        <v>0;96E807X6X</v>
      </c>
      <c r="H20" s="8">
        <v>0</v>
      </c>
      <c r="I20" s="39">
        <f t="shared" si="3"/>
        <v>0.79842084910599875</v>
      </c>
      <c r="J20" s="94" t="str">
        <f>INDEX(powers!$H$2:$H$75,33+H20)</f>
        <v xml:space="preserve"> </v>
      </c>
      <c r="K20" s="40" t="str">
        <f t="shared" si="4"/>
        <v>0</v>
      </c>
      <c r="L20" s="24">
        <f t="shared" si="18"/>
        <v>9.5810501892719842</v>
      </c>
      <c r="M20" s="41" t="str">
        <f t="shared" si="5"/>
        <v>9</v>
      </c>
      <c r="N20" s="24">
        <f t="shared" si="19"/>
        <v>6.9726022712638098</v>
      </c>
      <c r="O20" s="41" t="str">
        <f t="shared" si="6"/>
        <v>6</v>
      </c>
      <c r="P20" s="24">
        <f t="shared" si="20"/>
        <v>11.671227255165718</v>
      </c>
      <c r="Q20" s="41" t="str">
        <f t="shared" si="7"/>
        <v>E</v>
      </c>
      <c r="R20" s="24">
        <f t="shared" si="21"/>
        <v>8.0547270619886149</v>
      </c>
      <c r="S20" s="41" t="str">
        <f t="shared" si="8"/>
        <v>8</v>
      </c>
      <c r="T20" s="24">
        <f t="shared" si="22"/>
        <v>0.65672474386337854</v>
      </c>
      <c r="U20" s="41" t="str">
        <f t="shared" si="9"/>
        <v>0</v>
      </c>
      <c r="V20" s="24">
        <f t="shared" si="23"/>
        <v>7.8806969263605424</v>
      </c>
      <c r="W20" s="41" t="str">
        <f t="shared" si="10"/>
        <v>7</v>
      </c>
      <c r="X20" s="24">
        <f t="shared" si="24"/>
        <v>10.568363116326509</v>
      </c>
      <c r="Y20" s="41" t="str">
        <f t="shared" si="11"/>
        <v>X</v>
      </c>
      <c r="Z20" s="24">
        <f t="shared" si="25"/>
        <v>6.8203573959181085</v>
      </c>
      <c r="AA20" s="41" t="str">
        <f t="shared" si="12"/>
        <v>6</v>
      </c>
      <c r="AB20" s="24">
        <f t="shared" si="26"/>
        <v>9.8442887510173023</v>
      </c>
      <c r="AC20" s="41" t="str">
        <f t="shared" si="13"/>
        <v>X</v>
      </c>
      <c r="AD20" s="24">
        <f t="shared" si="27"/>
        <v>10.131465012207627</v>
      </c>
      <c r="AE20" s="41" t="str">
        <f t="shared" si="14"/>
        <v/>
      </c>
      <c r="AF20" s="24">
        <f t="shared" si="28"/>
        <v>1.5775801464915276</v>
      </c>
      <c r="AG20" s="41" t="str">
        <f t="shared" si="15"/>
        <v/>
      </c>
      <c r="AH20" s="24">
        <f t="shared" si="29"/>
        <v>6.9309617578983307</v>
      </c>
      <c r="AI20" s="41" t="str">
        <f t="shared" si="16"/>
        <v/>
      </c>
    </row>
    <row r="21" spans="1:35" ht="15" customHeight="1" x14ac:dyDescent="0.2">
      <c r="A21" s="581"/>
      <c r="B21" s="3" t="s">
        <v>126</v>
      </c>
      <c r="C21" s="3" t="s">
        <v>128</v>
      </c>
      <c r="D21" s="8">
        <f>D19*D17</f>
        <v>2.8316846592000004E-2</v>
      </c>
      <c r="E21" s="8">
        <v>9</v>
      </c>
      <c r="F21" s="8">
        <f>F19*F17</f>
        <v>1.4016907143111412</v>
      </c>
      <c r="G21" s="37" t="str">
        <f t="shared" ref="G21:G22" si="30">K21&amp;";"&amp;M21&amp;O21&amp;Q21&amp;S21&amp;U21&amp;W21&amp;Y21&amp;AA21&amp;AC21&amp;AE21&amp;AG21&amp;AI21</f>
        <v>1;49X156067</v>
      </c>
      <c r="H21" s="38">
        <v>0</v>
      </c>
      <c r="I21" s="39">
        <f t="shared" si="3"/>
        <v>1.4016907143111412</v>
      </c>
      <c r="J21" s="94" t="str">
        <f>INDEX(powers!$H$2:$H$75,33+H21)</f>
        <v xml:space="preserve"> </v>
      </c>
      <c r="K21" s="40" t="str">
        <f t="shared" ref="K21:K28" si="31">IF($E21&gt;=K$16,MID($H$16,IF($E21&gt;K$16,INT(I21),ROUND(I21,0))+1,1),"")</f>
        <v>1</v>
      </c>
      <c r="L21" s="24">
        <f t="shared" ref="L21:L22" si="32">(I21-INT(I21))*12</f>
        <v>4.8202885717336947</v>
      </c>
      <c r="M21" s="41" t="str">
        <f t="shared" ref="M21:M28" si="33">IF($E21&gt;=M$16,MID($H$16,IF($E21&gt;M$16,INT(L21),ROUND(L21,0))+1,1),"")</f>
        <v>4</v>
      </c>
      <c r="N21" s="24">
        <f t="shared" ref="N21:N22" si="34">(L21-INT(L21))*12</f>
        <v>9.8434628608043369</v>
      </c>
      <c r="O21" s="41" t="str">
        <f t="shared" ref="O21:O28" si="35">IF($E21&gt;=O$16,MID($H$16,IF($E21&gt;O$16,INT(N21),ROUND(N21,0))+1,1),"")</f>
        <v>9</v>
      </c>
      <c r="P21" s="24">
        <f t="shared" ref="P21:P22" si="36">(N21-INT(N21))*12</f>
        <v>10.121554329652042</v>
      </c>
      <c r="Q21" s="41" t="str">
        <f t="shared" ref="Q21:Q28" si="37">IF($E21&gt;=Q$16,MID($H$16,IF($E21&gt;Q$16,INT(P21),ROUND(P21,0))+1,1),"")</f>
        <v>X</v>
      </c>
      <c r="R21" s="24">
        <f t="shared" ref="R21:R22" si="38">(P21-INT(P21))*12</f>
        <v>1.4586519558245072</v>
      </c>
      <c r="S21" s="41" t="str">
        <f t="shared" ref="S21:S28" si="39">IF($E21&gt;=S$16,MID($H$16,IF($E21&gt;S$16,INT(R21),ROUND(R21,0))+1,1),"")</f>
        <v>1</v>
      </c>
      <c r="T21" s="24">
        <f t="shared" ref="T21:T22" si="40">(R21-INT(R21))*12</f>
        <v>5.5038234698940869</v>
      </c>
      <c r="U21" s="41" t="str">
        <f t="shared" ref="U21:U28" si="41">IF($E21&gt;=U$16,MID($H$16,IF($E21&gt;U$16,INT(T21),ROUND(T21,0))+1,1),"")</f>
        <v>5</v>
      </c>
      <c r="V21" s="24">
        <f t="shared" ref="V21:V22" si="42">(T21-INT(T21))*12</f>
        <v>6.0458816387290426</v>
      </c>
      <c r="W21" s="41" t="str">
        <f t="shared" ref="W21:W28" si="43">IF($E21&gt;=W$16,MID($H$16,IF($E21&gt;W$16,INT(V21),ROUND(V21,0))+1,1),"")</f>
        <v>6</v>
      </c>
      <c r="X21" s="24">
        <f t="shared" ref="X21:X22" si="44">(V21-INT(V21))*12</f>
        <v>0.55057966474851128</v>
      </c>
      <c r="Y21" s="41" t="str">
        <f t="shared" ref="Y21:Y28" si="45">IF($E21&gt;=Y$16,MID($H$16,IF($E21&gt;Y$16,INT(X21),ROUND(X21,0))+1,1),"")</f>
        <v>0</v>
      </c>
      <c r="Z21" s="24">
        <f t="shared" ref="Z21:Z22" si="46">(X21-INT(X21))*12</f>
        <v>6.6069559769821353</v>
      </c>
      <c r="AA21" s="41" t="str">
        <f t="shared" ref="AA21:AA28" si="47">IF($E21&gt;=AA$16,MID($H$16,IF($E21&gt;AA$16,INT(Z21),ROUND(Z21,0))+1,1),"")</f>
        <v>6</v>
      </c>
      <c r="AB21" s="24">
        <f t="shared" ref="AB21:AB22" si="48">(Z21-INT(Z21))*12</f>
        <v>7.2834717237856239</v>
      </c>
      <c r="AC21" s="41" t="str">
        <f t="shared" ref="AC21:AC28" si="49">IF($E21&gt;=AC$16,MID($H$16,IF($E21&gt;AC$16,INT(AB21),ROUND(AB21,0))+1,1),"")</f>
        <v>7</v>
      </c>
      <c r="AD21" s="24">
        <f t="shared" ref="AD21:AD22" si="50">(AB21-INT(AB21))*12</f>
        <v>3.4016606854274869</v>
      </c>
      <c r="AE21" s="41" t="str">
        <f t="shared" ref="AE21:AE28" si="51">IF($E21&gt;=AE$16,MID($H$16,IF($E21&gt;AE$16,INT(AD21),ROUND(AD21,0))+1,1),"")</f>
        <v/>
      </c>
      <c r="AF21" s="24">
        <f t="shared" ref="AF21:AF22" si="52">(AD21-INT(AD21))*12</f>
        <v>4.8199282251298428</v>
      </c>
      <c r="AG21" s="41" t="str">
        <f t="shared" ref="AG21:AG28" si="53">IF($E21&gt;=AG$16,MID($H$16,IF($E21&gt;AG$16,INT(AF21),ROUND(AF21,0))+1,1),"")</f>
        <v/>
      </c>
      <c r="AH21" s="24">
        <f t="shared" ref="AH21:AH22" si="54">(AF21-INT(AF21))*12</f>
        <v>9.8391387015581131</v>
      </c>
      <c r="AI21" s="41" t="str">
        <f t="shared" ref="AI21:AI28" si="55">IF($E21&gt;=AI$16,MID($H$16,IF($E21&gt;AI$16,INT(AH21),ROUND(AH21,0))+1,1),"")</f>
        <v/>
      </c>
    </row>
    <row r="22" spans="1:35" ht="15" customHeight="1" x14ac:dyDescent="0.2">
      <c r="A22" s="581"/>
      <c r="B22" s="3" t="s">
        <v>127</v>
      </c>
      <c r="C22" s="3" t="s">
        <v>129</v>
      </c>
      <c r="D22" s="8">
        <f>1/D21</f>
        <v>35.314666721488585</v>
      </c>
      <c r="E22" s="8">
        <v>9</v>
      </c>
      <c r="F22" s="38">
        <f>1/F21</f>
        <v>0.71342414541958954</v>
      </c>
      <c r="G22" s="21" t="str">
        <f t="shared" si="30"/>
        <v>0;868969100</v>
      </c>
      <c r="H22" s="8">
        <v>0</v>
      </c>
      <c r="I22" s="39">
        <f t="shared" si="3"/>
        <v>0.71342414541958954</v>
      </c>
      <c r="J22" s="94" t="str">
        <f>INDEX(powers!$H$2:$H$75,33+H22)</f>
        <v xml:space="preserve"> </v>
      </c>
      <c r="K22" s="40" t="str">
        <f t="shared" si="31"/>
        <v>0</v>
      </c>
      <c r="L22" s="24">
        <f t="shared" si="32"/>
        <v>8.5610897450350745</v>
      </c>
      <c r="M22" s="41" t="str">
        <f t="shared" si="33"/>
        <v>8</v>
      </c>
      <c r="N22" s="24">
        <f t="shared" si="34"/>
        <v>6.7330769404208937</v>
      </c>
      <c r="O22" s="41" t="str">
        <f t="shared" si="35"/>
        <v>6</v>
      </c>
      <c r="P22" s="24">
        <f t="shared" si="36"/>
        <v>8.796923285050724</v>
      </c>
      <c r="Q22" s="41" t="str">
        <f t="shared" si="37"/>
        <v>8</v>
      </c>
      <c r="R22" s="24">
        <f t="shared" si="38"/>
        <v>9.5630794206086875</v>
      </c>
      <c r="S22" s="41" t="str">
        <f t="shared" si="39"/>
        <v>9</v>
      </c>
      <c r="T22" s="24">
        <f t="shared" si="40"/>
        <v>6.7569530473042505</v>
      </c>
      <c r="U22" s="41" t="str">
        <f t="shared" si="41"/>
        <v>6</v>
      </c>
      <c r="V22" s="24">
        <f t="shared" si="42"/>
        <v>9.083436567651006</v>
      </c>
      <c r="W22" s="41" t="str">
        <f t="shared" si="43"/>
        <v>9</v>
      </c>
      <c r="X22" s="24">
        <f t="shared" si="44"/>
        <v>1.0012388118120725</v>
      </c>
      <c r="Y22" s="41" t="str">
        <f t="shared" si="45"/>
        <v>1</v>
      </c>
      <c r="Z22" s="24">
        <f t="shared" si="46"/>
        <v>1.486574174487032E-2</v>
      </c>
      <c r="AA22" s="41" t="str">
        <f t="shared" si="47"/>
        <v>0</v>
      </c>
      <c r="AB22" s="24">
        <f t="shared" si="48"/>
        <v>0.17838890093844384</v>
      </c>
      <c r="AC22" s="41" t="str">
        <f t="shared" si="49"/>
        <v>0</v>
      </c>
      <c r="AD22" s="24">
        <f t="shared" si="50"/>
        <v>2.1406668112613261</v>
      </c>
      <c r="AE22" s="41" t="str">
        <f t="shared" si="51"/>
        <v/>
      </c>
      <c r="AF22" s="24">
        <f t="shared" si="52"/>
        <v>1.6880017351359129</v>
      </c>
      <c r="AG22" s="41" t="str">
        <f t="shared" si="53"/>
        <v/>
      </c>
      <c r="AH22" s="24">
        <f t="shared" si="54"/>
        <v>8.2560208216309547</v>
      </c>
      <c r="AI22" s="41" t="str">
        <f t="shared" si="55"/>
        <v/>
      </c>
    </row>
    <row r="23" spans="1:35" ht="14.25" customHeight="1" x14ac:dyDescent="0.2">
      <c r="A23" s="581"/>
      <c r="B23" s="2" t="s">
        <v>184</v>
      </c>
      <c r="C23" s="2" t="s">
        <v>186</v>
      </c>
      <c r="D23" s="8">
        <v>0.30480000000000002</v>
      </c>
      <c r="E23" s="8">
        <v>9</v>
      </c>
      <c r="F23" s="8">
        <f>D23/(F$3/F$4)</f>
        <v>0.43716383599216496</v>
      </c>
      <c r="G23" s="37" t="str">
        <f>K23&amp;";"&amp;M23&amp;O23&amp;Q23&amp;S23&amp;U23&amp;W23&amp;Y23&amp;AA23&amp;AC23&amp;AE23&amp;AG23&amp;AI23</f>
        <v>0;52E504278</v>
      </c>
      <c r="H23" s="38">
        <v>0</v>
      </c>
      <c r="I23" s="39">
        <f t="shared" ref="I23:I24" si="56">F23/POWER(12,H23)</f>
        <v>0.43716383599216496</v>
      </c>
      <c r="J23" s="94" t="str">
        <f>INDEX(powers!$H$2:$H$75,33+H23)</f>
        <v xml:space="preserve"> </v>
      </c>
      <c r="K23" s="40" t="str">
        <f t="shared" si="31"/>
        <v>0</v>
      </c>
      <c r="L23" s="24">
        <f>(I23-INT(I23))*12</f>
        <v>5.2459660319059793</v>
      </c>
      <c r="M23" s="41" t="str">
        <f t="shared" si="33"/>
        <v>5</v>
      </c>
      <c r="N23" s="24">
        <f>(L23-INT(L23))*12</f>
        <v>2.9515923828717519</v>
      </c>
      <c r="O23" s="41" t="str">
        <f t="shared" si="35"/>
        <v>2</v>
      </c>
      <c r="P23" s="24">
        <f>(N23-INT(N23))*12</f>
        <v>11.419108594461022</v>
      </c>
      <c r="Q23" s="41" t="str">
        <f t="shared" si="37"/>
        <v>E</v>
      </c>
      <c r="R23" s="24">
        <f>(P23-INT(P23))*12</f>
        <v>5.0293031335322667</v>
      </c>
      <c r="S23" s="41" t="str">
        <f t="shared" si="39"/>
        <v>5</v>
      </c>
      <c r="T23" s="24">
        <f>(R23-INT(R23))*12</f>
        <v>0.35163760238719988</v>
      </c>
      <c r="U23" s="41" t="str">
        <f t="shared" si="41"/>
        <v>0</v>
      </c>
      <c r="V23" s="24">
        <f>(T23-INT(T23))*12</f>
        <v>4.2196512286463985</v>
      </c>
      <c r="W23" s="41" t="str">
        <f t="shared" si="43"/>
        <v>4</v>
      </c>
      <c r="X23" s="24">
        <f>(V23-INT(V23))*12</f>
        <v>2.6358147437567823</v>
      </c>
      <c r="Y23" s="41" t="str">
        <f t="shared" si="45"/>
        <v>2</v>
      </c>
      <c r="Z23" s="24">
        <f>(X23-INT(X23))*12</f>
        <v>7.6297769250813872</v>
      </c>
      <c r="AA23" s="41" t="str">
        <f t="shared" si="47"/>
        <v>7</v>
      </c>
      <c r="AB23" s="24">
        <f>(Z23-INT(Z23))*12</f>
        <v>7.5573231009766459</v>
      </c>
      <c r="AC23" s="41" t="str">
        <f t="shared" si="49"/>
        <v>8</v>
      </c>
      <c r="AD23" s="24">
        <f>(AB23-INT(AB23))*12</f>
        <v>6.6878772117197514</v>
      </c>
      <c r="AE23" s="41" t="str">
        <f t="shared" si="51"/>
        <v/>
      </c>
      <c r="AF23" s="24">
        <f>(AD23-INT(AD23))*12</f>
        <v>8.2545265406370163</v>
      </c>
      <c r="AG23" s="41" t="str">
        <f t="shared" si="53"/>
        <v/>
      </c>
      <c r="AH23" s="24">
        <f>(AF23-INT(AF23))*12</f>
        <v>3.0543184876441956</v>
      </c>
      <c r="AI23" s="41" t="str">
        <f t="shared" si="55"/>
        <v/>
      </c>
    </row>
    <row r="24" spans="1:35" ht="15" customHeight="1" x14ac:dyDescent="0.2">
      <c r="A24" s="581"/>
      <c r="B24" s="3" t="s">
        <v>185</v>
      </c>
      <c r="C24" s="3" t="s">
        <v>187</v>
      </c>
      <c r="D24" s="8">
        <f>1/D23</f>
        <v>3.280839895013123</v>
      </c>
      <c r="E24" s="8">
        <v>9</v>
      </c>
      <c r="F24" s="38">
        <f>1/F23</f>
        <v>2.2874719216662798</v>
      </c>
      <c r="G24" s="21" t="str">
        <f t="shared" ref="G24" si="57">K24&amp;";"&amp;M24&amp;O24&amp;Q24&amp;S24&amp;U24&amp;W24&amp;Y24&amp;AA24&amp;AC24&amp;AE24&amp;AG24&amp;AI24</f>
        <v>2;354902685</v>
      </c>
      <c r="H24" s="8">
        <v>0</v>
      </c>
      <c r="I24" s="39">
        <f t="shared" si="56"/>
        <v>2.2874719216662798</v>
      </c>
      <c r="J24" s="94" t="str">
        <f>INDEX(powers!$H$2:$H$75,33+H24)</f>
        <v xml:space="preserve"> </v>
      </c>
      <c r="K24" s="40" t="str">
        <f t="shared" si="31"/>
        <v>2</v>
      </c>
      <c r="L24" s="24">
        <f t="shared" ref="L24" si="58">(I24-INT(I24))*12</f>
        <v>3.4496630599953573</v>
      </c>
      <c r="M24" s="41" t="str">
        <f t="shared" si="33"/>
        <v>3</v>
      </c>
      <c r="N24" s="24">
        <f t="shared" ref="N24" si="59">(L24-INT(L24))*12</f>
        <v>5.3959567199442873</v>
      </c>
      <c r="O24" s="41" t="str">
        <f t="shared" si="35"/>
        <v>5</v>
      </c>
      <c r="P24" s="24">
        <f t="shared" ref="P24" si="60">(N24-INT(N24))*12</f>
        <v>4.7514806393314473</v>
      </c>
      <c r="Q24" s="41" t="str">
        <f t="shared" si="37"/>
        <v>4</v>
      </c>
      <c r="R24" s="24">
        <f t="shared" ref="R24" si="61">(P24-INT(P24))*12</f>
        <v>9.0177676719773672</v>
      </c>
      <c r="S24" s="41" t="str">
        <f t="shared" si="39"/>
        <v>9</v>
      </c>
      <c r="T24" s="24">
        <f t="shared" ref="T24" si="62">(R24-INT(R24))*12</f>
        <v>0.21321206372840606</v>
      </c>
      <c r="U24" s="41" t="str">
        <f t="shared" si="41"/>
        <v>0</v>
      </c>
      <c r="V24" s="24">
        <f t="shared" ref="V24" si="63">(T24-INT(T24))*12</f>
        <v>2.5585447647408728</v>
      </c>
      <c r="W24" s="41" t="str">
        <f t="shared" si="43"/>
        <v>2</v>
      </c>
      <c r="X24" s="24">
        <f t="shared" ref="X24" si="64">(V24-INT(V24))*12</f>
        <v>6.7025371768904733</v>
      </c>
      <c r="Y24" s="41" t="str">
        <f t="shared" si="45"/>
        <v>6</v>
      </c>
      <c r="Z24" s="24">
        <f t="shared" ref="Z24" si="65">(X24-INT(X24))*12</f>
        <v>8.4304461226856802</v>
      </c>
      <c r="AA24" s="41" t="str">
        <f t="shared" si="47"/>
        <v>8</v>
      </c>
      <c r="AB24" s="24">
        <f t="shared" ref="AB24" si="66">(Z24-INT(Z24))*12</f>
        <v>5.165353472228162</v>
      </c>
      <c r="AC24" s="41" t="str">
        <f t="shared" si="49"/>
        <v>5</v>
      </c>
      <c r="AD24" s="24">
        <f t="shared" ref="AD24" si="67">(AB24-INT(AB24))*12</f>
        <v>1.9842416667379439</v>
      </c>
      <c r="AE24" s="41" t="str">
        <f t="shared" si="51"/>
        <v/>
      </c>
      <c r="AF24" s="24">
        <f t="shared" ref="AF24" si="68">(AD24-INT(AD24))*12</f>
        <v>11.810900000855327</v>
      </c>
      <c r="AG24" s="41" t="str">
        <f t="shared" si="53"/>
        <v/>
      </c>
      <c r="AH24" s="24">
        <f t="shared" ref="AH24" si="69">(AF24-INT(AF24))*12</f>
        <v>9.7308000102639198</v>
      </c>
      <c r="AI24" s="41" t="str">
        <f t="shared" si="55"/>
        <v/>
      </c>
    </row>
    <row r="25" spans="1:35" ht="14.25" customHeight="1" x14ac:dyDescent="0.2">
      <c r="A25" s="581"/>
      <c r="B25" s="2" t="s">
        <v>130</v>
      </c>
      <c r="C25" s="2" t="s">
        <v>136</v>
      </c>
      <c r="D25" s="8">
        <f>D$17/12</f>
        <v>2.5400000000000002E-2</v>
      </c>
      <c r="E25" s="8">
        <v>9</v>
      </c>
      <c r="F25" s="8">
        <f>D25/F$3</f>
        <v>9.3261590858691276E-2</v>
      </c>
      <c r="G25" s="37" t="str">
        <f>K25&amp;";"&amp;M25&amp;O25&amp;Q25&amp;S25&amp;U25&amp;W25&amp;Y25&amp;AA25&amp;AC25&amp;AE25&amp;AG25&amp;AI25</f>
        <v>0;1151X5750</v>
      </c>
      <c r="H25" s="38">
        <v>0</v>
      </c>
      <c r="I25" s="39">
        <f t="shared" si="3"/>
        <v>9.3261590858691276E-2</v>
      </c>
      <c r="J25" s="94" t="str">
        <f>INDEX(powers!$H$2:$H$75,33+H25)</f>
        <v xml:space="preserve"> </v>
      </c>
      <c r="K25" s="40" t="str">
        <f t="shared" si="31"/>
        <v>0</v>
      </c>
      <c r="L25" s="24">
        <f>(I25-INT(I25))*12</f>
        <v>1.1191390903042953</v>
      </c>
      <c r="M25" s="41" t="str">
        <f t="shared" si="33"/>
        <v>1</v>
      </c>
      <c r="N25" s="24">
        <f>(L25-INT(L25))*12</f>
        <v>1.4296690836515431</v>
      </c>
      <c r="O25" s="41" t="str">
        <f t="shared" si="35"/>
        <v>1</v>
      </c>
      <c r="P25" s="24">
        <f>(N25-INT(N25))*12</f>
        <v>5.1560290038185173</v>
      </c>
      <c r="Q25" s="41" t="str">
        <f t="shared" si="37"/>
        <v>5</v>
      </c>
      <c r="R25" s="24">
        <f>(P25-INT(P25))*12</f>
        <v>1.872348045822207</v>
      </c>
      <c r="S25" s="41" t="str">
        <f t="shared" si="39"/>
        <v>1</v>
      </c>
      <c r="T25" s="24">
        <f>(R25-INT(R25))*12</f>
        <v>10.468176549866484</v>
      </c>
      <c r="U25" s="41" t="str">
        <f t="shared" si="41"/>
        <v>X</v>
      </c>
      <c r="V25" s="24">
        <f>(T25-INT(T25))*12</f>
        <v>5.6181185983978139</v>
      </c>
      <c r="W25" s="41" t="str">
        <f t="shared" si="43"/>
        <v>5</v>
      </c>
      <c r="X25" s="24">
        <f>(V25-INT(V25))*12</f>
        <v>7.4174231807737669</v>
      </c>
      <c r="Y25" s="41" t="str">
        <f t="shared" si="45"/>
        <v>7</v>
      </c>
      <c r="Z25" s="24">
        <f>(X25-INT(X25))*12</f>
        <v>5.0090781692852033</v>
      </c>
      <c r="AA25" s="41" t="str">
        <f t="shared" si="47"/>
        <v>5</v>
      </c>
      <c r="AB25" s="24">
        <f>(Z25-INT(Z25))*12</f>
        <v>0.10893803142243996</v>
      </c>
      <c r="AC25" s="41" t="str">
        <f t="shared" si="49"/>
        <v>0</v>
      </c>
      <c r="AD25" s="24">
        <f>(AB25-INT(AB25))*12</f>
        <v>1.3072563770692796</v>
      </c>
      <c r="AE25" s="41" t="str">
        <f t="shared" si="51"/>
        <v/>
      </c>
      <c r="AF25" s="24">
        <f>(AD25-INT(AD25))*12</f>
        <v>3.6870765248313546</v>
      </c>
      <c r="AG25" s="41" t="str">
        <f t="shared" si="53"/>
        <v/>
      </c>
      <c r="AH25" s="24">
        <f>(AF25-INT(AF25))*12</f>
        <v>8.2449182979762554</v>
      </c>
      <c r="AI25" s="41" t="str">
        <f t="shared" si="55"/>
        <v/>
      </c>
    </row>
    <row r="26" spans="1:35" ht="15" customHeight="1" x14ac:dyDescent="0.2">
      <c r="A26" s="581"/>
      <c r="B26" s="3" t="s">
        <v>131</v>
      </c>
      <c r="C26" s="3" t="s">
        <v>137</v>
      </c>
      <c r="D26" s="8">
        <f>1/D25</f>
        <v>39.370078740157474</v>
      </c>
      <c r="E26" s="8">
        <v>9</v>
      </c>
      <c r="F26" s="38">
        <f>1/F25</f>
        <v>10.722527792981644</v>
      </c>
      <c r="G26" s="21" t="str">
        <f t="shared" ref="G26:G30" si="70">K26&amp;";"&amp;M26&amp;O26&amp;Q26&amp;S26&amp;U26&amp;W26&amp;Y26&amp;AA26&amp;AC26&amp;AE26&amp;AG26&amp;AI26</f>
        <v>X;88064051X</v>
      </c>
      <c r="H26" s="8">
        <v>0</v>
      </c>
      <c r="I26" s="39">
        <f t="shared" si="3"/>
        <v>10.722527792981644</v>
      </c>
      <c r="J26" s="94" t="str">
        <f>INDEX(powers!$H$2:$H$75,33+H26)</f>
        <v xml:space="preserve"> </v>
      </c>
      <c r="K26" s="40" t="str">
        <f t="shared" si="31"/>
        <v>X</v>
      </c>
      <c r="L26" s="24">
        <f t="shared" ref="L26:L30" si="71">(I26-INT(I26))*12</f>
        <v>8.6703335157797312</v>
      </c>
      <c r="M26" s="41" t="str">
        <f t="shared" si="33"/>
        <v>8</v>
      </c>
      <c r="N26" s="24">
        <f t="shared" ref="N26:N30" si="72">(L26-INT(L26))*12</f>
        <v>8.0440021893567746</v>
      </c>
      <c r="O26" s="41" t="str">
        <f t="shared" si="35"/>
        <v>8</v>
      </c>
      <c r="P26" s="24">
        <f t="shared" ref="P26:P30" si="73">(N26-INT(N26))*12</f>
        <v>0.52802627228129495</v>
      </c>
      <c r="Q26" s="41" t="str">
        <f t="shared" si="37"/>
        <v>0</v>
      </c>
      <c r="R26" s="24">
        <f t="shared" ref="R26:R30" si="74">(P26-INT(P26))*12</f>
        <v>6.3363152673755394</v>
      </c>
      <c r="S26" s="41" t="str">
        <f t="shared" si="39"/>
        <v>6</v>
      </c>
      <c r="T26" s="24">
        <f t="shared" ref="T26:T30" si="75">(R26-INT(R26))*12</f>
        <v>4.0357832085064729</v>
      </c>
      <c r="U26" s="41" t="str">
        <f t="shared" si="41"/>
        <v>4</v>
      </c>
      <c r="V26" s="24">
        <f t="shared" ref="V26:V30" si="76">(T26-INT(T26))*12</f>
        <v>0.42939850207767449</v>
      </c>
      <c r="W26" s="41" t="str">
        <f t="shared" si="43"/>
        <v>0</v>
      </c>
      <c r="X26" s="24">
        <f t="shared" ref="X26:X30" si="77">(V26-INT(V26))*12</f>
        <v>5.1527820249320939</v>
      </c>
      <c r="Y26" s="41" t="str">
        <f t="shared" si="45"/>
        <v>5</v>
      </c>
      <c r="Z26" s="24">
        <f t="shared" ref="Z26:Z30" si="78">(X26-INT(X26))*12</f>
        <v>1.833384299185127</v>
      </c>
      <c r="AA26" s="41" t="str">
        <f t="shared" si="47"/>
        <v>1</v>
      </c>
      <c r="AB26" s="24">
        <f t="shared" ref="AB26:AB30" si="79">(Z26-INT(Z26))*12</f>
        <v>10.000611590221524</v>
      </c>
      <c r="AC26" s="41" t="str">
        <f t="shared" si="49"/>
        <v>X</v>
      </c>
      <c r="AD26" s="24">
        <f t="shared" ref="AD26:AD30" si="80">(AB26-INT(AB26))*12</f>
        <v>7.339082658290863E-3</v>
      </c>
      <c r="AE26" s="41" t="str">
        <f t="shared" si="51"/>
        <v/>
      </c>
      <c r="AF26" s="24">
        <f t="shared" ref="AF26:AF30" si="81">(AD26-INT(AD26))*12</f>
        <v>8.8068991899490356E-2</v>
      </c>
      <c r="AG26" s="41" t="str">
        <f t="shared" si="53"/>
        <v/>
      </c>
      <c r="AH26" s="24">
        <f t="shared" ref="AH26:AH30" si="82">(AF26-INT(AF26))*12</f>
        <v>1.0568279027938843</v>
      </c>
      <c r="AI26" s="41" t="str">
        <f t="shared" si="55"/>
        <v/>
      </c>
    </row>
    <row r="27" spans="1:35" ht="15" customHeight="1" x14ac:dyDescent="0.2">
      <c r="A27" s="581"/>
      <c r="B27" s="3" t="s">
        <v>132</v>
      </c>
      <c r="C27" s="3" t="s">
        <v>138</v>
      </c>
      <c r="D27" s="8">
        <f>D25*D25</f>
        <v>6.4516000000000009E-4</v>
      </c>
      <c r="E27" s="8">
        <v>9</v>
      </c>
      <c r="F27" s="8">
        <f>F25*F25</f>
        <v>8.6977243294939274E-3</v>
      </c>
      <c r="G27" s="37" t="str">
        <f t="shared" si="70"/>
        <v>1;304332313</v>
      </c>
      <c r="H27" s="38">
        <v>-2</v>
      </c>
      <c r="I27" s="39">
        <f t="shared" si="3"/>
        <v>1.2524723034471257</v>
      </c>
      <c r="J27" s="94" t="str">
        <f>INDEX(powers!$H$2:$H$75,33+H27)</f>
        <v>dino</v>
      </c>
      <c r="K27" s="40" t="str">
        <f t="shared" si="31"/>
        <v>1</v>
      </c>
      <c r="L27" s="24">
        <f t="shared" si="71"/>
        <v>3.0296676413655081</v>
      </c>
      <c r="M27" s="41" t="str">
        <f t="shared" si="33"/>
        <v>3</v>
      </c>
      <c r="N27" s="24">
        <f t="shared" si="72"/>
        <v>0.35601169638609775</v>
      </c>
      <c r="O27" s="41" t="str">
        <f t="shared" si="35"/>
        <v>0</v>
      </c>
      <c r="P27" s="24">
        <f t="shared" si="73"/>
        <v>4.272140356633173</v>
      </c>
      <c r="Q27" s="41" t="str">
        <f t="shared" si="37"/>
        <v>4</v>
      </c>
      <c r="R27" s="24">
        <f t="shared" si="74"/>
        <v>3.2656842795980765</v>
      </c>
      <c r="S27" s="41" t="str">
        <f t="shared" si="39"/>
        <v>3</v>
      </c>
      <c r="T27" s="24">
        <f t="shared" si="75"/>
        <v>3.188211355176918</v>
      </c>
      <c r="U27" s="41" t="str">
        <f t="shared" si="41"/>
        <v>3</v>
      </c>
      <c r="V27" s="24">
        <f t="shared" si="76"/>
        <v>2.2585362621230161</v>
      </c>
      <c r="W27" s="41" t="str">
        <f t="shared" si="43"/>
        <v>2</v>
      </c>
      <c r="X27" s="24">
        <f t="shared" si="77"/>
        <v>3.1024351454761927</v>
      </c>
      <c r="Y27" s="41" t="str">
        <f t="shared" si="45"/>
        <v>3</v>
      </c>
      <c r="Z27" s="24">
        <f t="shared" si="78"/>
        <v>1.2292217457143124</v>
      </c>
      <c r="AA27" s="41" t="str">
        <f t="shared" si="47"/>
        <v>1</v>
      </c>
      <c r="AB27" s="24">
        <f t="shared" si="79"/>
        <v>2.750660948571749</v>
      </c>
      <c r="AC27" s="41" t="str">
        <f t="shared" si="49"/>
        <v>3</v>
      </c>
      <c r="AD27" s="24">
        <f t="shared" si="80"/>
        <v>9.0079313828609884</v>
      </c>
      <c r="AE27" s="41" t="str">
        <f t="shared" si="51"/>
        <v/>
      </c>
      <c r="AF27" s="24">
        <f t="shared" si="81"/>
        <v>9.5176594331860542E-2</v>
      </c>
      <c r="AG27" s="41" t="str">
        <f t="shared" si="53"/>
        <v/>
      </c>
      <c r="AH27" s="24">
        <f t="shared" si="82"/>
        <v>1.1421191319823265</v>
      </c>
      <c r="AI27" s="41" t="str">
        <f t="shared" si="55"/>
        <v/>
      </c>
    </row>
    <row r="28" spans="1:35" ht="15" customHeight="1" x14ac:dyDescent="0.2">
      <c r="A28" s="581"/>
      <c r="B28" s="3" t="s">
        <v>133</v>
      </c>
      <c r="C28" s="3" t="s">
        <v>139</v>
      </c>
      <c r="D28" s="8">
        <f>1/D27</f>
        <v>1550.0031000061997</v>
      </c>
      <c r="E28" s="8">
        <v>9</v>
      </c>
      <c r="F28" s="38">
        <f>1/F27</f>
        <v>114.97260227126381</v>
      </c>
      <c r="G28" s="21" t="str">
        <f t="shared" si="70"/>
        <v>0;96E807X6X</v>
      </c>
      <c r="H28" s="8">
        <v>2</v>
      </c>
      <c r="I28" s="39">
        <f t="shared" si="3"/>
        <v>0.79842084910599864</v>
      </c>
      <c r="J28" s="94" t="str">
        <f>INDEX(powers!$H$2:$H$75,33+H28)</f>
        <v>gross</v>
      </c>
      <c r="K28" s="40" t="str">
        <f t="shared" si="31"/>
        <v>0</v>
      </c>
      <c r="L28" s="24">
        <f t="shared" si="71"/>
        <v>9.5810501892719842</v>
      </c>
      <c r="M28" s="41" t="str">
        <f t="shared" si="33"/>
        <v>9</v>
      </c>
      <c r="N28" s="24">
        <f t="shared" si="72"/>
        <v>6.9726022712638098</v>
      </c>
      <c r="O28" s="41" t="str">
        <f t="shared" si="35"/>
        <v>6</v>
      </c>
      <c r="P28" s="24">
        <f t="shared" si="73"/>
        <v>11.671227255165718</v>
      </c>
      <c r="Q28" s="41" t="str">
        <f t="shared" si="37"/>
        <v>E</v>
      </c>
      <c r="R28" s="24">
        <f t="shared" si="74"/>
        <v>8.0547270619886149</v>
      </c>
      <c r="S28" s="41" t="str">
        <f t="shared" si="39"/>
        <v>8</v>
      </c>
      <c r="T28" s="24">
        <f t="shared" si="75"/>
        <v>0.65672474386337854</v>
      </c>
      <c r="U28" s="41" t="str">
        <f t="shared" si="41"/>
        <v>0</v>
      </c>
      <c r="V28" s="24">
        <f t="shared" si="76"/>
        <v>7.8806969263605424</v>
      </c>
      <c r="W28" s="41" t="str">
        <f t="shared" si="43"/>
        <v>7</v>
      </c>
      <c r="X28" s="24">
        <f t="shared" si="77"/>
        <v>10.568363116326509</v>
      </c>
      <c r="Y28" s="41" t="str">
        <f t="shared" si="45"/>
        <v>X</v>
      </c>
      <c r="Z28" s="24">
        <f t="shared" si="78"/>
        <v>6.8203573959181085</v>
      </c>
      <c r="AA28" s="41" t="str">
        <f t="shared" si="47"/>
        <v>6</v>
      </c>
      <c r="AB28" s="24">
        <f t="shared" si="79"/>
        <v>9.8442887510173023</v>
      </c>
      <c r="AC28" s="41" t="str">
        <f t="shared" si="49"/>
        <v>X</v>
      </c>
      <c r="AD28" s="24">
        <f t="shared" si="80"/>
        <v>10.131465012207627</v>
      </c>
      <c r="AE28" s="41" t="str">
        <f t="shared" si="51"/>
        <v/>
      </c>
      <c r="AF28" s="24">
        <f t="shared" si="81"/>
        <v>1.5775801464915276</v>
      </c>
      <c r="AG28" s="41" t="str">
        <f t="shared" si="53"/>
        <v/>
      </c>
      <c r="AH28" s="24">
        <f t="shared" si="82"/>
        <v>6.9309617578983307</v>
      </c>
      <c r="AI28" s="41" t="str">
        <f t="shared" si="55"/>
        <v/>
      </c>
    </row>
    <row r="29" spans="1:35" ht="15" customHeight="1" x14ac:dyDescent="0.2">
      <c r="A29" s="581"/>
      <c r="B29" s="3" t="s">
        <v>134</v>
      </c>
      <c r="C29" s="3" t="s">
        <v>140</v>
      </c>
      <c r="D29" s="8">
        <f>D27*D25</f>
        <v>1.6387064000000003E-5</v>
      </c>
      <c r="E29" s="8">
        <v>9</v>
      </c>
      <c r="F29" s="8">
        <f>F27*F25</f>
        <v>8.1116360781894757E-4</v>
      </c>
      <c r="G29" s="37" t="str">
        <f t="shared" si="70"/>
        <v>1;49X156067</v>
      </c>
      <c r="H29" s="38">
        <v>-3</v>
      </c>
      <c r="I29" s="39">
        <f t="shared" si="3"/>
        <v>1.4016907143111415</v>
      </c>
      <c r="J29" s="94" t="str">
        <f>INDEX(powers!$H$2:$H$75,33+H29)</f>
        <v>terno</v>
      </c>
      <c r="K29" s="40" t="str">
        <f t="shared" ref="K29:K34" si="83">IF($E29&gt;=K$16,MID($H$16,IF($E29&gt;K$16,INT(I29),ROUND(I29,0))+1,1),"")</f>
        <v>1</v>
      </c>
      <c r="L29" s="24">
        <f t="shared" si="71"/>
        <v>4.8202885717336974</v>
      </c>
      <c r="M29" s="41" t="str">
        <f t="shared" ref="M29:M34" si="84">IF($E29&gt;=M$16,MID($H$16,IF($E29&gt;M$16,INT(L29),ROUND(L29,0))+1,1),"")</f>
        <v>4</v>
      </c>
      <c r="N29" s="24">
        <f t="shared" si="72"/>
        <v>9.8434628608043688</v>
      </c>
      <c r="O29" s="41" t="str">
        <f t="shared" ref="O29:O34" si="85">IF($E29&gt;=O$16,MID($H$16,IF($E29&gt;O$16,INT(N29),ROUND(N29,0))+1,1),"")</f>
        <v>9</v>
      </c>
      <c r="P29" s="24">
        <f t="shared" si="73"/>
        <v>10.121554329652426</v>
      </c>
      <c r="Q29" s="41" t="str">
        <f t="shared" ref="Q29:Q34" si="86">IF($E29&gt;=Q$16,MID($H$16,IF($E29&gt;Q$16,INT(P29),ROUND(P29,0))+1,1),"")</f>
        <v>X</v>
      </c>
      <c r="R29" s="24">
        <f t="shared" si="74"/>
        <v>1.4586519558291116</v>
      </c>
      <c r="S29" s="41" t="str">
        <f t="shared" ref="S29:S34" si="87">IF($E29&gt;=S$16,MID($H$16,IF($E29&gt;S$16,INT(R29),ROUND(R29,0))+1,1),"")</f>
        <v>1</v>
      </c>
      <c r="T29" s="24">
        <f t="shared" si="75"/>
        <v>5.5038234699493387</v>
      </c>
      <c r="U29" s="41" t="str">
        <f t="shared" ref="U29:U34" si="88">IF($E29&gt;=U$16,MID($H$16,IF($E29&gt;U$16,INT(T29),ROUND(T29,0))+1,1),"")</f>
        <v>5</v>
      </c>
      <c r="V29" s="24">
        <f t="shared" si="76"/>
        <v>6.0458816393920642</v>
      </c>
      <c r="W29" s="41" t="str">
        <f t="shared" ref="W29:W34" si="89">IF($E29&gt;=W$16,MID($H$16,IF($E29&gt;W$16,INT(V29),ROUND(V29,0))+1,1),"")</f>
        <v>6</v>
      </c>
      <c r="X29" s="24">
        <f t="shared" si="77"/>
        <v>0.55057967270477093</v>
      </c>
      <c r="Y29" s="41" t="str">
        <f t="shared" ref="Y29:Y34" si="90">IF($E29&gt;=Y$16,MID($H$16,IF($E29&gt;Y$16,INT(X29),ROUND(X29,0))+1,1),"")</f>
        <v>0</v>
      </c>
      <c r="Z29" s="24">
        <f t="shared" si="78"/>
        <v>6.6069560724572511</v>
      </c>
      <c r="AA29" s="41" t="str">
        <f t="shared" ref="AA29:AA34" si="91">IF($E29&gt;=AA$16,MID($H$16,IF($E29&gt;AA$16,INT(Z29),ROUND(Z29,0))+1,1),"")</f>
        <v>6</v>
      </c>
      <c r="AB29" s="24">
        <f t="shared" si="79"/>
        <v>7.2834728694870137</v>
      </c>
      <c r="AC29" s="41" t="str">
        <f t="shared" ref="AC29:AC34" si="92">IF($E29&gt;=AC$16,MID($H$16,IF($E29&gt;AC$16,INT(AB29),ROUND(AB29,0))+1,1),"")</f>
        <v>7</v>
      </c>
      <c r="AD29" s="24">
        <f t="shared" si="80"/>
        <v>3.401674433844164</v>
      </c>
      <c r="AE29" s="41" t="str">
        <f t="shared" ref="AE29:AE34" si="93">IF($E29&gt;=AE$16,MID($H$16,IF($E29&gt;AE$16,INT(AD29),ROUND(AD29,0))+1,1),"")</f>
        <v/>
      </c>
      <c r="AF29" s="24">
        <f t="shared" si="81"/>
        <v>4.8200932061299682</v>
      </c>
      <c r="AG29" s="41" t="str">
        <f t="shared" ref="AG29:AG34" si="94">IF($E29&gt;=AG$16,MID($H$16,IF($E29&gt;AG$16,INT(AF29),ROUND(AF29,0))+1,1),"")</f>
        <v/>
      </c>
      <c r="AH29" s="24">
        <f t="shared" si="82"/>
        <v>9.841118473559618</v>
      </c>
      <c r="AI29" s="41" t="str">
        <f t="shared" ref="AI29:AI34" si="95">IF($E29&gt;=AI$16,MID($H$16,IF($E29&gt;AI$16,INT(AH29),ROUND(AH29,0))+1,1),"")</f>
        <v/>
      </c>
    </row>
    <row r="30" spans="1:35" ht="15" customHeight="1" x14ac:dyDescent="0.2">
      <c r="A30" s="581"/>
      <c r="B30" s="3" t="s">
        <v>135</v>
      </c>
      <c r="C30" s="3" t="s">
        <v>141</v>
      </c>
      <c r="D30" s="8">
        <f>1/D29</f>
        <v>61023.744094732276</v>
      </c>
      <c r="E30" s="8">
        <v>9</v>
      </c>
      <c r="F30" s="38">
        <f>1/F29</f>
        <v>1232.7969232850505</v>
      </c>
      <c r="G30" s="21" t="str">
        <f t="shared" si="70"/>
        <v>0;868969100</v>
      </c>
      <c r="H30" s="8">
        <v>3</v>
      </c>
      <c r="I30" s="39">
        <f t="shared" si="3"/>
        <v>0.71342414541958943</v>
      </c>
      <c r="J30" s="94" t="str">
        <f>INDEX(powers!$H$2:$H$75,33+H30)</f>
        <v>doz gross</v>
      </c>
      <c r="K30" s="40" t="str">
        <f t="shared" si="83"/>
        <v>0</v>
      </c>
      <c r="L30" s="24">
        <f t="shared" si="71"/>
        <v>8.5610897450350727</v>
      </c>
      <c r="M30" s="41" t="str">
        <f t="shared" si="84"/>
        <v>8</v>
      </c>
      <c r="N30" s="24">
        <f t="shared" si="72"/>
        <v>6.7330769404208723</v>
      </c>
      <c r="O30" s="41" t="str">
        <f t="shared" si="85"/>
        <v>6</v>
      </c>
      <c r="P30" s="24">
        <f t="shared" si="73"/>
        <v>8.7969232850504682</v>
      </c>
      <c r="Q30" s="41" t="str">
        <f t="shared" si="86"/>
        <v>8</v>
      </c>
      <c r="R30" s="24">
        <f t="shared" si="74"/>
        <v>9.563079420605618</v>
      </c>
      <c r="S30" s="41" t="str">
        <f t="shared" si="87"/>
        <v>9</v>
      </c>
      <c r="T30" s="24">
        <f t="shared" si="75"/>
        <v>6.756953047267416</v>
      </c>
      <c r="U30" s="41" t="str">
        <f t="shared" si="88"/>
        <v>6</v>
      </c>
      <c r="V30" s="24">
        <f t="shared" si="76"/>
        <v>9.0834365672089916</v>
      </c>
      <c r="W30" s="41" t="str">
        <f t="shared" si="89"/>
        <v>9</v>
      </c>
      <c r="X30" s="24">
        <f t="shared" si="77"/>
        <v>1.0012388065078994</v>
      </c>
      <c r="Y30" s="41" t="str">
        <f t="shared" si="90"/>
        <v>1</v>
      </c>
      <c r="Z30" s="24">
        <f t="shared" si="78"/>
        <v>1.4865678094793111E-2</v>
      </c>
      <c r="AA30" s="41" t="str">
        <f t="shared" si="91"/>
        <v>0</v>
      </c>
      <c r="AB30" s="24">
        <f t="shared" si="79"/>
        <v>0.17838813713751733</v>
      </c>
      <c r="AC30" s="41" t="str">
        <f t="shared" si="92"/>
        <v>0</v>
      </c>
      <c r="AD30" s="24">
        <f t="shared" si="80"/>
        <v>2.140657645650208</v>
      </c>
      <c r="AE30" s="41" t="str">
        <f t="shared" si="93"/>
        <v/>
      </c>
      <c r="AF30" s="24">
        <f t="shared" si="81"/>
        <v>1.687891747802496</v>
      </c>
      <c r="AG30" s="41" t="str">
        <f t="shared" si="94"/>
        <v/>
      </c>
      <c r="AH30" s="24">
        <f t="shared" si="82"/>
        <v>8.2547009736299515</v>
      </c>
      <c r="AI30" s="41" t="str">
        <f t="shared" si="95"/>
        <v/>
      </c>
    </row>
    <row r="31" spans="1:35" ht="14.25" customHeight="1" x14ac:dyDescent="0.2">
      <c r="A31" s="581"/>
      <c r="B31" s="2" t="s">
        <v>142</v>
      </c>
      <c r="C31" s="2" t="s">
        <v>147</v>
      </c>
      <c r="D31" s="8">
        <f>D$17*3</f>
        <v>0.9144000000000001</v>
      </c>
      <c r="E31" s="8">
        <v>9</v>
      </c>
      <c r="F31" s="8">
        <f>D31/F$3</f>
        <v>3.3574172709128862</v>
      </c>
      <c r="G31" s="37" t="str">
        <f>K31&amp;";"&amp;M31&amp;O31&amp;Q31&amp;S31&amp;U31&amp;W31&amp;Y31&amp;AA31&amp;AC31&amp;AE31&amp;AG31&amp;AI31</f>
        <v>3;43574X304</v>
      </c>
      <c r="H31" s="38">
        <v>0</v>
      </c>
      <c r="I31" s="39">
        <f t="shared" ref="I31:I36" si="96">F31/POWER(12,H31)</f>
        <v>3.3574172709128862</v>
      </c>
      <c r="J31" s="94" t="str">
        <f>INDEX(powers!$H$2:$H$75,33+H31)</f>
        <v xml:space="preserve"> </v>
      </c>
      <c r="K31" s="40" t="str">
        <f t="shared" si="83"/>
        <v>3</v>
      </c>
      <c r="L31" s="24">
        <f>(I31-INT(I31))*12</f>
        <v>4.2890072509546346</v>
      </c>
      <c r="M31" s="41" t="str">
        <f t="shared" si="84"/>
        <v>4</v>
      </c>
      <c r="N31" s="24">
        <f>(L31-INT(L31))*12</f>
        <v>3.4680870114556157</v>
      </c>
      <c r="O31" s="41" t="str">
        <f t="shared" si="85"/>
        <v>3</v>
      </c>
      <c r="P31" s="24">
        <f>(N31-INT(N31))*12</f>
        <v>5.6170441374673885</v>
      </c>
      <c r="Q31" s="41" t="str">
        <f t="shared" si="86"/>
        <v>5</v>
      </c>
      <c r="R31" s="24">
        <f>(P31-INT(P31))*12</f>
        <v>7.4045296496086621</v>
      </c>
      <c r="S31" s="41" t="str">
        <f t="shared" si="87"/>
        <v>7</v>
      </c>
      <c r="T31" s="24">
        <f>(R31-INT(R31))*12</f>
        <v>4.8543557953039453</v>
      </c>
      <c r="U31" s="41" t="str">
        <f t="shared" si="88"/>
        <v>4</v>
      </c>
      <c r="V31" s="24">
        <f>(T31-INT(T31))*12</f>
        <v>10.252269543647344</v>
      </c>
      <c r="W31" s="41" t="str">
        <f t="shared" si="89"/>
        <v>X</v>
      </c>
      <c r="X31" s="24">
        <f>(V31-INT(V31))*12</f>
        <v>3.0272345237681293</v>
      </c>
      <c r="Y31" s="41" t="str">
        <f t="shared" si="90"/>
        <v>3</v>
      </c>
      <c r="Z31" s="24">
        <f>(X31-INT(X31))*12</f>
        <v>0.32681428521755151</v>
      </c>
      <c r="AA31" s="41" t="str">
        <f t="shared" si="91"/>
        <v>0</v>
      </c>
      <c r="AB31" s="24">
        <f>(Z31-INT(Z31))*12</f>
        <v>3.9217714226106182</v>
      </c>
      <c r="AC31" s="41" t="str">
        <f t="shared" si="92"/>
        <v>4</v>
      </c>
      <c r="AD31" s="24">
        <f>(AB31-INT(AB31))*12</f>
        <v>11.061257071327418</v>
      </c>
      <c r="AE31" s="41" t="str">
        <f t="shared" si="93"/>
        <v/>
      </c>
      <c r="AF31" s="24">
        <f>(AD31-INT(AD31))*12</f>
        <v>0.73508485592901707</v>
      </c>
      <c r="AG31" s="41" t="str">
        <f t="shared" si="94"/>
        <v/>
      </c>
      <c r="AH31" s="24">
        <f>(AF31-INT(AF31))*12</f>
        <v>8.8210182711482048</v>
      </c>
      <c r="AI31" s="41" t="str">
        <f t="shared" si="95"/>
        <v/>
      </c>
    </row>
    <row r="32" spans="1:35" ht="15" customHeight="1" x14ac:dyDescent="0.2">
      <c r="A32" s="581"/>
      <c r="B32" s="3" t="s">
        <v>143</v>
      </c>
      <c r="C32" s="3" t="s">
        <v>148</v>
      </c>
      <c r="D32" s="8">
        <f>1/D31</f>
        <v>1.0936132983377076</v>
      </c>
      <c r="E32" s="8">
        <v>9</v>
      </c>
      <c r="F32" s="38">
        <f>1/F31</f>
        <v>0.2978479942494901</v>
      </c>
      <c r="G32" s="21" t="str">
        <f t="shared" ref="G32:G36" si="97">K32&amp;";"&amp;M32&amp;O32&amp;Q32&amp;S32&amp;U32&amp;W32&amp;Y32&amp;AA32&amp;AC32&amp;AE32&amp;AG32&amp;AI32</f>
        <v>0;36X821419</v>
      </c>
      <c r="H32" s="8">
        <v>0</v>
      </c>
      <c r="I32" s="39">
        <f t="shared" si="96"/>
        <v>0.2978479942494901</v>
      </c>
      <c r="J32" s="94" t="str">
        <f>INDEX(powers!$H$2:$H$75,33+H32)</f>
        <v xml:space="preserve"> </v>
      </c>
      <c r="K32" s="40" t="str">
        <f t="shared" si="83"/>
        <v>0</v>
      </c>
      <c r="L32" s="24">
        <f t="shared" ref="L32:L36" si="98">(I32-INT(I32))*12</f>
        <v>3.5741759309938814</v>
      </c>
      <c r="M32" s="41" t="str">
        <f t="shared" si="84"/>
        <v>3</v>
      </c>
      <c r="N32" s="24">
        <f t="shared" ref="N32:N36" si="99">(L32-INT(L32))*12</f>
        <v>6.8901111719265771</v>
      </c>
      <c r="O32" s="41" t="str">
        <f t="shared" si="85"/>
        <v>6</v>
      </c>
      <c r="P32" s="24">
        <f t="shared" ref="P32:P36" si="100">(N32-INT(N32))*12</f>
        <v>10.681334063118925</v>
      </c>
      <c r="Q32" s="41" t="str">
        <f t="shared" si="86"/>
        <v>X</v>
      </c>
      <c r="R32" s="24">
        <f t="shared" ref="R32:R36" si="101">(P32-INT(P32))*12</f>
        <v>8.1760087574270983</v>
      </c>
      <c r="S32" s="41" t="str">
        <f t="shared" si="87"/>
        <v>8</v>
      </c>
      <c r="T32" s="24">
        <f t="shared" ref="T32:T36" si="102">(R32-INT(R32))*12</f>
        <v>2.1121050891251798</v>
      </c>
      <c r="U32" s="41" t="str">
        <f t="shared" si="88"/>
        <v>2</v>
      </c>
      <c r="V32" s="24">
        <f t="shared" ref="V32:V36" si="103">(T32-INT(T32))*12</f>
        <v>1.3452610695021576</v>
      </c>
      <c r="W32" s="41" t="str">
        <f t="shared" si="89"/>
        <v>1</v>
      </c>
      <c r="X32" s="24">
        <f t="shared" ref="X32:X36" si="104">(V32-INT(V32))*12</f>
        <v>4.1431328340258915</v>
      </c>
      <c r="Y32" s="41" t="str">
        <f t="shared" si="90"/>
        <v>4</v>
      </c>
      <c r="Z32" s="24">
        <f t="shared" ref="Z32:Z36" si="105">(X32-INT(X32))*12</f>
        <v>1.717594008310698</v>
      </c>
      <c r="AA32" s="41" t="str">
        <f t="shared" si="91"/>
        <v>1</v>
      </c>
      <c r="AB32" s="24">
        <f t="shared" ref="AB32:AB36" si="106">(Z32-INT(Z32))*12</f>
        <v>8.6111280997283757</v>
      </c>
      <c r="AC32" s="41" t="str">
        <f t="shared" si="92"/>
        <v>9</v>
      </c>
      <c r="AD32" s="24">
        <f t="shared" ref="AD32:AD36" si="107">(AB32-INT(AB32))*12</f>
        <v>7.3335371967405081</v>
      </c>
      <c r="AE32" s="41" t="str">
        <f t="shared" si="93"/>
        <v/>
      </c>
      <c r="AF32" s="24">
        <f t="shared" ref="AF32:AF36" si="108">(AD32-INT(AD32))*12</f>
        <v>4.002446360886097</v>
      </c>
      <c r="AG32" s="41" t="str">
        <f t="shared" si="94"/>
        <v/>
      </c>
      <c r="AH32" s="24">
        <f t="shared" ref="AH32:AH36" si="109">(AF32-INT(AF32))*12</f>
        <v>2.9356330633163452E-2</v>
      </c>
      <c r="AI32" s="41" t="str">
        <f t="shared" si="95"/>
        <v/>
      </c>
    </row>
    <row r="33" spans="1:35" ht="15" customHeight="1" x14ac:dyDescent="0.2">
      <c r="A33" s="581"/>
      <c r="B33" s="3" t="s">
        <v>144</v>
      </c>
      <c r="C33" s="3" t="s">
        <v>149</v>
      </c>
      <c r="D33" s="8">
        <f>D31*D31</f>
        <v>0.83612736000000021</v>
      </c>
      <c r="E33" s="8">
        <v>9</v>
      </c>
      <c r="F33" s="8">
        <f>F31*F31</f>
        <v>11.272250731024133</v>
      </c>
      <c r="G33" s="37" t="str">
        <f t="shared" si="97"/>
        <v>E;3325483E1</v>
      </c>
      <c r="H33" s="38">
        <v>0</v>
      </c>
      <c r="I33" s="39">
        <f t="shared" si="96"/>
        <v>11.272250731024133</v>
      </c>
      <c r="J33" s="94" t="str">
        <f>INDEX(powers!$H$2:$H$75,33+H33)</f>
        <v xml:space="preserve"> </v>
      </c>
      <c r="K33" s="40" t="str">
        <f t="shared" si="83"/>
        <v>E</v>
      </c>
      <c r="L33" s="24">
        <f t="shared" si="98"/>
        <v>3.2670087722896</v>
      </c>
      <c r="M33" s="41" t="str">
        <f t="shared" si="84"/>
        <v>3</v>
      </c>
      <c r="N33" s="24">
        <f t="shared" si="99"/>
        <v>3.2041052674751995</v>
      </c>
      <c r="O33" s="41" t="str">
        <f t="shared" si="85"/>
        <v>3</v>
      </c>
      <c r="P33" s="24">
        <f t="shared" si="100"/>
        <v>2.4492632097023943</v>
      </c>
      <c r="Q33" s="41" t="str">
        <f t="shared" si="86"/>
        <v>2</v>
      </c>
      <c r="R33" s="24">
        <f t="shared" si="101"/>
        <v>5.3911585164287317</v>
      </c>
      <c r="S33" s="41" t="str">
        <f t="shared" si="87"/>
        <v>5</v>
      </c>
      <c r="T33" s="24">
        <f t="shared" si="102"/>
        <v>4.6939021971447801</v>
      </c>
      <c r="U33" s="41" t="str">
        <f t="shared" si="88"/>
        <v>4</v>
      </c>
      <c r="V33" s="24">
        <f t="shared" si="103"/>
        <v>8.3268263657373609</v>
      </c>
      <c r="W33" s="41" t="str">
        <f t="shared" si="89"/>
        <v>8</v>
      </c>
      <c r="X33" s="24">
        <f t="shared" si="104"/>
        <v>3.9219163888483308</v>
      </c>
      <c r="Y33" s="41" t="str">
        <f t="shared" si="90"/>
        <v>3</v>
      </c>
      <c r="Z33" s="24">
        <f t="shared" si="105"/>
        <v>11.06299666617997</v>
      </c>
      <c r="AA33" s="41" t="str">
        <f t="shared" si="91"/>
        <v>E</v>
      </c>
      <c r="AB33" s="24">
        <f t="shared" si="106"/>
        <v>0.75595999415963888</v>
      </c>
      <c r="AC33" s="41" t="str">
        <f t="shared" si="92"/>
        <v>1</v>
      </c>
      <c r="AD33" s="24">
        <f t="shared" si="107"/>
        <v>9.0715199299156666</v>
      </c>
      <c r="AE33" s="41" t="str">
        <f t="shared" si="93"/>
        <v/>
      </c>
      <c r="AF33" s="24">
        <f t="shared" si="108"/>
        <v>0.85823915898799896</v>
      </c>
      <c r="AG33" s="41" t="str">
        <f t="shared" si="94"/>
        <v/>
      </c>
      <c r="AH33" s="24">
        <f t="shared" si="109"/>
        <v>10.298869907855988</v>
      </c>
      <c r="AI33" s="41" t="str">
        <f t="shared" si="95"/>
        <v/>
      </c>
    </row>
    <row r="34" spans="1:35" ht="15" customHeight="1" x14ac:dyDescent="0.2">
      <c r="A34" s="581"/>
      <c r="B34" s="3" t="s">
        <v>157</v>
      </c>
      <c r="C34" s="3" t="s">
        <v>150</v>
      </c>
      <c r="D34" s="8">
        <f>1/D33</f>
        <v>1.19599004630108</v>
      </c>
      <c r="E34" s="8">
        <v>9</v>
      </c>
      <c r="F34" s="38">
        <f>1/F33</f>
        <v>8.871342767844427E-2</v>
      </c>
      <c r="G34" s="21" t="str">
        <f t="shared" si="97"/>
        <v>1;09368X611</v>
      </c>
      <c r="H34" s="8">
        <v>-1</v>
      </c>
      <c r="I34" s="39">
        <f t="shared" si="96"/>
        <v>1.0645611321413313</v>
      </c>
      <c r="J34" s="94" t="str">
        <f>INDEX(powers!$H$2:$H$75,33+H34)</f>
        <v>unino</v>
      </c>
      <c r="K34" s="40" t="str">
        <f t="shared" si="83"/>
        <v>1</v>
      </c>
      <c r="L34" s="24">
        <f t="shared" si="98"/>
        <v>0.77473358569597561</v>
      </c>
      <c r="M34" s="41" t="str">
        <f t="shared" si="84"/>
        <v>0</v>
      </c>
      <c r="N34" s="24">
        <f t="shared" si="99"/>
        <v>9.2968030283517074</v>
      </c>
      <c r="O34" s="41" t="str">
        <f t="shared" si="85"/>
        <v>9</v>
      </c>
      <c r="P34" s="24">
        <f t="shared" si="100"/>
        <v>3.5616363402204883</v>
      </c>
      <c r="Q34" s="41" t="str">
        <f t="shared" si="86"/>
        <v>3</v>
      </c>
      <c r="R34" s="24">
        <f t="shared" si="101"/>
        <v>6.739636082645859</v>
      </c>
      <c r="S34" s="41" t="str">
        <f t="shared" si="87"/>
        <v>6</v>
      </c>
      <c r="T34" s="24">
        <f t="shared" si="102"/>
        <v>8.8756329917503081</v>
      </c>
      <c r="U34" s="41" t="str">
        <f t="shared" si="88"/>
        <v>8</v>
      </c>
      <c r="V34" s="24">
        <f t="shared" si="103"/>
        <v>10.507595901003697</v>
      </c>
      <c r="W34" s="41" t="str">
        <f t="shared" si="89"/>
        <v>X</v>
      </c>
      <c r="X34" s="24">
        <f t="shared" si="104"/>
        <v>6.0911508120443614</v>
      </c>
      <c r="Y34" s="41" t="str">
        <f t="shared" si="90"/>
        <v>6</v>
      </c>
      <c r="Z34" s="24">
        <f t="shared" si="105"/>
        <v>1.0938097445323365</v>
      </c>
      <c r="AA34" s="41" t="str">
        <f t="shared" si="91"/>
        <v>1</v>
      </c>
      <c r="AB34" s="24">
        <f t="shared" si="106"/>
        <v>1.1257169343880378</v>
      </c>
      <c r="AC34" s="41" t="str">
        <f t="shared" si="92"/>
        <v>1</v>
      </c>
      <c r="AD34" s="24">
        <f t="shared" si="107"/>
        <v>1.5086032126564533</v>
      </c>
      <c r="AE34" s="41" t="str">
        <f t="shared" si="93"/>
        <v/>
      </c>
      <c r="AF34" s="24">
        <f t="shared" si="108"/>
        <v>6.103238551877439</v>
      </c>
      <c r="AG34" s="41" t="str">
        <f t="shared" si="94"/>
        <v/>
      </c>
      <c r="AH34" s="24">
        <f t="shared" si="109"/>
        <v>1.2388626225292683</v>
      </c>
      <c r="AI34" s="41" t="str">
        <f t="shared" si="95"/>
        <v/>
      </c>
    </row>
    <row r="35" spans="1:35" ht="15" customHeight="1" x14ac:dyDescent="0.2">
      <c r="A35" s="581"/>
      <c r="B35" s="3" t="s">
        <v>145</v>
      </c>
      <c r="C35" s="3" t="s">
        <v>151</v>
      </c>
      <c r="D35" s="8">
        <f>D33*D31</f>
        <v>0.76455485798400025</v>
      </c>
      <c r="E35" s="8">
        <v>9</v>
      </c>
      <c r="F35" s="8">
        <f>F33*F31</f>
        <v>37.845649286400835</v>
      </c>
      <c r="G35" s="37" t="str">
        <f t="shared" si="97"/>
        <v>0;31X193473</v>
      </c>
      <c r="H35" s="38">
        <v>2</v>
      </c>
      <c r="I35" s="39">
        <f t="shared" si="96"/>
        <v>0.26281700893333915</v>
      </c>
      <c r="J35" s="94" t="str">
        <f>INDEX(powers!$H$2:$H$75,33+H35)</f>
        <v>gross</v>
      </c>
      <c r="K35" s="40" t="str">
        <f t="shared" ref="K35:K42" si="110">IF($E35&gt;=K$16,MID($H$16,IF($E35&gt;K$16,INT(I35),ROUND(I35,0))+1,1),"")</f>
        <v>0</v>
      </c>
      <c r="L35" s="24">
        <f t="shared" si="98"/>
        <v>3.1538041072000698</v>
      </c>
      <c r="M35" s="41" t="str">
        <f t="shared" ref="M35:M42" si="111">IF($E35&gt;=M$16,MID($H$16,IF($E35&gt;M$16,INT(L35),ROUND(L35,0))+1,1),"")</f>
        <v>3</v>
      </c>
      <c r="N35" s="24">
        <f t="shared" si="99"/>
        <v>1.8456492864008371</v>
      </c>
      <c r="O35" s="41" t="str">
        <f t="shared" ref="O35:O42" si="112">IF($E35&gt;=O$16,MID($H$16,IF($E35&gt;O$16,INT(N35),ROUND(N35,0))+1,1),"")</f>
        <v>1</v>
      </c>
      <c r="P35" s="24">
        <f t="shared" si="100"/>
        <v>10.147791436810046</v>
      </c>
      <c r="Q35" s="41" t="str">
        <f t="shared" ref="Q35:Q42" si="113">IF($E35&gt;=Q$16,MID($H$16,IF($E35&gt;Q$16,INT(P35),ROUND(P35,0))+1,1),"")</f>
        <v>X</v>
      </c>
      <c r="R35" s="24">
        <f t="shared" si="101"/>
        <v>1.7734972417205483</v>
      </c>
      <c r="S35" s="41" t="str">
        <f t="shared" ref="S35:S42" si="114">IF($E35&gt;=S$16,MID($H$16,IF($E35&gt;S$16,INT(R35),ROUND(R35,0))+1,1),"")</f>
        <v>1</v>
      </c>
      <c r="T35" s="24">
        <f t="shared" si="102"/>
        <v>9.2819669006465801</v>
      </c>
      <c r="U35" s="41" t="str">
        <f t="shared" ref="U35:U42" si="115">IF($E35&gt;=U$16,MID($H$16,IF($E35&gt;U$16,INT(T35),ROUND(T35,0))+1,1),"")</f>
        <v>9</v>
      </c>
      <c r="V35" s="24">
        <f t="shared" si="103"/>
        <v>3.3836028077589617</v>
      </c>
      <c r="W35" s="41" t="str">
        <f t="shared" ref="W35:W42" si="116">IF($E35&gt;=W$16,MID($H$16,IF($E35&gt;W$16,INT(V35),ROUND(V35,0))+1,1),"")</f>
        <v>3</v>
      </c>
      <c r="X35" s="24">
        <f t="shared" si="104"/>
        <v>4.6032336931075406</v>
      </c>
      <c r="Y35" s="41" t="str">
        <f t="shared" ref="Y35:Y42" si="117">IF($E35&gt;=Y$16,MID($H$16,IF($E35&gt;Y$16,INT(X35),ROUND(X35,0))+1,1),"")</f>
        <v>4</v>
      </c>
      <c r="Z35" s="24">
        <f t="shared" si="105"/>
        <v>7.2388043172904872</v>
      </c>
      <c r="AA35" s="41" t="str">
        <f t="shared" ref="AA35:AA42" si="118">IF($E35&gt;=AA$16,MID($H$16,IF($E35&gt;AA$16,INT(Z35),ROUND(Z35,0))+1,1),"")</f>
        <v>7</v>
      </c>
      <c r="AB35" s="24">
        <f t="shared" si="106"/>
        <v>2.8656518074858468</v>
      </c>
      <c r="AC35" s="41" t="str">
        <f t="shared" ref="AC35:AC42" si="119">IF($E35&gt;=AC$16,MID($H$16,IF($E35&gt;AC$16,INT(AB35),ROUND(AB35,0))+1,1),"")</f>
        <v>3</v>
      </c>
      <c r="AD35" s="24">
        <f t="shared" si="107"/>
        <v>10.387821689830162</v>
      </c>
      <c r="AE35" s="41" t="str">
        <f t="shared" ref="AE35:AE42" si="120">IF($E35&gt;=AE$16,MID($H$16,IF($E35&gt;AE$16,INT(AD35),ROUND(AD35,0))+1,1),"")</f>
        <v/>
      </c>
      <c r="AF35" s="24">
        <f t="shared" si="108"/>
        <v>4.6538602779619396</v>
      </c>
      <c r="AG35" s="41" t="str">
        <f t="shared" ref="AG35:AG42" si="121">IF($E35&gt;=AG$16,MID($H$16,IF($E35&gt;AG$16,INT(AF35),ROUND(AF35,0))+1,1),"")</f>
        <v/>
      </c>
      <c r="AH35" s="24">
        <f t="shared" si="109"/>
        <v>7.8463233355432749</v>
      </c>
      <c r="AI35" s="41" t="str">
        <f t="shared" ref="AI35:AI42" si="122">IF($E35&gt;=AI$16,MID($H$16,IF($E35&gt;AI$16,INT(AH35),ROUND(AH35,0))+1,1),"")</f>
        <v/>
      </c>
    </row>
    <row r="36" spans="1:35" ht="15" customHeight="1" x14ac:dyDescent="0.2">
      <c r="A36" s="581"/>
      <c r="B36" s="3" t="s">
        <v>146</v>
      </c>
      <c r="C36" s="3" t="s">
        <v>152</v>
      </c>
      <c r="D36" s="8">
        <f>1/D35</f>
        <v>1.3079506193143917</v>
      </c>
      <c r="E36" s="8">
        <v>9</v>
      </c>
      <c r="F36" s="38">
        <f>1/F35</f>
        <v>2.6423116497021819E-2</v>
      </c>
      <c r="G36" s="21" t="str">
        <f t="shared" si="97"/>
        <v>3;97XE00541</v>
      </c>
      <c r="H36" s="8">
        <v>-2</v>
      </c>
      <c r="I36" s="39">
        <f t="shared" si="96"/>
        <v>3.8049287755711423</v>
      </c>
      <c r="J36" s="94" t="str">
        <f>INDEX(powers!$H$2:$H$75,33+H36)</f>
        <v>dino</v>
      </c>
      <c r="K36" s="40" t="str">
        <f t="shared" si="110"/>
        <v>3</v>
      </c>
      <c r="L36" s="24">
        <f t="shared" si="98"/>
        <v>9.6591453068537074</v>
      </c>
      <c r="M36" s="41" t="str">
        <f t="shared" si="111"/>
        <v>9</v>
      </c>
      <c r="N36" s="24">
        <f t="shared" si="99"/>
        <v>7.9097436822444891</v>
      </c>
      <c r="O36" s="41" t="str">
        <f t="shared" si="112"/>
        <v>7</v>
      </c>
      <c r="P36" s="24">
        <f t="shared" si="100"/>
        <v>10.916924186933869</v>
      </c>
      <c r="Q36" s="41" t="str">
        <f t="shared" si="113"/>
        <v>X</v>
      </c>
      <c r="R36" s="24">
        <f t="shared" si="101"/>
        <v>11.003090243206429</v>
      </c>
      <c r="S36" s="41" t="str">
        <f t="shared" si="114"/>
        <v>E</v>
      </c>
      <c r="T36" s="24">
        <f t="shared" si="102"/>
        <v>3.7082918477153726E-2</v>
      </c>
      <c r="U36" s="41" t="str">
        <f t="shared" si="115"/>
        <v>0</v>
      </c>
      <c r="V36" s="24">
        <f t="shared" si="103"/>
        <v>0.44499502172584471</v>
      </c>
      <c r="W36" s="41" t="str">
        <f t="shared" si="116"/>
        <v>0</v>
      </c>
      <c r="X36" s="24">
        <f t="shared" si="104"/>
        <v>5.3399402607101365</v>
      </c>
      <c r="Y36" s="41" t="str">
        <f t="shared" si="117"/>
        <v>5</v>
      </c>
      <c r="Z36" s="24">
        <f t="shared" si="105"/>
        <v>4.079283128521638</v>
      </c>
      <c r="AA36" s="41" t="str">
        <f t="shared" si="118"/>
        <v>4</v>
      </c>
      <c r="AB36" s="24">
        <f t="shared" si="106"/>
        <v>0.95139754225965589</v>
      </c>
      <c r="AC36" s="41" t="str">
        <f t="shared" si="119"/>
        <v>1</v>
      </c>
      <c r="AD36" s="24">
        <f t="shared" si="107"/>
        <v>11.416770507115871</v>
      </c>
      <c r="AE36" s="41" t="str">
        <f t="shared" si="120"/>
        <v/>
      </c>
      <c r="AF36" s="24">
        <f t="shared" si="108"/>
        <v>5.0012460853904486</v>
      </c>
      <c r="AG36" s="41" t="str">
        <f t="shared" si="121"/>
        <v/>
      </c>
      <c r="AH36" s="24">
        <f t="shared" si="109"/>
        <v>1.4953024685382843E-2</v>
      </c>
      <c r="AI36" s="41" t="str">
        <f t="shared" si="122"/>
        <v/>
      </c>
    </row>
    <row r="37" spans="1:35" ht="14.25" customHeight="1" x14ac:dyDescent="0.2">
      <c r="A37" s="581"/>
      <c r="B37" s="2" t="s">
        <v>153</v>
      </c>
      <c r="C37" s="2" t="s">
        <v>158</v>
      </c>
      <c r="D37" s="8">
        <f>D$31*1760</f>
        <v>1609.3440000000003</v>
      </c>
      <c r="E37" s="8">
        <v>9</v>
      </c>
      <c r="F37" s="8">
        <f>D37/F$3</f>
        <v>5909.0543968066804</v>
      </c>
      <c r="G37" s="37" t="str">
        <f>K37&amp;";"&amp;M37&amp;O37&amp;Q37&amp;S37&amp;U37&amp;W37&amp;Y37&amp;AA37&amp;AC37&amp;AE37&amp;AG37&amp;AI37</f>
        <v>3;505079EE8</v>
      </c>
      <c r="H37" s="38">
        <v>3</v>
      </c>
      <c r="I37" s="39">
        <f t="shared" ref="I37:I42" si="123">F37/POWER(12,H37)</f>
        <v>3.4195916648186806</v>
      </c>
      <c r="J37" s="94" t="str">
        <f>INDEX(powers!$H$2:$H$75,33+H37)</f>
        <v>doz gross</v>
      </c>
      <c r="K37" s="40" t="str">
        <f t="shared" si="110"/>
        <v>3</v>
      </c>
      <c r="L37" s="24">
        <f>(I37-INT(I37))*12</f>
        <v>5.0350999778241672</v>
      </c>
      <c r="M37" s="41" t="str">
        <f t="shared" si="111"/>
        <v>5</v>
      </c>
      <c r="N37" s="24">
        <f>(L37-INT(L37))*12</f>
        <v>0.4211997338900062</v>
      </c>
      <c r="O37" s="41" t="str">
        <f t="shared" si="112"/>
        <v>0</v>
      </c>
      <c r="P37" s="24">
        <f>(N37-INT(N37))*12</f>
        <v>5.0543968066800744</v>
      </c>
      <c r="Q37" s="41" t="str">
        <f t="shared" si="113"/>
        <v>5</v>
      </c>
      <c r="R37" s="24">
        <f>(P37-INT(P37))*12</f>
        <v>0.65276168016089287</v>
      </c>
      <c r="S37" s="41" t="str">
        <f t="shared" si="114"/>
        <v>0</v>
      </c>
      <c r="T37" s="24">
        <f>(R37-INT(R37))*12</f>
        <v>7.8331401619307144</v>
      </c>
      <c r="U37" s="41" t="str">
        <f t="shared" si="115"/>
        <v>7</v>
      </c>
      <c r="V37" s="24">
        <f>(T37-INT(T37))*12</f>
        <v>9.9976819431685726</v>
      </c>
      <c r="W37" s="41" t="str">
        <f t="shared" si="116"/>
        <v>9</v>
      </c>
      <c r="X37" s="24">
        <f>(V37-INT(V37))*12</f>
        <v>11.972183318022871</v>
      </c>
      <c r="Y37" s="41" t="str">
        <f t="shared" si="117"/>
        <v>E</v>
      </c>
      <c r="Z37" s="24">
        <f>(X37-INT(X37))*12</f>
        <v>11.666199816274457</v>
      </c>
      <c r="AA37" s="41" t="str">
        <f t="shared" si="118"/>
        <v>E</v>
      </c>
      <c r="AB37" s="24">
        <f>(Z37-INT(Z37))*12</f>
        <v>7.9943977952934802</v>
      </c>
      <c r="AC37" s="41" t="str">
        <f t="shared" si="119"/>
        <v>8</v>
      </c>
      <c r="AD37" s="24">
        <f>(AB37-INT(AB37))*12</f>
        <v>11.932773543521762</v>
      </c>
      <c r="AE37" s="41" t="str">
        <f t="shared" si="120"/>
        <v/>
      </c>
      <c r="AF37" s="24">
        <f>(AD37-INT(AD37))*12</f>
        <v>11.193282522261143</v>
      </c>
      <c r="AG37" s="41" t="str">
        <f t="shared" si="121"/>
        <v/>
      </c>
      <c r="AH37" s="24">
        <f>(AF37-INT(AF37))*12</f>
        <v>2.3193902671337128</v>
      </c>
      <c r="AI37" s="41" t="str">
        <f t="shared" si="122"/>
        <v/>
      </c>
    </row>
    <row r="38" spans="1:35" ht="15" customHeight="1" x14ac:dyDescent="0.2">
      <c r="A38" s="581"/>
      <c r="B38" s="3" t="s">
        <v>154</v>
      </c>
      <c r="C38" s="3" t="s">
        <v>159</v>
      </c>
      <c r="D38" s="8">
        <f>1/D37</f>
        <v>6.2137119223733381E-4</v>
      </c>
      <c r="E38" s="8">
        <v>9</v>
      </c>
      <c r="F38" s="38">
        <f>1/F37</f>
        <v>1.6923181491448297E-4</v>
      </c>
      <c r="G38" s="21" t="str">
        <f t="shared" ref="G38:G40" si="124">K38&amp;";"&amp;M38&amp;O38&amp;Q38&amp;S38&amp;U38&amp;W38&amp;Y38&amp;AA38&amp;AC38&amp;AE38&amp;AG38&amp;AI38</f>
        <v>0;3613X6EE1</v>
      </c>
      <c r="H38" s="8">
        <v>-3</v>
      </c>
      <c r="I38" s="39">
        <f t="shared" si="123"/>
        <v>0.29243257617222662</v>
      </c>
      <c r="J38" s="94" t="str">
        <f>INDEX(powers!$H$2:$H$75,33+H38)</f>
        <v>terno</v>
      </c>
      <c r="K38" s="40" t="str">
        <f t="shared" si="110"/>
        <v>0</v>
      </c>
      <c r="L38" s="24">
        <f t="shared" ref="L38:L40" si="125">(I38-INT(I38))*12</f>
        <v>3.5091909140667195</v>
      </c>
      <c r="M38" s="41" t="str">
        <f t="shared" si="111"/>
        <v>3</v>
      </c>
      <c r="N38" s="24">
        <f t="shared" ref="N38:N40" si="126">(L38-INT(L38))*12</f>
        <v>6.1102909688006335</v>
      </c>
      <c r="O38" s="41" t="str">
        <f t="shared" si="112"/>
        <v>6</v>
      </c>
      <c r="P38" s="24">
        <f t="shared" ref="P38:P40" si="127">(N38-INT(N38))*12</f>
        <v>1.3234916256076019</v>
      </c>
      <c r="Q38" s="41" t="str">
        <f t="shared" si="113"/>
        <v>1</v>
      </c>
      <c r="R38" s="24">
        <f t="shared" ref="R38:R40" si="128">(P38-INT(P38))*12</f>
        <v>3.881899507291223</v>
      </c>
      <c r="S38" s="41" t="str">
        <f t="shared" si="114"/>
        <v>3</v>
      </c>
      <c r="T38" s="24">
        <f t="shared" ref="T38:T40" si="129">(R38-INT(R38))*12</f>
        <v>10.582794087494676</v>
      </c>
      <c r="U38" s="41" t="str">
        <f t="shared" si="115"/>
        <v>X</v>
      </c>
      <c r="V38" s="24">
        <f t="shared" ref="V38:V40" si="130">(T38-INT(T38))*12</f>
        <v>6.9935290499361145</v>
      </c>
      <c r="W38" s="41" t="str">
        <f t="shared" si="116"/>
        <v>6</v>
      </c>
      <c r="X38" s="24">
        <f t="shared" ref="X38:X40" si="131">(V38-INT(V38))*12</f>
        <v>11.922348599233374</v>
      </c>
      <c r="Y38" s="41" t="str">
        <f t="shared" si="117"/>
        <v>E</v>
      </c>
      <c r="Z38" s="24">
        <f t="shared" ref="Z38:Z40" si="132">(X38-INT(X38))*12</f>
        <v>11.068183190800482</v>
      </c>
      <c r="AA38" s="41" t="str">
        <f t="shared" si="118"/>
        <v>E</v>
      </c>
      <c r="AB38" s="24">
        <f t="shared" ref="AB38:AB40" si="133">(Z38-INT(Z38))*12</f>
        <v>0.81819828960578889</v>
      </c>
      <c r="AC38" s="41" t="str">
        <f t="shared" si="119"/>
        <v>1</v>
      </c>
      <c r="AD38" s="24">
        <f t="shared" ref="AD38:AD40" si="134">(AB38-INT(AB38))*12</f>
        <v>9.8183794752694666</v>
      </c>
      <c r="AE38" s="41" t="str">
        <f t="shared" si="120"/>
        <v/>
      </c>
      <c r="AF38" s="24">
        <f t="shared" ref="AF38:AF40" si="135">(AD38-INT(AD38))*12</f>
        <v>9.8205537032335997</v>
      </c>
      <c r="AG38" s="41" t="str">
        <f t="shared" si="121"/>
        <v/>
      </c>
      <c r="AH38" s="24">
        <f t="shared" ref="AH38:AH40" si="136">(AF38-INT(AF38))*12</f>
        <v>9.846644438803196</v>
      </c>
      <c r="AI38" s="41" t="str">
        <f t="shared" si="122"/>
        <v/>
      </c>
    </row>
    <row r="39" spans="1:35" ht="15" customHeight="1" x14ac:dyDescent="0.2">
      <c r="A39" s="581"/>
      <c r="B39" s="3" t="s">
        <v>155</v>
      </c>
      <c r="C39" s="3" t="s">
        <v>160</v>
      </c>
      <c r="D39" s="8">
        <f>D37*D37</f>
        <v>2589988.110336001</v>
      </c>
      <c r="E39" s="8">
        <v>9</v>
      </c>
      <c r="F39" s="8">
        <f>F37*F37</f>
        <v>34916923.864420362</v>
      </c>
      <c r="G39" s="37" t="str">
        <f t="shared" si="124"/>
        <v>0;E83X677X4</v>
      </c>
      <c r="H39" s="38">
        <v>7</v>
      </c>
      <c r="I39" s="39">
        <f t="shared" si="123"/>
        <v>0.9744672628414498</v>
      </c>
      <c r="J39" s="94" t="str">
        <f>INDEX(powers!$H$2:$H$75,33+H39)</f>
        <v>unino cosmic</v>
      </c>
      <c r="K39" s="40" t="str">
        <f t="shared" si="110"/>
        <v>0</v>
      </c>
      <c r="L39" s="24">
        <f t="shared" si="125"/>
        <v>11.693607154097398</v>
      </c>
      <c r="M39" s="41" t="str">
        <f t="shared" si="111"/>
        <v>E</v>
      </c>
      <c r="N39" s="24">
        <f t="shared" si="126"/>
        <v>8.3232858491687765</v>
      </c>
      <c r="O39" s="41" t="str">
        <f t="shared" si="112"/>
        <v>8</v>
      </c>
      <c r="P39" s="24">
        <f t="shared" si="127"/>
        <v>3.8794301900253174</v>
      </c>
      <c r="Q39" s="41" t="str">
        <f t="shared" si="113"/>
        <v>3</v>
      </c>
      <c r="R39" s="24">
        <f t="shared" si="128"/>
        <v>10.553162280303809</v>
      </c>
      <c r="S39" s="41" t="str">
        <f t="shared" si="114"/>
        <v>X</v>
      </c>
      <c r="T39" s="24">
        <f t="shared" si="129"/>
        <v>6.6379473636457078</v>
      </c>
      <c r="U39" s="41" t="str">
        <f t="shared" si="115"/>
        <v>6</v>
      </c>
      <c r="V39" s="24">
        <f t="shared" si="130"/>
        <v>7.6553683637484937</v>
      </c>
      <c r="W39" s="41" t="str">
        <f t="shared" si="116"/>
        <v>7</v>
      </c>
      <c r="X39" s="24">
        <f t="shared" si="131"/>
        <v>7.8644203649819246</v>
      </c>
      <c r="Y39" s="41" t="str">
        <f t="shared" si="117"/>
        <v>7</v>
      </c>
      <c r="Z39" s="24">
        <f t="shared" si="132"/>
        <v>10.373044379783096</v>
      </c>
      <c r="AA39" s="41" t="str">
        <f t="shared" si="118"/>
        <v>X</v>
      </c>
      <c r="AB39" s="24">
        <f t="shared" si="133"/>
        <v>4.4765325573971495</v>
      </c>
      <c r="AC39" s="41" t="str">
        <f t="shared" si="119"/>
        <v>4</v>
      </c>
      <c r="AD39" s="24">
        <f t="shared" si="134"/>
        <v>5.718390688765794</v>
      </c>
      <c r="AE39" s="41" t="str">
        <f t="shared" si="120"/>
        <v/>
      </c>
      <c r="AF39" s="24">
        <f t="shared" si="135"/>
        <v>8.6206882651895285</v>
      </c>
      <c r="AG39" s="41" t="str">
        <f t="shared" si="121"/>
        <v/>
      </c>
      <c r="AH39" s="24">
        <f t="shared" si="136"/>
        <v>7.4482591822743416</v>
      </c>
      <c r="AI39" s="41" t="str">
        <f t="shared" si="122"/>
        <v/>
      </c>
    </row>
    <row r="40" spans="1:35" ht="15" customHeight="1" x14ac:dyDescent="0.2">
      <c r="A40" s="581"/>
      <c r="B40" s="3" t="s">
        <v>156</v>
      </c>
      <c r="C40" s="3" t="s">
        <v>161</v>
      </c>
      <c r="D40" s="8">
        <f>1/D39</f>
        <v>3.8610215854244571E-7</v>
      </c>
      <c r="E40" s="8">
        <v>9</v>
      </c>
      <c r="F40" s="38">
        <f>1/F39</f>
        <v>2.8639407179249824E-8</v>
      </c>
      <c r="G40" s="21" t="str">
        <f t="shared" si="124"/>
        <v>1;039339E84</v>
      </c>
      <c r="H40" s="8">
        <v>-7</v>
      </c>
      <c r="I40" s="39">
        <f t="shared" si="123"/>
        <v>1.0262017392807012</v>
      </c>
      <c r="J40" s="94" t="str">
        <f>INDEX(powers!$H$2:$H$75,33+H40)</f>
        <v>dozen atomic</v>
      </c>
      <c r="K40" s="40" t="str">
        <f t="shared" si="110"/>
        <v>1</v>
      </c>
      <c r="L40" s="24">
        <f t="shared" si="125"/>
        <v>0.3144208713684149</v>
      </c>
      <c r="M40" s="41" t="str">
        <f t="shared" si="111"/>
        <v>0</v>
      </c>
      <c r="N40" s="24">
        <f t="shared" si="126"/>
        <v>3.7730504564209788</v>
      </c>
      <c r="O40" s="41" t="str">
        <f t="shared" si="112"/>
        <v>3</v>
      </c>
      <c r="P40" s="24">
        <f t="shared" si="127"/>
        <v>9.2766054770517457</v>
      </c>
      <c r="Q40" s="41" t="str">
        <f t="shared" si="113"/>
        <v>9</v>
      </c>
      <c r="R40" s="24">
        <f t="shared" si="128"/>
        <v>3.3192657246209478</v>
      </c>
      <c r="S40" s="41" t="str">
        <f t="shared" si="114"/>
        <v>3</v>
      </c>
      <c r="T40" s="24">
        <f t="shared" si="129"/>
        <v>3.8311886954513739</v>
      </c>
      <c r="U40" s="41" t="str">
        <f t="shared" si="115"/>
        <v>3</v>
      </c>
      <c r="V40" s="24">
        <f t="shared" si="130"/>
        <v>9.9742643454164863</v>
      </c>
      <c r="W40" s="41" t="str">
        <f t="shared" si="116"/>
        <v>9</v>
      </c>
      <c r="X40" s="24">
        <f t="shared" si="131"/>
        <v>11.691172144997836</v>
      </c>
      <c r="Y40" s="41" t="str">
        <f t="shared" si="117"/>
        <v>E</v>
      </c>
      <c r="Z40" s="24">
        <f t="shared" si="132"/>
        <v>8.2940657399740303</v>
      </c>
      <c r="AA40" s="41" t="str">
        <f t="shared" si="118"/>
        <v>8</v>
      </c>
      <c r="AB40" s="24">
        <f t="shared" si="133"/>
        <v>3.5287888796883635</v>
      </c>
      <c r="AC40" s="41" t="str">
        <f t="shared" si="119"/>
        <v>4</v>
      </c>
      <c r="AD40" s="24">
        <f t="shared" si="134"/>
        <v>6.3454665562603623</v>
      </c>
      <c r="AE40" s="41" t="str">
        <f t="shared" si="120"/>
        <v/>
      </c>
      <c r="AF40" s="24">
        <f t="shared" si="135"/>
        <v>4.1455986751243472</v>
      </c>
      <c r="AG40" s="41" t="str">
        <f t="shared" si="121"/>
        <v/>
      </c>
      <c r="AH40" s="24">
        <f t="shared" si="136"/>
        <v>1.7471841014921665</v>
      </c>
      <c r="AI40" s="41" t="str">
        <f t="shared" si="122"/>
        <v/>
      </c>
    </row>
    <row r="41" spans="1:35" ht="14.25" customHeight="1" x14ac:dyDescent="0.2">
      <c r="A41" s="581"/>
      <c r="B41" s="2" t="s">
        <v>188</v>
      </c>
      <c r="C41" s="2" t="s">
        <v>190</v>
      </c>
      <c r="D41" s="8">
        <f>D37/3600</f>
        <v>0.4470400000000001</v>
      </c>
      <c r="E41" s="8">
        <v>9</v>
      </c>
      <c r="F41" s="8">
        <f>D41/(F$3/F$4)</f>
        <v>0.64117362612184203</v>
      </c>
      <c r="G41" s="37" t="str">
        <f>K41&amp;";"&amp;M41&amp;O41&amp;Q41&amp;S41&amp;U41&amp;W41&amp;Y41&amp;AA41&amp;AC41&amp;AE41&amp;AG41&amp;AI41</f>
        <v>0;783E46232</v>
      </c>
      <c r="H41" s="38">
        <v>0</v>
      </c>
      <c r="I41" s="39">
        <f t="shared" si="123"/>
        <v>0.64117362612184203</v>
      </c>
      <c r="J41" s="94" t="str">
        <f>INDEX(powers!$H$2:$H$75,33+H41)</f>
        <v xml:space="preserve"> </v>
      </c>
      <c r="K41" s="40" t="str">
        <f t="shared" si="110"/>
        <v>0</v>
      </c>
      <c r="L41" s="24">
        <f>(I41-INT(I41))*12</f>
        <v>7.694083513462104</v>
      </c>
      <c r="M41" s="41" t="str">
        <f t="shared" si="111"/>
        <v>7</v>
      </c>
      <c r="N41" s="24">
        <f>(L41-INT(L41))*12</f>
        <v>8.3290021615452474</v>
      </c>
      <c r="O41" s="41" t="str">
        <f t="shared" si="112"/>
        <v>8</v>
      </c>
      <c r="P41" s="24">
        <f>(N41-INT(N41))*12</f>
        <v>3.948025938542969</v>
      </c>
      <c r="Q41" s="41" t="str">
        <f t="shared" si="113"/>
        <v>3</v>
      </c>
      <c r="R41" s="24">
        <f>(P41-INT(P41))*12</f>
        <v>11.376311262515628</v>
      </c>
      <c r="S41" s="41" t="str">
        <f t="shared" si="114"/>
        <v>E</v>
      </c>
      <c r="T41" s="24">
        <f>(R41-INT(R41))*12</f>
        <v>4.5157351501875382</v>
      </c>
      <c r="U41" s="41" t="str">
        <f t="shared" si="115"/>
        <v>4</v>
      </c>
      <c r="V41" s="24">
        <f>(T41-INT(T41))*12</f>
        <v>6.1888218022504589</v>
      </c>
      <c r="W41" s="41" t="str">
        <f t="shared" si="116"/>
        <v>6</v>
      </c>
      <c r="X41" s="24">
        <f>(V41-INT(V41))*12</f>
        <v>2.2658616270055063</v>
      </c>
      <c r="Y41" s="41" t="str">
        <f t="shared" si="117"/>
        <v>2</v>
      </c>
      <c r="Z41" s="24">
        <f>(X41-INT(X41))*12</f>
        <v>3.1903395240660757</v>
      </c>
      <c r="AA41" s="41" t="str">
        <f t="shared" si="118"/>
        <v>3</v>
      </c>
      <c r="AB41" s="24">
        <f>(Z41-INT(Z41))*12</f>
        <v>2.2840742887929082</v>
      </c>
      <c r="AC41" s="41" t="str">
        <f t="shared" si="119"/>
        <v>2</v>
      </c>
      <c r="AD41" s="24">
        <f>(AB41-INT(AB41))*12</f>
        <v>3.4088914655148983</v>
      </c>
      <c r="AE41" s="41" t="str">
        <f t="shared" si="120"/>
        <v/>
      </c>
      <c r="AF41" s="24">
        <f>(AD41-INT(AD41))*12</f>
        <v>4.9066975861787796</v>
      </c>
      <c r="AG41" s="41" t="str">
        <f t="shared" si="121"/>
        <v/>
      </c>
      <c r="AH41" s="24">
        <f>(AF41-INT(AF41))*12</f>
        <v>10.880371034145355</v>
      </c>
      <c r="AI41" s="41" t="str">
        <f t="shared" si="122"/>
        <v/>
      </c>
    </row>
    <row r="42" spans="1:35" ht="15" customHeight="1" x14ac:dyDescent="0.2">
      <c r="A42" s="581"/>
      <c r="B42" s="3" t="s">
        <v>189</v>
      </c>
      <c r="C42" s="3" t="s">
        <v>191</v>
      </c>
      <c r="D42" s="8">
        <f>1/D41</f>
        <v>2.2369362920544016</v>
      </c>
      <c r="E42" s="8">
        <v>9</v>
      </c>
      <c r="F42" s="38">
        <f>1/F41</f>
        <v>1.5596399465906452</v>
      </c>
      <c r="G42" s="21" t="str">
        <f t="shared" ref="G42" si="137">K42&amp;";"&amp;M42&amp;O42&amp;Q42&amp;S42&amp;U42&amp;W42&amp;Y42&amp;AA42&amp;AC42&amp;AE42&amp;AG42&amp;AI42</f>
        <v>1;687083E15</v>
      </c>
      <c r="H42" s="8">
        <v>0</v>
      </c>
      <c r="I42" s="39">
        <f t="shared" si="123"/>
        <v>1.5596399465906452</v>
      </c>
      <c r="J42" s="94" t="str">
        <f>INDEX(powers!$H$2:$H$75,33+H42)</f>
        <v xml:space="preserve"> </v>
      </c>
      <c r="K42" s="40" t="str">
        <f t="shared" si="110"/>
        <v>1</v>
      </c>
      <c r="L42" s="24">
        <f t="shared" ref="L42" si="138">(I42-INT(I42))*12</f>
        <v>6.7156793590877424</v>
      </c>
      <c r="M42" s="41" t="str">
        <f t="shared" si="111"/>
        <v>6</v>
      </c>
      <c r="N42" s="24">
        <f t="shared" ref="N42" si="139">(L42-INT(L42))*12</f>
        <v>8.5881523090529086</v>
      </c>
      <c r="O42" s="41" t="str">
        <f t="shared" si="112"/>
        <v>8</v>
      </c>
      <c r="P42" s="24">
        <f t="shared" ref="P42" si="140">(N42-INT(N42))*12</f>
        <v>7.0578277086349033</v>
      </c>
      <c r="Q42" s="41" t="str">
        <f t="shared" si="113"/>
        <v>7</v>
      </c>
      <c r="R42" s="24">
        <f t="shared" ref="R42" si="141">(P42-INT(P42))*12</f>
        <v>0.69393250361883929</v>
      </c>
      <c r="S42" s="41" t="str">
        <f t="shared" si="114"/>
        <v>0</v>
      </c>
      <c r="T42" s="24">
        <f t="shared" ref="T42" si="142">(R42-INT(R42))*12</f>
        <v>8.3271900434260715</v>
      </c>
      <c r="U42" s="41" t="str">
        <f t="shared" si="115"/>
        <v>8</v>
      </c>
      <c r="V42" s="24">
        <f t="shared" ref="V42" si="143">(T42-INT(T42))*12</f>
        <v>3.926280521112858</v>
      </c>
      <c r="W42" s="41" t="str">
        <f t="shared" si="116"/>
        <v>3</v>
      </c>
      <c r="X42" s="24">
        <f t="shared" ref="X42" si="144">(V42-INT(V42))*12</f>
        <v>11.115366253354296</v>
      </c>
      <c r="Y42" s="41" t="str">
        <f t="shared" si="117"/>
        <v>E</v>
      </c>
      <c r="Z42" s="24">
        <f t="shared" ref="Z42" si="145">(X42-INT(X42))*12</f>
        <v>1.3843950402515475</v>
      </c>
      <c r="AA42" s="41" t="str">
        <f t="shared" si="118"/>
        <v>1</v>
      </c>
      <c r="AB42" s="24">
        <f t="shared" ref="AB42" si="146">(Z42-INT(Z42))*12</f>
        <v>4.6127404830185696</v>
      </c>
      <c r="AC42" s="41" t="str">
        <f t="shared" si="119"/>
        <v>5</v>
      </c>
      <c r="AD42" s="24">
        <f t="shared" ref="AD42" si="147">(AB42-INT(AB42))*12</f>
        <v>7.3528857962228358</v>
      </c>
      <c r="AE42" s="41" t="str">
        <f t="shared" si="120"/>
        <v/>
      </c>
      <c r="AF42" s="24">
        <f t="shared" ref="AF42" si="148">(AD42-INT(AD42))*12</f>
        <v>4.2346295546740294</v>
      </c>
      <c r="AG42" s="41" t="str">
        <f t="shared" si="121"/>
        <v/>
      </c>
      <c r="AH42" s="24">
        <f t="shared" ref="AH42" si="149">(AF42-INT(AF42))*12</f>
        <v>2.8155546560883522</v>
      </c>
      <c r="AI42" s="41" t="str">
        <f t="shared" si="122"/>
        <v/>
      </c>
    </row>
    <row r="43" spans="1:35" ht="14.25" customHeight="1" x14ac:dyDescent="0.2">
      <c r="A43" s="581"/>
      <c r="B43" s="2" t="s">
        <v>162</v>
      </c>
      <c r="C43" s="2" t="s">
        <v>164</v>
      </c>
      <c r="D43" s="8">
        <f>D$33*4840</f>
        <v>4046.8564224000011</v>
      </c>
      <c r="E43" s="8">
        <v>9</v>
      </c>
      <c r="F43" s="8">
        <f>D43/(F$3*F$3)</f>
        <v>54557.693538156804</v>
      </c>
      <c r="G43" s="37" t="str">
        <f>K43&amp;";"&amp;M43&amp;O43&amp;Q43&amp;S43&amp;U43&amp;W43&amp;Y43&amp;AA43&amp;AC43&amp;AE43&amp;AG43&amp;AI43</f>
        <v>2;76X583X52</v>
      </c>
      <c r="H43" s="38">
        <v>4</v>
      </c>
      <c r="I43" s="39">
        <f t="shared" ref="I43:I44" si="150">F43/POWER(12,H43)</f>
        <v>2.6310616096719137</v>
      </c>
      <c r="J43" s="94" t="str">
        <f>INDEX(powers!$H$2:$H$75,33+H43)</f>
        <v>hyper</v>
      </c>
      <c r="K43" s="40" t="str">
        <f t="shared" ref="K43:K44" si="151">IF($E43&gt;=K$16,MID($H$16,IF($E43&gt;K$16,INT(I43),ROUND(I43,0))+1,1),"")</f>
        <v>2</v>
      </c>
      <c r="L43" s="24">
        <f>(I43-INT(I43))*12</f>
        <v>7.5727393160629646</v>
      </c>
      <c r="M43" s="41" t="str">
        <f t="shared" ref="M43:M44" si="152">IF($E43&gt;=M$16,MID($H$16,IF($E43&gt;M$16,INT(L43),ROUND(L43,0))+1,1),"")</f>
        <v>7</v>
      </c>
      <c r="N43" s="24">
        <f>(L43-INT(L43))*12</f>
        <v>6.8728717927555749</v>
      </c>
      <c r="O43" s="41" t="str">
        <f t="shared" ref="O43:O44" si="153">IF($E43&gt;=O$16,MID($H$16,IF($E43&gt;O$16,INT(N43),ROUND(N43,0))+1,1),"")</f>
        <v>6</v>
      </c>
      <c r="P43" s="24">
        <f>(N43-INT(N43))*12</f>
        <v>10.474461513066899</v>
      </c>
      <c r="Q43" s="41" t="str">
        <f t="shared" ref="Q43:Q44" si="154">IF($E43&gt;=Q$16,MID($H$16,IF($E43&gt;Q$16,INT(P43),ROUND(P43,0))+1,1),"")</f>
        <v>X</v>
      </c>
      <c r="R43" s="24">
        <f>(P43-INT(P43))*12</f>
        <v>5.6935381568027879</v>
      </c>
      <c r="S43" s="41" t="str">
        <f t="shared" ref="S43:S44" si="155">IF($E43&gt;=S$16,MID($H$16,IF($E43&gt;S$16,INT(R43),ROUND(R43,0))+1,1),"")</f>
        <v>5</v>
      </c>
      <c r="T43" s="24">
        <f>(R43-INT(R43))*12</f>
        <v>8.3224578816334542</v>
      </c>
      <c r="U43" s="41" t="str">
        <f t="shared" ref="U43:U44" si="156">IF($E43&gt;=U$16,MID($H$16,IF($E43&gt;U$16,INT(T43),ROUND(T43,0))+1,1),"")</f>
        <v>8</v>
      </c>
      <c r="V43" s="24">
        <f>(T43-INT(T43))*12</f>
        <v>3.8694945796014508</v>
      </c>
      <c r="W43" s="41" t="str">
        <f t="shared" ref="W43:W44" si="157">IF($E43&gt;=W$16,MID($H$16,IF($E43&gt;W$16,INT(V43),ROUND(V43,0))+1,1),"")</f>
        <v>3</v>
      </c>
      <c r="X43" s="24">
        <f>(V43-INT(V43))*12</f>
        <v>10.43393495521741</v>
      </c>
      <c r="Y43" s="41" t="str">
        <f t="shared" ref="Y43:Y44" si="158">IF($E43&gt;=Y$16,MID($H$16,IF($E43&gt;Y$16,INT(X43),ROUND(X43,0))+1,1),"")</f>
        <v>X</v>
      </c>
      <c r="Z43" s="24">
        <f>(X43-INT(X43))*12</f>
        <v>5.2072194626089185</v>
      </c>
      <c r="AA43" s="41" t="str">
        <f t="shared" ref="AA43:AA44" si="159">IF($E43&gt;=AA$16,MID($H$16,IF($E43&gt;AA$16,INT(Z43),ROUND(Z43,0))+1,1),"")</f>
        <v>5</v>
      </c>
      <c r="AB43" s="24">
        <f>(Z43-INT(Z43))*12</f>
        <v>2.4866335513070226</v>
      </c>
      <c r="AC43" s="41" t="str">
        <f t="shared" ref="AC43:AC44" si="160">IF($E43&gt;=AC$16,MID($H$16,IF($E43&gt;AC$16,INT(AB43),ROUND(AB43,0))+1,1),"")</f>
        <v>2</v>
      </c>
      <c r="AD43" s="24">
        <f>(AB43-INT(AB43))*12</f>
        <v>5.8396026156842709</v>
      </c>
      <c r="AE43" s="41" t="str">
        <f t="shared" ref="AE43:AE44" si="161">IF($E43&gt;=AE$16,MID($H$16,IF($E43&gt;AE$16,INT(AD43),ROUND(AD43,0))+1,1),"")</f>
        <v/>
      </c>
      <c r="AF43" s="24">
        <f>(AD43-INT(AD43))*12</f>
        <v>10.07523138821125</v>
      </c>
      <c r="AG43" s="41" t="str">
        <f t="shared" ref="AG43:AG44" si="162">IF($E43&gt;=AG$16,MID($H$16,IF($E43&gt;AG$16,INT(AF43),ROUND(AF43,0))+1,1),"")</f>
        <v/>
      </c>
      <c r="AH43" s="24">
        <f>(AF43-INT(AF43))*12</f>
        <v>0.90277665853500366</v>
      </c>
      <c r="AI43" s="41" t="str">
        <f t="shared" ref="AI43:AI44" si="163">IF($E43&gt;=AI$16,MID($H$16,IF($E43&gt;AI$16,INT(AH43),ROUND(AH43,0))+1,1),"")</f>
        <v/>
      </c>
    </row>
    <row r="44" spans="1:35" ht="15" customHeight="1" x14ac:dyDescent="0.2">
      <c r="A44" s="581"/>
      <c r="B44" s="3" t="s">
        <v>163</v>
      </c>
      <c r="C44" s="3" t="s">
        <v>165</v>
      </c>
      <c r="D44" s="8">
        <f>1/D43</f>
        <v>2.4710538146716527E-4</v>
      </c>
      <c r="E44" s="8">
        <v>9</v>
      </c>
      <c r="F44" s="38">
        <f>1/F43</f>
        <v>1.832922059471989E-5</v>
      </c>
      <c r="G44" s="21" t="str">
        <f t="shared" ref="G44" si="164">K44&amp;";"&amp;M44&amp;O44&amp;Q44&amp;S44&amp;U44&amp;W44&amp;Y44&amp;AA44&amp;AC44&amp;AE44&amp;AG44&amp;AI44</f>
        <v>0;46892903</v>
      </c>
      <c r="H44" s="8">
        <v>-4</v>
      </c>
      <c r="I44" s="39">
        <f t="shared" si="150"/>
        <v>0.38007471825211164</v>
      </c>
      <c r="J44" s="94" t="str">
        <f>INDEX(powers!$H$2:$H$75,33+H44)</f>
        <v>sub</v>
      </c>
      <c r="K44" s="40" t="str">
        <f t="shared" si="151"/>
        <v>0</v>
      </c>
      <c r="L44" s="24">
        <f t="shared" ref="L44" si="165">(I44-INT(I44))*12</f>
        <v>4.5608966190253399</v>
      </c>
      <c r="M44" s="41" t="str">
        <f t="shared" si="152"/>
        <v>4</v>
      </c>
      <c r="N44" s="24">
        <f t="shared" ref="N44" si="166">(L44-INT(L44))*12</f>
        <v>6.7307594283040793</v>
      </c>
      <c r="O44" s="41" t="str">
        <f t="shared" si="153"/>
        <v>6</v>
      </c>
      <c r="P44" s="24">
        <f t="shared" ref="P44" si="167">(N44-INT(N44))*12</f>
        <v>8.769113139648951</v>
      </c>
      <c r="Q44" s="41" t="str">
        <f t="shared" si="154"/>
        <v>8</v>
      </c>
      <c r="R44" s="24">
        <f t="shared" ref="R44" si="168">(P44-INT(P44))*12</f>
        <v>9.2293576757874121</v>
      </c>
      <c r="S44" s="41" t="str">
        <f t="shared" si="155"/>
        <v>9</v>
      </c>
      <c r="T44" s="24">
        <f t="shared" ref="T44" si="169">(R44-INT(R44))*12</f>
        <v>2.7522921094489448</v>
      </c>
      <c r="U44" s="41" t="str">
        <f t="shared" si="156"/>
        <v>2</v>
      </c>
      <c r="V44" s="24">
        <f t="shared" ref="V44" si="170">(T44-INT(T44))*12</f>
        <v>9.0275053133873371</v>
      </c>
      <c r="W44" s="41" t="str">
        <f t="shared" si="157"/>
        <v>9</v>
      </c>
      <c r="X44" s="24">
        <f t="shared" ref="X44" si="171">(V44-INT(V44))*12</f>
        <v>0.33006376064804499</v>
      </c>
      <c r="Y44" s="41" t="str">
        <f t="shared" si="158"/>
        <v>0</v>
      </c>
      <c r="Z44" s="24">
        <f t="shared" ref="Z44" si="172">(X44-INT(X44))*12</f>
        <v>3.9607651277765399</v>
      </c>
      <c r="AA44" s="41" t="str">
        <f t="shared" si="159"/>
        <v>3</v>
      </c>
      <c r="AB44" s="24">
        <f t="shared" ref="AB44" si="173">(Z44-INT(Z44))*12</f>
        <v>11.529181533318479</v>
      </c>
      <c r="AC44" s="41" t="str">
        <f t="shared" si="160"/>
        <v/>
      </c>
      <c r="AD44" s="24">
        <f t="shared" ref="AD44" si="174">(AB44-INT(AB44))*12</f>
        <v>6.3501783998217434</v>
      </c>
      <c r="AE44" s="41" t="str">
        <f t="shared" si="161"/>
        <v/>
      </c>
      <c r="AF44" s="24">
        <f t="shared" ref="AF44" si="175">(AD44-INT(AD44))*12</f>
        <v>4.2021407978609204</v>
      </c>
      <c r="AG44" s="41" t="str">
        <f t="shared" si="162"/>
        <v/>
      </c>
      <c r="AH44" s="24">
        <f t="shared" ref="AH44" si="176">(AF44-INT(AF44))*12</f>
        <v>2.4256895743310452</v>
      </c>
      <c r="AI44" s="41" t="str">
        <f t="shared" si="163"/>
        <v/>
      </c>
    </row>
    <row r="45" spans="1:35" ht="14.25" customHeight="1" x14ac:dyDescent="0.2">
      <c r="A45" s="581"/>
      <c r="B45" s="2" t="s">
        <v>168</v>
      </c>
      <c r="C45" s="2" t="s">
        <v>166</v>
      </c>
      <c r="D45" s="87">
        <v>4.54609E-3</v>
      </c>
      <c r="E45" s="8">
        <v>9</v>
      </c>
      <c r="F45" s="8">
        <f>D45/(F$3*F$3*F$3)</f>
        <v>0.22503254798233777</v>
      </c>
      <c r="G45" s="37" t="str">
        <f>K45&amp;";"&amp;M45&amp;O45&amp;Q45&amp;S45&amp;U45&amp;W45&amp;Y45&amp;AA45&amp;AC45&amp;AE45&amp;AG45&amp;AI45</f>
        <v>2;84X337078</v>
      </c>
      <c r="H45" s="38">
        <v>-1</v>
      </c>
      <c r="I45" s="39">
        <f t="shared" ref="I45:I46" si="177">F45/POWER(12,H45)</f>
        <v>2.7003905757880533</v>
      </c>
      <c r="J45" s="94" t="str">
        <f>INDEX(powers!$H$2:$H$75,33+H45)</f>
        <v>unino</v>
      </c>
      <c r="K45" s="40" t="str">
        <f t="shared" ref="K45:K46" si="178">IF($E45&gt;=K$16,MID($H$16,IF($E45&gt;K$16,INT(I45),ROUND(I45,0))+1,1),"")</f>
        <v>2</v>
      </c>
      <c r="L45" s="24">
        <f>(I45-INT(I45))*12</f>
        <v>8.4046869094566397</v>
      </c>
      <c r="M45" s="41" t="str">
        <f t="shared" ref="M45:M46" si="179">IF($E45&gt;=M$16,MID($H$16,IF($E45&gt;M$16,INT(L45),ROUND(L45,0))+1,1),"")</f>
        <v>8</v>
      </c>
      <c r="N45" s="24">
        <f>(L45-INT(L45))*12</f>
        <v>4.8562429134796758</v>
      </c>
      <c r="O45" s="41" t="str">
        <f t="shared" ref="O45:O46" si="180">IF($E45&gt;=O$16,MID($H$16,IF($E45&gt;O$16,INT(N45),ROUND(N45,0))+1,1),"")</f>
        <v>4</v>
      </c>
      <c r="P45" s="24">
        <f>(N45-INT(N45))*12</f>
        <v>10.27491496175611</v>
      </c>
      <c r="Q45" s="41" t="str">
        <f t="shared" ref="Q45:Q46" si="181">IF($E45&gt;=Q$16,MID($H$16,IF($E45&gt;Q$16,INT(P45),ROUND(P45,0))+1,1),"")</f>
        <v>X</v>
      </c>
      <c r="R45" s="24">
        <f>(P45-INT(P45))*12</f>
        <v>3.2989795410733223</v>
      </c>
      <c r="S45" s="41" t="str">
        <f t="shared" ref="S45:S46" si="182">IF($E45&gt;=S$16,MID($H$16,IF($E45&gt;S$16,INT(R45),ROUND(R45,0))+1,1),"")</f>
        <v>3</v>
      </c>
      <c r="T45" s="24">
        <f>(R45-INT(R45))*12</f>
        <v>3.587754492879867</v>
      </c>
      <c r="U45" s="41" t="str">
        <f t="shared" ref="U45:U46" si="183">IF($E45&gt;=U$16,MID($H$16,IF($E45&gt;U$16,INT(T45),ROUND(T45,0))+1,1),"")</f>
        <v>3</v>
      </c>
      <c r="V45" s="24">
        <f>(T45-INT(T45))*12</f>
        <v>7.0530539145584044</v>
      </c>
      <c r="W45" s="41" t="str">
        <f t="shared" ref="W45:W46" si="184">IF($E45&gt;=W$16,MID($H$16,IF($E45&gt;W$16,INT(V45),ROUND(V45,0))+1,1),"")</f>
        <v>7</v>
      </c>
      <c r="X45" s="24">
        <f>(V45-INT(V45))*12</f>
        <v>0.6366469747008523</v>
      </c>
      <c r="Y45" s="41" t="str">
        <f t="shared" ref="Y45:Y46" si="185">IF($E45&gt;=Y$16,MID($H$16,IF($E45&gt;Y$16,INT(X45),ROUND(X45,0))+1,1),"")</f>
        <v>0</v>
      </c>
      <c r="Z45" s="24">
        <f>(X45-INT(X45))*12</f>
        <v>7.6397636964102276</v>
      </c>
      <c r="AA45" s="41" t="str">
        <f t="shared" ref="AA45:AA46" si="186">IF($E45&gt;=AA$16,MID($H$16,IF($E45&gt;AA$16,INT(Z45),ROUND(Z45,0))+1,1),"")</f>
        <v>7</v>
      </c>
      <c r="AB45" s="24">
        <f>(Z45-INT(Z45))*12</f>
        <v>7.6771643569227308</v>
      </c>
      <c r="AC45" s="41" t="str">
        <f t="shared" ref="AC45:AC46" si="187">IF($E45&gt;=AC$16,MID($H$16,IF($E45&gt;AC$16,INT(AB45),ROUND(AB45,0))+1,1),"")</f>
        <v>8</v>
      </c>
      <c r="AD45" s="24">
        <f>(AB45-INT(AB45))*12</f>
        <v>8.1259722830727696</v>
      </c>
      <c r="AE45" s="41" t="str">
        <f t="shared" ref="AE45:AE46" si="188">IF($E45&gt;=AE$16,MID($H$16,IF($E45&gt;AE$16,INT(AD45),ROUND(AD45,0))+1,1),"")</f>
        <v/>
      </c>
      <c r="AF45" s="24">
        <f>(AD45-INT(AD45))*12</f>
        <v>1.5116673968732357</v>
      </c>
      <c r="AG45" s="41" t="str">
        <f t="shared" ref="AG45:AG46" si="189">IF($E45&gt;=AG$16,MID($H$16,IF($E45&gt;AG$16,INT(AF45),ROUND(AF45,0))+1,1),"")</f>
        <v/>
      </c>
      <c r="AH45" s="24">
        <f>(AF45-INT(AF45))*12</f>
        <v>6.1400087624788284</v>
      </c>
      <c r="AI45" s="41" t="str">
        <f t="shared" ref="AI45:AI46" si="190">IF($E45&gt;=AI$16,MID($H$16,IF($E45&gt;AI$16,INT(AH45),ROUND(AH45,0))+1,1),"")</f>
        <v/>
      </c>
    </row>
    <row r="46" spans="1:35" ht="15" customHeight="1" x14ac:dyDescent="0.2">
      <c r="A46" s="581"/>
      <c r="B46" s="3" t="s">
        <v>169</v>
      </c>
      <c r="C46" s="3" t="s">
        <v>167</v>
      </c>
      <c r="D46" s="8">
        <f>1/D45</f>
        <v>219.96924829908778</v>
      </c>
      <c r="E46" s="8">
        <v>9</v>
      </c>
      <c r="F46" s="38">
        <f>1/F45</f>
        <v>4.4438016143268637</v>
      </c>
      <c r="G46" s="21" t="str">
        <f t="shared" ref="G46" si="191">K46&amp;";"&amp;M46&amp;O46&amp;Q46&amp;S46&amp;U46&amp;W46&amp;Y46&amp;AA46&amp;AC46&amp;AE46&amp;AG46&amp;AI46</f>
        <v>0;453XX8063</v>
      </c>
      <c r="H46" s="8">
        <v>1</v>
      </c>
      <c r="I46" s="39">
        <f t="shared" si="177"/>
        <v>0.37031680119390531</v>
      </c>
      <c r="J46" s="94" t="str">
        <f>INDEX(powers!$H$2:$H$75,33+H46)</f>
        <v>dozen</v>
      </c>
      <c r="K46" s="40" t="str">
        <f t="shared" si="178"/>
        <v>0</v>
      </c>
      <c r="L46" s="24">
        <f t="shared" ref="L46" si="192">(I46-INT(I46))*12</f>
        <v>4.4438016143268637</v>
      </c>
      <c r="M46" s="41" t="str">
        <f t="shared" si="179"/>
        <v>4</v>
      </c>
      <c r="N46" s="24">
        <f t="shared" ref="N46" si="193">(L46-INT(L46))*12</f>
        <v>5.3256193719223646</v>
      </c>
      <c r="O46" s="41" t="str">
        <f t="shared" si="180"/>
        <v>5</v>
      </c>
      <c r="P46" s="24">
        <f t="shared" ref="P46" si="194">(N46-INT(N46))*12</f>
        <v>3.9074324630683748</v>
      </c>
      <c r="Q46" s="41" t="str">
        <f t="shared" si="181"/>
        <v>3</v>
      </c>
      <c r="R46" s="24">
        <f t="shared" ref="R46" si="195">(P46-INT(P46))*12</f>
        <v>10.889189556820497</v>
      </c>
      <c r="S46" s="41" t="str">
        <f t="shared" si="182"/>
        <v>X</v>
      </c>
      <c r="T46" s="24">
        <f t="shared" ref="T46" si="196">(R46-INT(R46))*12</f>
        <v>10.670274681845967</v>
      </c>
      <c r="U46" s="41" t="str">
        <f t="shared" si="183"/>
        <v>X</v>
      </c>
      <c r="V46" s="24">
        <f t="shared" ref="V46" si="197">(T46-INT(T46))*12</f>
        <v>8.0432961821516074</v>
      </c>
      <c r="W46" s="41" t="str">
        <f t="shared" si="184"/>
        <v>8</v>
      </c>
      <c r="X46" s="24">
        <f t="shared" ref="X46" si="198">(V46-INT(V46))*12</f>
        <v>0.51955418581928825</v>
      </c>
      <c r="Y46" s="41" t="str">
        <f t="shared" si="185"/>
        <v>0</v>
      </c>
      <c r="Z46" s="24">
        <f t="shared" ref="Z46" si="199">(X46-INT(X46))*12</f>
        <v>6.234650229831459</v>
      </c>
      <c r="AA46" s="41" t="str">
        <f t="shared" si="186"/>
        <v>6</v>
      </c>
      <c r="AB46" s="24">
        <f t="shared" ref="AB46" si="200">(Z46-INT(Z46))*12</f>
        <v>2.815802757977508</v>
      </c>
      <c r="AC46" s="41" t="str">
        <f t="shared" si="187"/>
        <v>3</v>
      </c>
      <c r="AD46" s="24">
        <f t="shared" ref="AD46" si="201">(AB46-INT(AB46))*12</f>
        <v>9.7896330957300961</v>
      </c>
      <c r="AE46" s="41" t="str">
        <f t="shared" si="188"/>
        <v/>
      </c>
      <c r="AF46" s="24">
        <f t="shared" ref="AF46" si="202">(AD46-INT(AD46))*12</f>
        <v>9.4755971487611532</v>
      </c>
      <c r="AG46" s="41" t="str">
        <f t="shared" si="189"/>
        <v/>
      </c>
      <c r="AH46" s="24">
        <f t="shared" ref="AH46" si="203">(AF46-INT(AF46))*12</f>
        <v>5.7071657851338387</v>
      </c>
      <c r="AI46" s="41" t="str">
        <f t="shared" si="190"/>
        <v/>
      </c>
    </row>
    <row r="47" spans="1:35" ht="14.25" customHeight="1" x14ac:dyDescent="0.2">
      <c r="A47" s="581"/>
      <c r="B47" s="2" t="s">
        <v>170</v>
      </c>
      <c r="C47" s="2" t="s">
        <v>166</v>
      </c>
      <c r="D47" s="87">
        <v>3.7854117840000001E-3</v>
      </c>
      <c r="E47" s="8">
        <v>9</v>
      </c>
      <c r="F47" s="8">
        <f>D47/(F$3*F$3*F$3)</f>
        <v>0.18737879340617691</v>
      </c>
      <c r="G47" s="37" t="str">
        <f>K47&amp;";"&amp;M47&amp;O47&amp;Q47&amp;S47&amp;U47&amp;W47&amp;Y47&amp;AA47&amp;AC47&amp;AE47&amp;AG47&amp;AI47</f>
        <v>2;2E95X0E47</v>
      </c>
      <c r="H47" s="38">
        <v>-1</v>
      </c>
      <c r="I47" s="39">
        <f t="shared" ref="I47:I50" si="204">F47/POWER(12,H47)</f>
        <v>2.248545520874123</v>
      </c>
      <c r="J47" s="94" t="str">
        <f>INDEX(powers!$H$2:$H$75,33+H47)</f>
        <v>unino</v>
      </c>
      <c r="K47" s="40" t="str">
        <f t="shared" ref="K47:K50" si="205">IF($E47&gt;=K$16,MID($H$16,IF($E47&gt;K$16,INT(I47),ROUND(I47,0))+1,1),"")</f>
        <v>2</v>
      </c>
      <c r="L47" s="24">
        <f>(I47-INT(I47))*12</f>
        <v>2.9825462504894755</v>
      </c>
      <c r="M47" s="41" t="str">
        <f t="shared" ref="M47:M50" si="206">IF($E47&gt;=M$16,MID($H$16,IF($E47&gt;M$16,INT(L47),ROUND(L47,0))+1,1),"")</f>
        <v>2</v>
      </c>
      <c r="N47" s="24">
        <f>(L47-INT(L47))*12</f>
        <v>11.790555005873706</v>
      </c>
      <c r="O47" s="41" t="str">
        <f t="shared" ref="O47:O50" si="207">IF($E47&gt;=O$16,MID($H$16,IF($E47&gt;O$16,INT(N47),ROUND(N47,0))+1,1),"")</f>
        <v>E</v>
      </c>
      <c r="P47" s="24">
        <f>(N47-INT(N47))*12</f>
        <v>9.4866600704844757</v>
      </c>
      <c r="Q47" s="41" t="str">
        <f t="shared" ref="Q47:Q50" si="208">IF($E47&gt;=Q$16,MID($H$16,IF($E47&gt;Q$16,INT(P47),ROUND(P47,0))+1,1),"")</f>
        <v>9</v>
      </c>
      <c r="R47" s="24">
        <f>(P47-INT(P47))*12</f>
        <v>5.8399208458137082</v>
      </c>
      <c r="S47" s="41" t="str">
        <f t="shared" ref="S47:S50" si="209">IF($E47&gt;=S$16,MID($H$16,IF($E47&gt;S$16,INT(R47),ROUND(R47,0))+1,1),"")</f>
        <v>5</v>
      </c>
      <c r="T47" s="24">
        <f>(R47-INT(R47))*12</f>
        <v>10.079050149764498</v>
      </c>
      <c r="U47" s="41" t="str">
        <f t="shared" ref="U47:U50" si="210">IF($E47&gt;=U$16,MID($H$16,IF($E47&gt;U$16,INT(T47),ROUND(T47,0))+1,1),"")</f>
        <v>X</v>
      </c>
      <c r="V47" s="24">
        <f>(T47-INT(T47))*12</f>
        <v>0.94860179717397841</v>
      </c>
      <c r="W47" s="41" t="str">
        <f t="shared" ref="W47:W50" si="211">IF($E47&gt;=W$16,MID($H$16,IF($E47&gt;W$16,INT(V47),ROUND(V47,0))+1,1),"")</f>
        <v>0</v>
      </c>
      <c r="X47" s="24">
        <f>(V47-INT(V47))*12</f>
        <v>11.383221566087741</v>
      </c>
      <c r="Y47" s="41" t="str">
        <f t="shared" ref="Y47:Y50" si="212">IF($E47&gt;=Y$16,MID($H$16,IF($E47&gt;Y$16,INT(X47),ROUND(X47,0))+1,1),"")</f>
        <v>E</v>
      </c>
      <c r="Z47" s="24">
        <f>(X47-INT(X47))*12</f>
        <v>4.5986587930528913</v>
      </c>
      <c r="AA47" s="41" t="str">
        <f t="shared" ref="AA47:AA50" si="213">IF($E47&gt;=AA$16,MID($H$16,IF($E47&gt;AA$16,INT(Z47),ROUND(Z47,0))+1,1),"")</f>
        <v>4</v>
      </c>
      <c r="AB47" s="24">
        <f>(Z47-INT(Z47))*12</f>
        <v>7.1839055166346952</v>
      </c>
      <c r="AC47" s="41" t="str">
        <f t="shared" ref="AC47:AC50" si="214">IF($E47&gt;=AC$16,MID($H$16,IF($E47&gt;AC$16,INT(AB47),ROUND(AB47,0))+1,1),"")</f>
        <v>7</v>
      </c>
      <c r="AD47" s="24">
        <f>(AB47-INT(AB47))*12</f>
        <v>2.2068661996163428</v>
      </c>
      <c r="AE47" s="41" t="str">
        <f t="shared" ref="AE47:AE50" si="215">IF($E47&gt;=AE$16,MID($H$16,IF($E47&gt;AE$16,INT(AD47),ROUND(AD47,0))+1,1),"")</f>
        <v/>
      </c>
      <c r="AF47" s="24">
        <f>(AD47-INT(AD47))*12</f>
        <v>2.4823943953961134</v>
      </c>
      <c r="AG47" s="41" t="str">
        <f t="shared" ref="AG47:AG50" si="216">IF($E47&gt;=AG$16,MID($H$16,IF($E47&gt;AG$16,INT(AF47),ROUND(AF47,0))+1,1),"")</f>
        <v/>
      </c>
      <c r="AH47" s="24">
        <f>(AF47-INT(AF47))*12</f>
        <v>5.7887327447533607</v>
      </c>
      <c r="AI47" s="41" t="str">
        <f t="shared" ref="AI47:AI50" si="217">IF($E47&gt;=AI$16,MID($H$16,IF($E47&gt;AI$16,INT(AH47),ROUND(AH47,0))+1,1),"")</f>
        <v/>
      </c>
    </row>
    <row r="48" spans="1:35" ht="15" customHeight="1" x14ac:dyDescent="0.2">
      <c r="A48" s="581"/>
      <c r="B48" s="3" t="s">
        <v>171</v>
      </c>
      <c r="C48" s="3" t="s">
        <v>167</v>
      </c>
      <c r="D48" s="8">
        <f>1/D47</f>
        <v>264.17205235814839</v>
      </c>
      <c r="E48" s="8">
        <v>9</v>
      </c>
      <c r="F48" s="38">
        <f>1/F47</f>
        <v>5.3367832176842009</v>
      </c>
      <c r="G48" s="21" t="str">
        <f t="shared" ref="G48" si="218">K48&amp;";"&amp;M48&amp;O48&amp;Q48&amp;S48&amp;U48&amp;W48&amp;Y48&amp;AA48&amp;AC48&amp;AE48&amp;AG48&amp;AI48</f>
        <v>0;5405E6537</v>
      </c>
      <c r="H48" s="8">
        <v>1</v>
      </c>
      <c r="I48" s="39">
        <f t="shared" si="204"/>
        <v>0.44473193480701673</v>
      </c>
      <c r="J48" s="94" t="str">
        <f>INDEX(powers!$H$2:$H$75,33+H48)</f>
        <v>dozen</v>
      </c>
      <c r="K48" s="40" t="str">
        <f t="shared" si="205"/>
        <v>0</v>
      </c>
      <c r="L48" s="24">
        <f t="shared" ref="L48" si="219">(I48-INT(I48))*12</f>
        <v>5.3367832176842009</v>
      </c>
      <c r="M48" s="41" t="str">
        <f t="shared" si="206"/>
        <v>5</v>
      </c>
      <c r="N48" s="24">
        <f t="shared" ref="N48" si="220">(L48-INT(L48))*12</f>
        <v>4.0413986122104113</v>
      </c>
      <c r="O48" s="41" t="str">
        <f t="shared" si="207"/>
        <v>4</v>
      </c>
      <c r="P48" s="24">
        <f t="shared" ref="P48" si="221">(N48-INT(N48))*12</f>
        <v>0.49678334652493561</v>
      </c>
      <c r="Q48" s="41" t="str">
        <f t="shared" si="208"/>
        <v>0</v>
      </c>
      <c r="R48" s="24">
        <f t="shared" ref="R48" si="222">(P48-INT(P48))*12</f>
        <v>5.9614001582992273</v>
      </c>
      <c r="S48" s="41" t="str">
        <f t="shared" si="209"/>
        <v>5</v>
      </c>
      <c r="T48" s="24">
        <f t="shared" ref="T48" si="223">(R48-INT(R48))*12</f>
        <v>11.536801899590728</v>
      </c>
      <c r="U48" s="41" t="str">
        <f t="shared" si="210"/>
        <v>E</v>
      </c>
      <c r="V48" s="24">
        <f t="shared" ref="V48" si="224">(T48-INT(T48))*12</f>
        <v>6.4416227950887333</v>
      </c>
      <c r="W48" s="41" t="str">
        <f t="shared" si="211"/>
        <v>6</v>
      </c>
      <c r="X48" s="24">
        <f t="shared" ref="X48" si="225">(V48-INT(V48))*12</f>
        <v>5.2994735410647991</v>
      </c>
      <c r="Y48" s="41" t="str">
        <f t="shared" si="212"/>
        <v>5</v>
      </c>
      <c r="Z48" s="24">
        <f t="shared" ref="Z48" si="226">(X48-INT(X48))*12</f>
        <v>3.5936824927775888</v>
      </c>
      <c r="AA48" s="41" t="str">
        <f t="shared" si="213"/>
        <v>3</v>
      </c>
      <c r="AB48" s="24">
        <f t="shared" ref="AB48" si="227">(Z48-INT(Z48))*12</f>
        <v>7.1241899133310653</v>
      </c>
      <c r="AC48" s="41" t="str">
        <f t="shared" si="214"/>
        <v>7</v>
      </c>
      <c r="AD48" s="24">
        <f t="shared" ref="AD48" si="228">(AB48-INT(AB48))*12</f>
        <v>1.4902789599727839</v>
      </c>
      <c r="AE48" s="41" t="str">
        <f t="shared" si="215"/>
        <v/>
      </c>
      <c r="AF48" s="24">
        <f t="shared" ref="AF48" si="229">(AD48-INT(AD48))*12</f>
        <v>5.8833475196734071</v>
      </c>
      <c r="AG48" s="41" t="str">
        <f t="shared" si="216"/>
        <v/>
      </c>
      <c r="AH48" s="24">
        <f t="shared" ref="AH48" si="230">(AF48-INT(AF48))*12</f>
        <v>10.600170236080885</v>
      </c>
      <c r="AI48" s="41" t="str">
        <f t="shared" si="217"/>
        <v/>
      </c>
    </row>
    <row r="49" spans="1:35" ht="14.25" customHeight="1" x14ac:dyDescent="0.2">
      <c r="A49" s="581"/>
      <c r="B49" s="2" t="s">
        <v>172</v>
      </c>
      <c r="C49" s="2" t="s">
        <v>174</v>
      </c>
      <c r="D49" s="8">
        <v>0.45359237000000002</v>
      </c>
      <c r="E49" s="8">
        <v>9</v>
      </c>
      <c r="F49" s="8">
        <f>D49/F$8</f>
        <v>3.4407556352727067</v>
      </c>
      <c r="G49" s="37" t="str">
        <f>K49&amp;";"&amp;M49&amp;O49&amp;Q49&amp;S49&amp;U49&amp;W49&amp;Y49&amp;AA49&amp;AC49&amp;AE49&amp;AG49&amp;AI49</f>
        <v>3;535761337</v>
      </c>
      <c r="H49" s="38">
        <v>0</v>
      </c>
      <c r="I49" s="39">
        <f t="shared" si="204"/>
        <v>3.4407556352727067</v>
      </c>
      <c r="J49" s="94" t="str">
        <f>INDEX(powers!$H$2:$H$75,33+H49)</f>
        <v xml:space="preserve"> </v>
      </c>
      <c r="K49" s="40" t="str">
        <f t="shared" si="205"/>
        <v>3</v>
      </c>
      <c r="L49" s="24">
        <f>(I49-INT(I49))*12</f>
        <v>5.28906762327248</v>
      </c>
      <c r="M49" s="41" t="str">
        <f t="shared" si="206"/>
        <v>5</v>
      </c>
      <c r="N49" s="24">
        <f>(L49-INT(L49))*12</f>
        <v>3.4688114792697604</v>
      </c>
      <c r="O49" s="41" t="str">
        <f t="shared" si="207"/>
        <v>3</v>
      </c>
      <c r="P49" s="24">
        <f>(N49-INT(N49))*12</f>
        <v>5.6257377512371249</v>
      </c>
      <c r="Q49" s="41" t="str">
        <f t="shared" si="208"/>
        <v>5</v>
      </c>
      <c r="R49" s="24">
        <f>(P49-INT(P49))*12</f>
        <v>7.5088530148454993</v>
      </c>
      <c r="S49" s="41" t="str">
        <f t="shared" si="209"/>
        <v>7</v>
      </c>
      <c r="T49" s="24">
        <f>(R49-INT(R49))*12</f>
        <v>6.1062361781459913</v>
      </c>
      <c r="U49" s="41" t="str">
        <f t="shared" si="210"/>
        <v>6</v>
      </c>
      <c r="V49" s="24">
        <f>(T49-INT(T49))*12</f>
        <v>1.2748341377518955</v>
      </c>
      <c r="W49" s="41" t="str">
        <f t="shared" si="211"/>
        <v>1</v>
      </c>
      <c r="X49" s="24">
        <f>(V49-INT(V49))*12</f>
        <v>3.2980096530227456</v>
      </c>
      <c r="Y49" s="41" t="str">
        <f t="shared" si="212"/>
        <v>3</v>
      </c>
      <c r="Z49" s="24">
        <f>(X49-INT(X49))*12</f>
        <v>3.5761158362729475</v>
      </c>
      <c r="AA49" s="41" t="str">
        <f t="shared" si="213"/>
        <v>3</v>
      </c>
      <c r="AB49" s="24">
        <f>(Z49-INT(Z49))*12</f>
        <v>6.9133900352753699</v>
      </c>
      <c r="AC49" s="41" t="str">
        <f t="shared" si="214"/>
        <v>7</v>
      </c>
      <c r="AD49" s="24">
        <f>(AB49-INT(AB49))*12</f>
        <v>10.960680423304439</v>
      </c>
      <c r="AE49" s="41" t="str">
        <f t="shared" si="215"/>
        <v/>
      </c>
      <c r="AF49" s="24">
        <f>(AD49-INT(AD49))*12</f>
        <v>11.528165079653263</v>
      </c>
      <c r="AG49" s="41" t="str">
        <f t="shared" si="216"/>
        <v/>
      </c>
      <c r="AH49" s="24">
        <f>(AF49-INT(AF49))*12</f>
        <v>6.3379809558391571</v>
      </c>
      <c r="AI49" s="41" t="str">
        <f t="shared" si="217"/>
        <v/>
      </c>
    </row>
    <row r="50" spans="1:35" ht="15" customHeight="1" x14ac:dyDescent="0.2">
      <c r="A50" s="581"/>
      <c r="B50" s="3" t="s">
        <v>173</v>
      </c>
      <c r="C50" s="3" t="s">
        <v>175</v>
      </c>
      <c r="D50" s="8">
        <f>1/D49</f>
        <v>2.2046226218487757</v>
      </c>
      <c r="E50" s="8">
        <v>9</v>
      </c>
      <c r="F50" s="38">
        <f>1/F49</f>
        <v>0.29063383337908627</v>
      </c>
      <c r="G50" s="21" t="str">
        <f t="shared" ref="G50" si="231">K50&amp;";"&amp;M50&amp;O50&amp;Q50&amp;S50&amp;U50&amp;W50&amp;Y50&amp;AA50&amp;AC50&amp;AE50&amp;AG50&amp;AI50</f>
        <v>0;35X26EE87</v>
      </c>
      <c r="H50" s="8">
        <v>0</v>
      </c>
      <c r="I50" s="39">
        <f t="shared" si="204"/>
        <v>0.29063383337908627</v>
      </c>
      <c r="J50" s="94" t="str">
        <f>INDEX(powers!$H$2:$H$75,33+H50)</f>
        <v xml:space="preserve"> </v>
      </c>
      <c r="K50" s="40" t="str">
        <f t="shared" si="205"/>
        <v>0</v>
      </c>
      <c r="L50" s="24">
        <f t="shared" ref="L50" si="232">(I50-INT(I50))*12</f>
        <v>3.487606000549035</v>
      </c>
      <c r="M50" s="41" t="str">
        <f t="shared" si="206"/>
        <v>3</v>
      </c>
      <c r="N50" s="24">
        <f t="shared" ref="N50" si="233">(L50-INT(L50))*12</f>
        <v>5.8512720065884203</v>
      </c>
      <c r="O50" s="41" t="str">
        <f t="shared" si="207"/>
        <v>5</v>
      </c>
      <c r="P50" s="24">
        <f t="shared" ref="P50" si="234">(N50-INT(N50))*12</f>
        <v>10.215264079061043</v>
      </c>
      <c r="Q50" s="41" t="str">
        <f t="shared" si="208"/>
        <v>X</v>
      </c>
      <c r="R50" s="24">
        <f t="shared" ref="R50" si="235">(P50-INT(P50))*12</f>
        <v>2.5831689487325207</v>
      </c>
      <c r="S50" s="41" t="str">
        <f t="shared" si="209"/>
        <v>2</v>
      </c>
      <c r="T50" s="24">
        <f t="shared" ref="T50" si="236">(R50-INT(R50))*12</f>
        <v>6.9980273847902481</v>
      </c>
      <c r="U50" s="41" t="str">
        <f t="shared" si="210"/>
        <v>6</v>
      </c>
      <c r="V50" s="24">
        <f t="shared" ref="V50" si="237">(T50-INT(T50))*12</f>
        <v>11.976328617482977</v>
      </c>
      <c r="W50" s="41" t="str">
        <f t="shared" si="211"/>
        <v>E</v>
      </c>
      <c r="X50" s="24">
        <f t="shared" ref="X50" si="238">(V50-INT(V50))*12</f>
        <v>11.715943409795727</v>
      </c>
      <c r="Y50" s="41" t="str">
        <f t="shared" si="212"/>
        <v>E</v>
      </c>
      <c r="Z50" s="24">
        <f t="shared" ref="Z50" si="239">(X50-INT(X50))*12</f>
        <v>8.5913209175487282</v>
      </c>
      <c r="AA50" s="41" t="str">
        <f t="shared" si="213"/>
        <v>8</v>
      </c>
      <c r="AB50" s="24">
        <f t="shared" ref="AB50" si="240">(Z50-INT(Z50))*12</f>
        <v>7.0958510105847381</v>
      </c>
      <c r="AC50" s="41" t="str">
        <f t="shared" si="214"/>
        <v>7</v>
      </c>
      <c r="AD50" s="24">
        <f t="shared" ref="AD50" si="241">(AB50-INT(AB50))*12</f>
        <v>1.1502121270168573</v>
      </c>
      <c r="AE50" s="41" t="str">
        <f t="shared" si="215"/>
        <v/>
      </c>
      <c r="AF50" s="24">
        <f t="shared" ref="AF50" si="242">(AD50-INT(AD50))*12</f>
        <v>1.8025455242022872</v>
      </c>
      <c r="AG50" s="41" t="str">
        <f t="shared" si="216"/>
        <v/>
      </c>
      <c r="AH50" s="24">
        <f t="shared" ref="AH50" si="243">(AF50-INT(AF50))*12</f>
        <v>9.6305462904274464</v>
      </c>
      <c r="AI50" s="41" t="str">
        <f t="shared" si="217"/>
        <v/>
      </c>
    </row>
    <row r="51" spans="1:35" ht="14.25" customHeight="1" x14ac:dyDescent="0.2">
      <c r="A51" s="581"/>
      <c r="B51" s="2" t="s">
        <v>176</v>
      </c>
      <c r="C51" s="2" t="s">
        <v>178</v>
      </c>
      <c r="D51" s="8">
        <f>D49/16</f>
        <v>2.8349523125000001E-2</v>
      </c>
      <c r="E51" s="8">
        <v>9</v>
      </c>
      <c r="F51" s="8">
        <f>D51/F$8</f>
        <v>0.21504722720454417</v>
      </c>
      <c r="G51" s="37" t="str">
        <f>K51&amp;";"&amp;M51&amp;O51&amp;Q51&amp;S51&amp;U51&amp;W51&amp;Y51&amp;AA51&amp;AC51&amp;AE51&amp;AG51&amp;AI51</f>
        <v>0;26E7276E6</v>
      </c>
      <c r="H51" s="38">
        <v>0</v>
      </c>
      <c r="I51" s="39">
        <f t="shared" ref="I51:I56" si="244">F51/POWER(12,H51)</f>
        <v>0.21504722720454417</v>
      </c>
      <c r="J51" s="94" t="str">
        <f>INDEX(powers!$H$2:$H$75,33+H51)</f>
        <v xml:space="preserve"> </v>
      </c>
      <c r="K51" s="40" t="str">
        <f t="shared" ref="K51:K56" si="245">IF($E51&gt;=K$16,MID($H$16,IF($E51&gt;K$16,INT(I51),ROUND(I51,0))+1,1),"")</f>
        <v>0</v>
      </c>
      <c r="L51" s="24">
        <f>(I51-INT(I51))*12</f>
        <v>2.58056672645453</v>
      </c>
      <c r="M51" s="41" t="str">
        <f t="shared" ref="M51:M56" si="246">IF($E51&gt;=M$16,MID($H$16,IF($E51&gt;M$16,INT(L51),ROUND(L51,0))+1,1),"")</f>
        <v>2</v>
      </c>
      <c r="N51" s="24">
        <f>(L51-INT(L51))*12</f>
        <v>6.96680071745436</v>
      </c>
      <c r="O51" s="41" t="str">
        <f t="shared" ref="O51:O56" si="247">IF($E51&gt;=O$16,MID($H$16,IF($E51&gt;O$16,INT(N51),ROUND(N51,0))+1,1),"")</f>
        <v>6</v>
      </c>
      <c r="P51" s="24">
        <f>(N51-INT(N51))*12</f>
        <v>11.60160860945232</v>
      </c>
      <c r="Q51" s="41" t="str">
        <f t="shared" ref="Q51:Q56" si="248">IF($E51&gt;=Q$16,MID($H$16,IF($E51&gt;Q$16,INT(P51),ROUND(P51,0))+1,1),"")</f>
        <v>E</v>
      </c>
      <c r="R51" s="24">
        <f>(P51-INT(P51))*12</f>
        <v>7.2193033134278437</v>
      </c>
      <c r="S51" s="41" t="str">
        <f t="shared" ref="S51:S56" si="249">IF($E51&gt;=S$16,MID($H$16,IF($E51&gt;S$16,INT(R51),ROUND(R51,0))+1,1),"")</f>
        <v>7</v>
      </c>
      <c r="T51" s="24">
        <f>(R51-INT(R51))*12</f>
        <v>2.6316397611341245</v>
      </c>
      <c r="U51" s="41" t="str">
        <f t="shared" ref="U51:U56" si="250">IF($E51&gt;=U$16,MID($H$16,IF($E51&gt;U$16,INT(T51),ROUND(T51,0))+1,1),"")</f>
        <v>2</v>
      </c>
      <c r="V51" s="24">
        <f>(T51-INT(T51))*12</f>
        <v>7.5796771336094935</v>
      </c>
      <c r="W51" s="41" t="str">
        <f t="shared" ref="W51:W56" si="251">IF($E51&gt;=W$16,MID($H$16,IF($E51&gt;W$16,INT(V51),ROUND(V51,0))+1,1),"")</f>
        <v>7</v>
      </c>
      <c r="X51" s="24">
        <f>(V51-INT(V51))*12</f>
        <v>6.9561256033139216</v>
      </c>
      <c r="Y51" s="41" t="str">
        <f t="shared" ref="Y51:Y56" si="252">IF($E51&gt;=Y$16,MID($H$16,IF($E51&gt;Y$16,INT(X51),ROUND(X51,0))+1,1),"")</f>
        <v>6</v>
      </c>
      <c r="Z51" s="24">
        <f>(X51-INT(X51))*12</f>
        <v>11.473507239767059</v>
      </c>
      <c r="AA51" s="41" t="str">
        <f t="shared" ref="AA51:AA56" si="253">IF($E51&gt;=AA$16,MID($H$16,IF($E51&gt;AA$16,INT(Z51),ROUND(Z51,0))+1,1),"")</f>
        <v>E</v>
      </c>
      <c r="AB51" s="24">
        <f>(Z51-INT(Z51))*12</f>
        <v>5.6820868772047106</v>
      </c>
      <c r="AC51" s="41" t="str">
        <f t="shared" ref="AC51:AC56" si="254">IF($E51&gt;=AC$16,MID($H$16,IF($E51&gt;AC$16,INT(AB51),ROUND(AB51,0))+1,1),"")</f>
        <v>6</v>
      </c>
      <c r="AD51" s="24">
        <f>(AB51-INT(AB51))*12</f>
        <v>8.1850425264565274</v>
      </c>
      <c r="AE51" s="41" t="str">
        <f t="shared" ref="AE51:AE56" si="255">IF($E51&gt;=AE$16,MID($H$16,IF($E51&gt;AE$16,INT(AD51),ROUND(AD51,0))+1,1),"")</f>
        <v/>
      </c>
      <c r="AF51" s="24">
        <f>(AD51-INT(AD51))*12</f>
        <v>2.2205103174783289</v>
      </c>
      <c r="AG51" s="41" t="str">
        <f t="shared" ref="AG51:AG56" si="256">IF($E51&gt;=AG$16,MID($H$16,IF($E51&gt;AG$16,INT(AF51),ROUND(AF51,0))+1,1),"")</f>
        <v/>
      </c>
      <c r="AH51" s="24">
        <f>(AF51-INT(AF51))*12</f>
        <v>2.6461238097399473</v>
      </c>
      <c r="AI51" s="41" t="str">
        <f t="shared" ref="AI51:AI56" si="257">IF($E51&gt;=AI$16,MID($H$16,IF($E51&gt;AI$16,INT(AH51),ROUND(AH51,0))+1,1),"")</f>
        <v/>
      </c>
    </row>
    <row r="52" spans="1:35" ht="15" customHeight="1" x14ac:dyDescent="0.2">
      <c r="A52" s="581"/>
      <c r="B52" s="3" t="s">
        <v>177</v>
      </c>
      <c r="C52" s="3" t="s">
        <v>179</v>
      </c>
      <c r="D52" s="8">
        <f>1/D51</f>
        <v>35.273961949580411</v>
      </c>
      <c r="E52" s="8">
        <v>9</v>
      </c>
      <c r="F52" s="38">
        <f>1/F51</f>
        <v>4.6501413340653803</v>
      </c>
      <c r="G52" s="21" t="str">
        <f t="shared" ref="G52" si="258">K52&amp;";"&amp;M52&amp;O52&amp;Q52&amp;S52&amp;U52&amp;W52&amp;Y52&amp;AA52&amp;AC52&amp;AE52&amp;AG52&amp;AI52</f>
        <v>4;79753E756</v>
      </c>
      <c r="H52" s="8">
        <v>0</v>
      </c>
      <c r="I52" s="39">
        <f t="shared" si="244"/>
        <v>4.6501413340653803</v>
      </c>
      <c r="J52" s="94" t="str">
        <f>INDEX(powers!$H$2:$H$75,33+H52)</f>
        <v xml:space="preserve"> </v>
      </c>
      <c r="K52" s="40" t="str">
        <f t="shared" si="245"/>
        <v>4</v>
      </c>
      <c r="L52" s="24">
        <f t="shared" ref="L52" si="259">(I52-INT(I52))*12</f>
        <v>7.8016960087845639</v>
      </c>
      <c r="M52" s="41" t="str">
        <f t="shared" si="246"/>
        <v>7</v>
      </c>
      <c r="N52" s="24">
        <f t="shared" ref="N52" si="260">(L52-INT(L52))*12</f>
        <v>9.6203521054147672</v>
      </c>
      <c r="O52" s="41" t="str">
        <f t="shared" si="247"/>
        <v>9</v>
      </c>
      <c r="P52" s="24">
        <f t="shared" ref="P52" si="261">(N52-INT(N52))*12</f>
        <v>7.4442252649772058</v>
      </c>
      <c r="Q52" s="41" t="str">
        <f t="shared" si="248"/>
        <v>7</v>
      </c>
      <c r="R52" s="24">
        <f t="shared" ref="R52" si="262">(P52-INT(P52))*12</f>
        <v>5.3307031797264699</v>
      </c>
      <c r="S52" s="41" t="str">
        <f t="shared" si="249"/>
        <v>5</v>
      </c>
      <c r="T52" s="24">
        <f t="shared" ref="T52" si="263">(R52-INT(R52))*12</f>
        <v>3.9684381567176388</v>
      </c>
      <c r="U52" s="41" t="str">
        <f t="shared" si="250"/>
        <v>3</v>
      </c>
      <c r="V52" s="24">
        <f t="shared" ref="V52" si="264">(T52-INT(T52))*12</f>
        <v>11.621257880611665</v>
      </c>
      <c r="W52" s="41" t="str">
        <f t="shared" si="251"/>
        <v>E</v>
      </c>
      <c r="X52" s="24">
        <f t="shared" ref="X52" si="265">(V52-INT(V52))*12</f>
        <v>7.4550945673399838</v>
      </c>
      <c r="Y52" s="41" t="str">
        <f t="shared" si="252"/>
        <v>7</v>
      </c>
      <c r="Z52" s="24">
        <f t="shared" ref="Z52" si="266">(X52-INT(X52))*12</f>
        <v>5.4611348080798052</v>
      </c>
      <c r="AA52" s="41" t="str">
        <f t="shared" si="253"/>
        <v>5</v>
      </c>
      <c r="AB52" s="24">
        <f t="shared" ref="AB52" si="267">(Z52-INT(Z52))*12</f>
        <v>5.5336176969576627</v>
      </c>
      <c r="AC52" s="41" t="str">
        <f t="shared" si="254"/>
        <v>6</v>
      </c>
      <c r="AD52" s="24">
        <f t="shared" ref="AD52" si="268">(AB52-INT(AB52))*12</f>
        <v>6.4034123634919524</v>
      </c>
      <c r="AE52" s="41" t="str">
        <f t="shared" si="255"/>
        <v/>
      </c>
      <c r="AF52" s="24">
        <f t="shared" ref="AF52" si="269">(AD52-INT(AD52))*12</f>
        <v>4.840948361903429</v>
      </c>
      <c r="AG52" s="41" t="str">
        <f t="shared" si="256"/>
        <v/>
      </c>
      <c r="AH52" s="24">
        <f t="shared" ref="AH52" si="270">(AF52-INT(AF52))*12</f>
        <v>10.091380342841148</v>
      </c>
      <c r="AI52" s="41" t="str">
        <f t="shared" si="257"/>
        <v/>
      </c>
    </row>
    <row r="53" spans="1:35" ht="14.25" customHeight="1" x14ac:dyDescent="0.2">
      <c r="A53" s="581"/>
      <c r="B53" s="2" t="s">
        <v>206</v>
      </c>
      <c r="C53" s="2" t="s">
        <v>209</v>
      </c>
      <c r="D53" s="8">
        <f>D49*480/7000</f>
        <v>3.1103476800000002E-2</v>
      </c>
      <c r="E53" s="8">
        <v>9</v>
      </c>
      <c r="F53" s="8">
        <f>D53/F$8</f>
        <v>0.23593752927584274</v>
      </c>
      <c r="G53" s="37" t="str">
        <f>K53&amp;";"&amp;M53&amp;O53&amp;Q53&amp;S53&amp;U53&amp;W53&amp;Y53&amp;AA53&amp;AC53&amp;AE53&amp;AG53&amp;AI53</f>
        <v>0;29E84982</v>
      </c>
      <c r="H53" s="38">
        <v>0</v>
      </c>
      <c r="I53" s="39">
        <f t="shared" ref="I53:I54" si="271">F53/POWER(12,H53)</f>
        <v>0.23593752927584274</v>
      </c>
      <c r="J53" s="94" t="str">
        <f>INDEX(powers!$H$2:$H$75,33+H53)</f>
        <v xml:space="preserve"> </v>
      </c>
      <c r="K53" s="40" t="str">
        <f t="shared" ref="K53:K54" si="272">IF($E53&gt;=K$16,MID($H$16,IF($E53&gt;K$16,INT(I53),ROUND(I53,0))+1,1),"")</f>
        <v>0</v>
      </c>
      <c r="L53" s="24">
        <f>(I53-INT(I53))*12</f>
        <v>2.8312503513101128</v>
      </c>
      <c r="M53" s="41" t="str">
        <f t="shared" ref="M53:M54" si="273">IF($E53&gt;=M$16,MID($H$16,IF($E53&gt;M$16,INT(L53),ROUND(L53,0))+1,1),"")</f>
        <v>2</v>
      </c>
      <c r="N53" s="24">
        <f>(L53-INT(L53))*12</f>
        <v>9.9750042157213539</v>
      </c>
      <c r="O53" s="41" t="str">
        <f t="shared" ref="O53:O54" si="274">IF($E53&gt;=O$16,MID($H$16,IF($E53&gt;O$16,INT(N53),ROUND(N53,0))+1,1),"")</f>
        <v>9</v>
      </c>
      <c r="P53" s="24">
        <f>(N53-INT(N53))*12</f>
        <v>11.700050588656246</v>
      </c>
      <c r="Q53" s="41" t="str">
        <f t="shared" ref="Q53:Q54" si="275">IF($E53&gt;=Q$16,MID($H$16,IF($E53&gt;Q$16,INT(P53),ROUND(P53,0))+1,1),"")</f>
        <v>E</v>
      </c>
      <c r="R53" s="24">
        <f>(P53-INT(P53))*12</f>
        <v>8.4006070638749577</v>
      </c>
      <c r="S53" s="41" t="str">
        <f t="shared" ref="S53:S54" si="276">IF($E53&gt;=S$16,MID($H$16,IF($E53&gt;S$16,INT(R53),ROUND(R53,0))+1,1),"")</f>
        <v>8</v>
      </c>
      <c r="T53" s="24">
        <f>(R53-INT(R53))*12</f>
        <v>4.8072847664994924</v>
      </c>
      <c r="U53" s="41" t="str">
        <f t="shared" ref="U53:U54" si="277">IF($E53&gt;=U$16,MID($H$16,IF($E53&gt;U$16,INT(T53),ROUND(T53,0))+1,1),"")</f>
        <v>4</v>
      </c>
      <c r="V53" s="24">
        <f>(T53-INT(T53))*12</f>
        <v>9.6874171979939092</v>
      </c>
      <c r="W53" s="41" t="str">
        <f t="shared" ref="W53:W54" si="278">IF($E53&gt;=W$16,MID($H$16,IF($E53&gt;W$16,INT(V53),ROUND(V53,0))+1,1),"")</f>
        <v>9</v>
      </c>
      <c r="X53" s="24">
        <f>(V53-INT(V53))*12</f>
        <v>8.2490063759269106</v>
      </c>
      <c r="Y53" s="41" t="str">
        <f t="shared" ref="Y53:Y54" si="279">IF($E53&gt;=Y$16,MID($H$16,IF($E53&gt;Y$16,INT(X53),ROUND(X53,0))+1,1),"")</f>
        <v>8</v>
      </c>
      <c r="Z53" s="24">
        <f>(X53-INT(X53))*12</f>
        <v>2.9880765111229266</v>
      </c>
      <c r="AA53" s="41" t="str">
        <f t="shared" ref="AA53:AA54" si="280">IF($E53&gt;=AA$16,MID($H$16,IF($E53&gt;AA$16,INT(Z53),ROUND(Z53,0))+1,1),"")</f>
        <v>2</v>
      </c>
      <c r="AB53" s="24">
        <f>(Z53-INT(Z53))*12</f>
        <v>11.856918133475119</v>
      </c>
      <c r="AC53" s="41" t="str">
        <f t="shared" ref="AC53:AC54" si="281">IF($E53&gt;=AC$16,MID($H$16,IF($E53&gt;AC$16,INT(AB53),ROUND(AB53,0))+1,1),"")</f>
        <v/>
      </c>
      <c r="AD53" s="24">
        <f>(AB53-INT(AB53))*12</f>
        <v>10.283017601701431</v>
      </c>
      <c r="AE53" s="41" t="str">
        <f t="shared" ref="AE53:AE54" si="282">IF($E53&gt;=AE$16,MID($H$16,IF($E53&gt;AE$16,INT(AD53),ROUND(AD53,0))+1,1),"")</f>
        <v/>
      </c>
      <c r="AF53" s="24">
        <f>(AD53-INT(AD53))*12</f>
        <v>3.3962112204171717</v>
      </c>
      <c r="AG53" s="41" t="str">
        <f t="shared" ref="AG53:AG54" si="283">IF($E53&gt;=AG$16,MID($H$16,IF($E53&gt;AG$16,INT(AF53),ROUND(AF53,0))+1,1),"")</f>
        <v/>
      </c>
      <c r="AH53" s="24">
        <f>(AF53-INT(AF53))*12</f>
        <v>4.7545346450060606</v>
      </c>
      <c r="AI53" s="41" t="str">
        <f t="shared" ref="AI53:AI54" si="284">IF($E53&gt;=AI$16,MID($H$16,IF($E53&gt;AI$16,INT(AH53),ROUND(AH53,0))+1,1),"")</f>
        <v/>
      </c>
    </row>
    <row r="54" spans="1:35" ht="15" customHeight="1" x14ac:dyDescent="0.2">
      <c r="A54" s="581"/>
      <c r="B54" s="3" t="s">
        <v>207</v>
      </c>
      <c r="C54" s="3" t="s">
        <v>210</v>
      </c>
      <c r="D54" s="8">
        <f>1/D53</f>
        <v>32.15074656862798</v>
      </c>
      <c r="E54" s="8">
        <v>9</v>
      </c>
      <c r="F54" s="38">
        <f>1/F53</f>
        <v>4.2384100701116747</v>
      </c>
      <c r="G54" s="21" t="str">
        <f t="shared" ref="G54" si="285">K54&amp;";"&amp;M54&amp;O54&amp;Q54&amp;S54&amp;U54&amp;W54&amp;Y54&amp;AA54&amp;AC54&amp;AE54&amp;AG54&amp;AI54</f>
        <v>4;2X3E807X3</v>
      </c>
      <c r="H54" s="8">
        <v>0</v>
      </c>
      <c r="I54" s="39">
        <f t="shared" si="271"/>
        <v>4.2384100701116747</v>
      </c>
      <c r="J54" s="94" t="str">
        <f>INDEX(powers!$H$2:$H$75,33+H54)</f>
        <v xml:space="preserve"> </v>
      </c>
      <c r="K54" s="40" t="str">
        <f t="shared" si="272"/>
        <v>4</v>
      </c>
      <c r="L54" s="24">
        <f t="shared" ref="L54" si="286">(I54-INT(I54))*12</f>
        <v>2.8609208413400964</v>
      </c>
      <c r="M54" s="41" t="str">
        <f t="shared" si="273"/>
        <v>2</v>
      </c>
      <c r="N54" s="24">
        <f t="shared" ref="N54" si="287">(L54-INT(L54))*12</f>
        <v>10.331050096081157</v>
      </c>
      <c r="O54" s="41" t="str">
        <f t="shared" si="274"/>
        <v>X</v>
      </c>
      <c r="P54" s="24">
        <f t="shared" ref="P54" si="288">(N54-INT(N54))*12</f>
        <v>3.9726011529738798</v>
      </c>
      <c r="Q54" s="41" t="str">
        <f t="shared" si="275"/>
        <v>3</v>
      </c>
      <c r="R54" s="24">
        <f t="shared" ref="R54" si="289">(P54-INT(P54))*12</f>
        <v>11.671213835686558</v>
      </c>
      <c r="S54" s="41" t="str">
        <f t="shared" si="276"/>
        <v>E</v>
      </c>
      <c r="T54" s="24">
        <f t="shared" ref="T54" si="290">(R54-INT(R54))*12</f>
        <v>8.0545660282386962</v>
      </c>
      <c r="U54" s="41" t="str">
        <f t="shared" si="277"/>
        <v>8</v>
      </c>
      <c r="V54" s="24">
        <f t="shared" ref="V54" si="291">(T54-INT(T54))*12</f>
        <v>0.65479233886435395</v>
      </c>
      <c r="W54" s="41" t="str">
        <f t="shared" si="278"/>
        <v>0</v>
      </c>
      <c r="X54" s="24">
        <f t="shared" ref="X54" si="292">(V54-INT(V54))*12</f>
        <v>7.8575080663722474</v>
      </c>
      <c r="Y54" s="41" t="str">
        <f t="shared" si="279"/>
        <v>7</v>
      </c>
      <c r="Z54" s="24">
        <f t="shared" ref="Z54" si="293">(X54-INT(X54))*12</f>
        <v>10.290096796466969</v>
      </c>
      <c r="AA54" s="41" t="str">
        <f t="shared" si="280"/>
        <v>X</v>
      </c>
      <c r="AB54" s="24">
        <f t="shared" ref="AB54" si="294">(Z54-INT(Z54))*12</f>
        <v>3.4811615576036274</v>
      </c>
      <c r="AC54" s="41" t="str">
        <f t="shared" si="281"/>
        <v>3</v>
      </c>
      <c r="AD54" s="24">
        <f t="shared" ref="AD54" si="295">(AB54-INT(AB54))*12</f>
        <v>5.7739386912435293</v>
      </c>
      <c r="AE54" s="41" t="str">
        <f t="shared" si="282"/>
        <v/>
      </c>
      <c r="AF54" s="24">
        <f t="shared" ref="AF54" si="296">(AD54-INT(AD54))*12</f>
        <v>9.2872642949223518</v>
      </c>
      <c r="AG54" s="41" t="str">
        <f t="shared" si="283"/>
        <v/>
      </c>
      <c r="AH54" s="24">
        <f t="shared" ref="AH54" si="297">(AF54-INT(AF54))*12</f>
        <v>3.447171539068222</v>
      </c>
      <c r="AI54" s="41" t="str">
        <f t="shared" si="284"/>
        <v/>
      </c>
    </row>
    <row r="55" spans="1:35" ht="14.25" customHeight="1" x14ac:dyDescent="0.2">
      <c r="A55" s="581"/>
      <c r="B55" s="2" t="s">
        <v>180</v>
      </c>
      <c r="C55" s="2" t="s">
        <v>182</v>
      </c>
      <c r="D55" s="8">
        <f>D49*Rydberg!D63</f>
        <v>4.4482216152604996</v>
      </c>
      <c r="E55" s="8">
        <v>9</v>
      </c>
      <c r="F55" s="8">
        <f>D55/F$10</f>
        <v>18.904445076568091</v>
      </c>
      <c r="G55" s="37" t="str">
        <f>K55&amp;";"&amp;M55&amp;O55&amp;Q55&amp;S55&amp;U55&amp;W55&amp;Y55&amp;AA55&amp;AC55&amp;AE55&amp;AG55&amp;AI55</f>
        <v>1;6XX2X6X64</v>
      </c>
      <c r="H55" s="38">
        <v>1</v>
      </c>
      <c r="I55" s="39">
        <f t="shared" si="244"/>
        <v>1.5753704230473409</v>
      </c>
      <c r="J55" s="94" t="str">
        <f>INDEX(powers!$H$2:$H$75,33+H55)</f>
        <v>dozen</v>
      </c>
      <c r="K55" s="40" t="str">
        <f t="shared" si="245"/>
        <v>1</v>
      </c>
      <c r="L55" s="24">
        <f>(I55-INT(I55))*12</f>
        <v>6.9044450765680905</v>
      </c>
      <c r="M55" s="41" t="str">
        <f t="shared" si="246"/>
        <v>6</v>
      </c>
      <c r="N55" s="24">
        <f>(L55-INT(L55))*12</f>
        <v>10.853340918817086</v>
      </c>
      <c r="O55" s="41" t="str">
        <f t="shared" si="247"/>
        <v>X</v>
      </c>
      <c r="P55" s="24">
        <f>(N55-INT(N55))*12</f>
        <v>10.240091025805029</v>
      </c>
      <c r="Q55" s="41" t="str">
        <f t="shared" si="248"/>
        <v>X</v>
      </c>
      <c r="R55" s="24">
        <f>(P55-INT(P55))*12</f>
        <v>2.881092309660346</v>
      </c>
      <c r="S55" s="41" t="str">
        <f t="shared" si="249"/>
        <v>2</v>
      </c>
      <c r="T55" s="24">
        <f>(R55-INT(R55))*12</f>
        <v>10.573107715924152</v>
      </c>
      <c r="U55" s="41" t="str">
        <f t="shared" si="250"/>
        <v>X</v>
      </c>
      <c r="V55" s="24">
        <f>(T55-INT(T55))*12</f>
        <v>6.8772925910898266</v>
      </c>
      <c r="W55" s="41" t="str">
        <f t="shared" si="251"/>
        <v>6</v>
      </c>
      <c r="X55" s="24">
        <f>(V55-INT(V55))*12</f>
        <v>10.527511093077919</v>
      </c>
      <c r="Y55" s="41" t="str">
        <f t="shared" si="252"/>
        <v>X</v>
      </c>
      <c r="Z55" s="24">
        <f>(X55-INT(X55))*12</f>
        <v>6.3301331169350306</v>
      </c>
      <c r="AA55" s="41" t="str">
        <f t="shared" si="253"/>
        <v>6</v>
      </c>
      <c r="AB55" s="24">
        <f>(Z55-INT(Z55))*12</f>
        <v>3.9615974032203667</v>
      </c>
      <c r="AC55" s="41" t="str">
        <f t="shared" si="254"/>
        <v>4</v>
      </c>
      <c r="AD55" s="24">
        <f>(AB55-INT(AB55))*12</f>
        <v>11.5391688386444</v>
      </c>
      <c r="AE55" s="41" t="str">
        <f t="shared" si="255"/>
        <v/>
      </c>
      <c r="AF55" s="24">
        <f>(AD55-INT(AD55))*12</f>
        <v>6.4700260637328029</v>
      </c>
      <c r="AG55" s="41" t="str">
        <f t="shared" si="256"/>
        <v/>
      </c>
      <c r="AH55" s="24">
        <f>(AF55-INT(AF55))*12</f>
        <v>5.6403127647936344</v>
      </c>
      <c r="AI55" s="41" t="str">
        <f t="shared" si="257"/>
        <v/>
      </c>
    </row>
    <row r="56" spans="1:35" ht="15" customHeight="1" x14ac:dyDescent="0.2">
      <c r="A56" s="581"/>
      <c r="B56" s="3" t="s">
        <v>181</v>
      </c>
      <c r="C56" s="3" t="s">
        <v>183</v>
      </c>
      <c r="D56" s="8">
        <f>1/D55</f>
        <v>0.2248089430997105</v>
      </c>
      <c r="E56" s="8">
        <v>9</v>
      </c>
      <c r="F56" s="38">
        <f>1/F55</f>
        <v>5.2897611961088033E-2</v>
      </c>
      <c r="G56" s="21" t="str">
        <f t="shared" ref="G56" si="298">K56&amp;";"&amp;M56&amp;O56&amp;Q56&amp;S56&amp;U56&amp;W56&amp;Y56&amp;AA56&amp;AC56&amp;AE56&amp;AG56&amp;AI56</f>
        <v>0;774X750XX</v>
      </c>
      <c r="H56" s="8">
        <v>-1</v>
      </c>
      <c r="I56" s="39">
        <f t="shared" si="244"/>
        <v>0.63477134353305642</v>
      </c>
      <c r="J56" s="94" t="str">
        <f>INDEX(powers!$H$2:$H$75,33+H56)</f>
        <v>unino</v>
      </c>
      <c r="K56" s="40" t="str">
        <f t="shared" si="245"/>
        <v>0</v>
      </c>
      <c r="L56" s="24">
        <f t="shared" ref="L56" si="299">(I56-INT(I56))*12</f>
        <v>7.617256122396677</v>
      </c>
      <c r="M56" s="41" t="str">
        <f t="shared" si="246"/>
        <v>7</v>
      </c>
      <c r="N56" s="24">
        <f t="shared" ref="N56" si="300">(L56-INT(L56))*12</f>
        <v>7.4070734687601245</v>
      </c>
      <c r="O56" s="41" t="str">
        <f t="shared" si="247"/>
        <v>7</v>
      </c>
      <c r="P56" s="24">
        <f t="shared" ref="P56" si="301">(N56-INT(N56))*12</f>
        <v>4.8848816251214942</v>
      </c>
      <c r="Q56" s="41" t="str">
        <f t="shared" si="248"/>
        <v>4</v>
      </c>
      <c r="R56" s="24">
        <f t="shared" ref="R56" si="302">(P56-INT(P56))*12</f>
        <v>10.61857950145793</v>
      </c>
      <c r="S56" s="41" t="str">
        <f t="shared" si="249"/>
        <v>X</v>
      </c>
      <c r="T56" s="24">
        <f t="shared" ref="T56" si="303">(R56-INT(R56))*12</f>
        <v>7.422954017495158</v>
      </c>
      <c r="U56" s="41" t="str">
        <f t="shared" si="250"/>
        <v>7</v>
      </c>
      <c r="V56" s="24">
        <f t="shared" ref="V56" si="304">(T56-INT(T56))*12</f>
        <v>5.0754482099418965</v>
      </c>
      <c r="W56" s="41" t="str">
        <f t="shared" si="251"/>
        <v>5</v>
      </c>
      <c r="X56" s="24">
        <f t="shared" ref="X56" si="305">(V56-INT(V56))*12</f>
        <v>0.90537851930275792</v>
      </c>
      <c r="Y56" s="41" t="str">
        <f t="shared" si="252"/>
        <v>0</v>
      </c>
      <c r="Z56" s="24">
        <f t="shared" ref="Z56" si="306">(X56-INT(X56))*12</f>
        <v>10.864542231633095</v>
      </c>
      <c r="AA56" s="41" t="str">
        <f t="shared" si="253"/>
        <v>X</v>
      </c>
      <c r="AB56" s="24">
        <f t="shared" ref="AB56" si="307">(Z56-INT(Z56))*12</f>
        <v>10.374506779597141</v>
      </c>
      <c r="AC56" s="41" t="str">
        <f t="shared" si="254"/>
        <v>X</v>
      </c>
      <c r="AD56" s="24">
        <f t="shared" ref="AD56" si="308">(AB56-INT(AB56))*12</f>
        <v>4.4940813551656902</v>
      </c>
      <c r="AE56" s="41" t="str">
        <f t="shared" si="255"/>
        <v/>
      </c>
      <c r="AF56" s="24">
        <f t="shared" ref="AF56" si="309">(AD56-INT(AD56))*12</f>
        <v>5.9289762619882822</v>
      </c>
      <c r="AG56" s="41" t="str">
        <f t="shared" si="256"/>
        <v/>
      </c>
      <c r="AH56" s="24">
        <f t="shared" ref="AH56" si="310">(AF56-INT(AF56))*12</f>
        <v>11.147715143859386</v>
      </c>
      <c r="AI56" s="41" t="str">
        <f t="shared" si="257"/>
        <v/>
      </c>
    </row>
    <row r="57" spans="1:35" ht="14.25" customHeight="1" x14ac:dyDescent="0.2">
      <c r="A57" s="581"/>
      <c r="B57" s="2" t="s">
        <v>192</v>
      </c>
      <c r="C57" s="88" t="s">
        <v>59</v>
      </c>
      <c r="D57" s="8">
        <v>273.14999999999998</v>
      </c>
      <c r="E57" s="8">
        <v>9</v>
      </c>
      <c r="F57" s="8">
        <f>D57/F$6</f>
        <v>4678224.0026552184</v>
      </c>
      <c r="G57" s="37" t="str">
        <f>K57&amp;";"&amp;M57&amp;O57&amp;Q57&amp;S57&amp;U57&amp;W57&amp;Y57&amp;AA57&amp;AC57&amp;AE57&amp;AG57&amp;AI57</f>
        <v>1;697380005</v>
      </c>
      <c r="H57" s="38">
        <v>6</v>
      </c>
      <c r="I57" s="39">
        <f t="shared" ref="I57:I58" si="311">F57/POWER(12,H57)</f>
        <v>1.5667277529468404</v>
      </c>
      <c r="J57" s="94" t="str">
        <f>INDEX(powers!$H$2:$H$75,33+H57)</f>
        <v>dino cosmic</v>
      </c>
      <c r="K57" s="40" t="str">
        <f t="shared" ref="K57:K58" si="312">IF($E57&gt;=K$16,MID($H$16,IF($E57&gt;K$16,INT(I57),ROUND(I57,0))+1,1),"")</f>
        <v>1</v>
      </c>
      <c r="L57" s="24">
        <f>(I57-INT(I57))*12</f>
        <v>6.800733035362085</v>
      </c>
      <c r="M57" s="41" t="str">
        <f t="shared" ref="M57:M58" si="313">IF($E57&gt;=M$16,MID($H$16,IF($E57&gt;M$16,INT(L57),ROUND(L57,0))+1,1),"")</f>
        <v>6</v>
      </c>
      <c r="N57" s="24">
        <f>(L57-INT(L57))*12</f>
        <v>9.6087964243450195</v>
      </c>
      <c r="O57" s="41" t="str">
        <f t="shared" ref="O57:O58" si="314">IF($E57&gt;=O$16,MID($H$16,IF($E57&gt;O$16,INT(N57),ROUND(N57,0))+1,1),"")</f>
        <v>9</v>
      </c>
      <c r="P57" s="24">
        <f>(N57-INT(N57))*12</f>
        <v>7.3055570921402335</v>
      </c>
      <c r="Q57" s="41" t="str">
        <f t="shared" ref="Q57:Q58" si="315">IF($E57&gt;=Q$16,MID($H$16,IF($E57&gt;Q$16,INT(P57),ROUND(P57,0))+1,1),"")</f>
        <v>7</v>
      </c>
      <c r="R57" s="24">
        <f>(P57-INT(P57))*12</f>
        <v>3.6666851056828023</v>
      </c>
      <c r="S57" s="41" t="str">
        <f t="shared" ref="S57:S58" si="316">IF($E57&gt;=S$16,MID($H$16,IF($E57&gt;S$16,INT(R57),ROUND(R57,0))+1,1),"")</f>
        <v>3</v>
      </c>
      <c r="T57" s="24">
        <f>(R57-INT(R57))*12</f>
        <v>8.0002212681936271</v>
      </c>
      <c r="U57" s="41" t="str">
        <f t="shared" ref="U57:U58" si="317">IF($E57&gt;=U$16,MID($H$16,IF($E57&gt;U$16,INT(T57),ROUND(T57,0))+1,1),"")</f>
        <v>8</v>
      </c>
      <c r="V57" s="24">
        <f>(T57-INT(T57))*12</f>
        <v>2.6552183235253324E-3</v>
      </c>
      <c r="W57" s="41" t="str">
        <f t="shared" ref="W57:W58" si="318">IF($E57&gt;=W$16,MID($H$16,IF($E57&gt;W$16,INT(V57),ROUND(V57,0))+1,1),"")</f>
        <v>0</v>
      </c>
      <c r="X57" s="24">
        <f>(V57-INT(V57))*12</f>
        <v>3.1862619882303989E-2</v>
      </c>
      <c r="Y57" s="41" t="str">
        <f t="shared" ref="Y57:Y58" si="319">IF($E57&gt;=Y$16,MID($H$16,IF($E57&gt;Y$16,INT(X57),ROUND(X57,0))+1,1),"")</f>
        <v>0</v>
      </c>
      <c r="Z57" s="24">
        <f>(X57-INT(X57))*12</f>
        <v>0.38235143858764786</v>
      </c>
      <c r="AA57" s="41" t="str">
        <f t="shared" ref="AA57:AA58" si="320">IF($E57&gt;=AA$16,MID($H$16,IF($E57&gt;AA$16,INT(Z57),ROUND(Z57,0))+1,1),"")</f>
        <v>0</v>
      </c>
      <c r="AB57" s="24">
        <f>(Z57-INT(Z57))*12</f>
        <v>4.5882172630517744</v>
      </c>
      <c r="AC57" s="41" t="str">
        <f t="shared" ref="AC57:AC58" si="321">IF($E57&gt;=AC$16,MID($H$16,IF($E57&gt;AC$16,INT(AB57),ROUND(AB57,0))+1,1),"")</f>
        <v>5</v>
      </c>
      <c r="AD57" s="24">
        <f>(AB57-INT(AB57))*12</f>
        <v>7.0586071566212922</v>
      </c>
      <c r="AE57" s="41" t="str">
        <f t="shared" ref="AE57:AE58" si="322">IF($E57&gt;=AE$16,MID($H$16,IF($E57&gt;AE$16,INT(AD57),ROUND(AD57,0))+1,1),"")</f>
        <v/>
      </c>
      <c r="AF57" s="24">
        <f>(AD57-INT(AD57))*12</f>
        <v>0.7032858794555068</v>
      </c>
      <c r="AG57" s="41" t="str">
        <f t="shared" ref="AG57:AG58" si="323">IF($E57&gt;=AG$16,MID($H$16,IF($E57&gt;AG$16,INT(AF57),ROUND(AF57,0))+1,1),"")</f>
        <v/>
      </c>
      <c r="AH57" s="24">
        <f>(AF57-INT(AF57))*12</f>
        <v>8.4394305534660816</v>
      </c>
      <c r="AI57" s="41" t="str">
        <f t="shared" ref="AI57:AI58" si="324">IF($E57&gt;=AI$16,MID($H$16,IF($E57&gt;AI$16,INT(AH57),ROUND(AH57,0))+1,1),"")</f>
        <v/>
      </c>
    </row>
    <row r="58" spans="1:35" ht="15" customHeight="1" x14ac:dyDescent="0.2">
      <c r="A58" s="581"/>
      <c r="B58" s="3" t="s">
        <v>193</v>
      </c>
      <c r="C58" s="3" t="s">
        <v>194</v>
      </c>
      <c r="D58" s="8">
        <f>1/D57</f>
        <v>3.6609921288669233E-3</v>
      </c>
      <c r="E58" s="8">
        <v>9</v>
      </c>
      <c r="F58" s="38">
        <f>1/F57</f>
        <v>2.137563313412163E-7</v>
      </c>
      <c r="G58" s="21" t="str">
        <f t="shared" ref="G58" si="325">K58&amp;";"&amp;M58&amp;O58&amp;Q58&amp;S58&amp;U58&amp;W58&amp;Y58&amp;AA58&amp;AC58&amp;AE58&amp;AG58&amp;AI58</f>
        <v>0;77XE28E09</v>
      </c>
      <c r="H58" s="8">
        <v>-6</v>
      </c>
      <c r="I58" s="39">
        <f t="shared" si="311"/>
        <v>0.63827298528357046</v>
      </c>
      <c r="J58" s="94" t="str">
        <f>INDEX(powers!$H$2:$H$75,33+H58)</f>
        <v>gross atomic</v>
      </c>
      <c r="K58" s="40" t="str">
        <f t="shared" si="312"/>
        <v>0</v>
      </c>
      <c r="L58" s="24">
        <f t="shared" ref="L58" si="326">(I58-INT(I58))*12</f>
        <v>7.6592758234028455</v>
      </c>
      <c r="M58" s="41" t="str">
        <f t="shared" si="313"/>
        <v>7</v>
      </c>
      <c r="N58" s="24">
        <f t="shared" ref="N58" si="327">(L58-INT(L58))*12</f>
        <v>7.9113098808341462</v>
      </c>
      <c r="O58" s="41" t="str">
        <f t="shared" si="314"/>
        <v>7</v>
      </c>
      <c r="P58" s="24">
        <f t="shared" ref="P58" si="328">(N58-INT(N58))*12</f>
        <v>10.935718570009755</v>
      </c>
      <c r="Q58" s="41" t="str">
        <f t="shared" si="315"/>
        <v>X</v>
      </c>
      <c r="R58" s="24">
        <f t="shared" ref="R58" si="329">(P58-INT(P58))*12</f>
        <v>11.228622840117055</v>
      </c>
      <c r="S58" s="41" t="str">
        <f t="shared" si="316"/>
        <v>E</v>
      </c>
      <c r="T58" s="24">
        <f t="shared" ref="T58" si="330">(R58-INT(R58))*12</f>
        <v>2.7434740814046563</v>
      </c>
      <c r="U58" s="41" t="str">
        <f t="shared" si="317"/>
        <v>2</v>
      </c>
      <c r="V58" s="24">
        <f t="shared" ref="V58" si="331">(T58-INT(T58))*12</f>
        <v>8.9216889768558758</v>
      </c>
      <c r="W58" s="41" t="str">
        <f t="shared" si="318"/>
        <v>8</v>
      </c>
      <c r="X58" s="24">
        <f t="shared" ref="X58" si="332">(V58-INT(V58))*12</f>
        <v>11.06026772227051</v>
      </c>
      <c r="Y58" s="41" t="str">
        <f t="shared" si="319"/>
        <v>E</v>
      </c>
      <c r="Z58" s="24">
        <f t="shared" ref="Z58" si="333">(X58-INT(X58))*12</f>
        <v>0.72321266724611633</v>
      </c>
      <c r="AA58" s="41" t="str">
        <f t="shared" si="320"/>
        <v>0</v>
      </c>
      <c r="AB58" s="24">
        <f t="shared" ref="AB58" si="334">(Z58-INT(Z58))*12</f>
        <v>8.6785520069533959</v>
      </c>
      <c r="AC58" s="41" t="str">
        <f t="shared" si="321"/>
        <v>9</v>
      </c>
      <c r="AD58" s="24">
        <f t="shared" ref="AD58" si="335">(AB58-INT(AB58))*12</f>
        <v>8.1426240834407508</v>
      </c>
      <c r="AE58" s="41" t="str">
        <f t="shared" si="322"/>
        <v/>
      </c>
      <c r="AF58" s="24">
        <f t="shared" ref="AF58" si="336">(AD58-INT(AD58))*12</f>
        <v>1.71148900128901</v>
      </c>
      <c r="AG58" s="41" t="str">
        <f t="shared" si="323"/>
        <v/>
      </c>
      <c r="AH58" s="24">
        <f t="shared" ref="AH58" si="337">(AF58-INT(AF58))*12</f>
        <v>8.5378680154681206</v>
      </c>
      <c r="AI58" s="41" t="str">
        <f t="shared" si="324"/>
        <v/>
      </c>
    </row>
    <row r="59" spans="1:35" ht="14.25" customHeight="1" x14ac:dyDescent="0.2">
      <c r="A59" s="581"/>
      <c r="B59" s="2" t="s">
        <v>195</v>
      </c>
      <c r="C59" s="88" t="s">
        <v>59</v>
      </c>
      <c r="D59" s="8">
        <v>373.15</v>
      </c>
      <c r="E59" s="8">
        <v>9</v>
      </c>
      <c r="F59" s="8">
        <f>D59/F$6</f>
        <v>6390918.1277349247</v>
      </c>
      <c r="G59" s="37" t="str">
        <f>K59&amp;";"&amp;M59&amp;O59&amp;Q59&amp;S59&amp;U59&amp;W59&amp;Y59&amp;AA59&amp;AC59&amp;AE59&amp;AG59&amp;AI59</f>
        <v>2;182546165</v>
      </c>
      <c r="H59" s="38">
        <v>6</v>
      </c>
      <c r="I59" s="39">
        <f t="shared" ref="I59:I62" si="338">F59/POWER(12,H59)</f>
        <v>2.1403055501084149</v>
      </c>
      <c r="J59" s="94" t="str">
        <f>INDEX(powers!$H$2:$H$75,33+H59)</f>
        <v>dino cosmic</v>
      </c>
      <c r="K59" s="40" t="str">
        <f t="shared" ref="K59:K62" si="339">IF($E59&gt;=K$16,MID($H$16,IF($E59&gt;K$16,INT(I59),ROUND(I59,0))+1,1),"")</f>
        <v>2</v>
      </c>
      <c r="L59" s="24">
        <f>(I59-INT(I59))*12</f>
        <v>1.6836666013009793</v>
      </c>
      <c r="M59" s="41" t="str">
        <f t="shared" ref="M59:M62" si="340">IF($E59&gt;=M$16,MID($H$16,IF($E59&gt;M$16,INT(L59),ROUND(L59,0))+1,1),"")</f>
        <v>1</v>
      </c>
      <c r="N59" s="24">
        <f>(L59-INT(L59))*12</f>
        <v>8.203999215611752</v>
      </c>
      <c r="O59" s="41" t="str">
        <f t="shared" ref="O59:O62" si="341">IF($E59&gt;=O$16,MID($H$16,IF($E59&gt;O$16,INT(N59),ROUND(N59,0))+1,1),"")</f>
        <v>8</v>
      </c>
      <c r="P59" s="24">
        <f>(N59-INT(N59))*12</f>
        <v>2.4479905873410246</v>
      </c>
      <c r="Q59" s="41" t="str">
        <f t="shared" ref="Q59:Q62" si="342">IF($E59&gt;=Q$16,MID($H$16,IF($E59&gt;Q$16,INT(P59),ROUND(P59,0))+1,1),"")</f>
        <v>2</v>
      </c>
      <c r="R59" s="24">
        <f>(P59-INT(P59))*12</f>
        <v>5.3758870480922951</v>
      </c>
      <c r="S59" s="41" t="str">
        <f t="shared" ref="S59:S62" si="343">IF($E59&gt;=S$16,MID($H$16,IF($E59&gt;S$16,INT(R59),ROUND(R59,0))+1,1),"")</f>
        <v>5</v>
      </c>
      <c r="T59" s="24">
        <f>(R59-INT(R59))*12</f>
        <v>4.5106445771075414</v>
      </c>
      <c r="U59" s="41" t="str">
        <f t="shared" ref="U59:U62" si="344">IF($E59&gt;=U$16,MID($H$16,IF($E59&gt;U$16,INT(T59),ROUND(T59,0))+1,1),"")</f>
        <v>4</v>
      </c>
      <c r="V59" s="24">
        <f>(T59-INT(T59))*12</f>
        <v>6.1277349252904969</v>
      </c>
      <c r="W59" s="41" t="str">
        <f t="shared" ref="W59:W62" si="345">IF($E59&gt;=W$16,MID($H$16,IF($E59&gt;W$16,INT(V59),ROUND(V59,0))+1,1),"")</f>
        <v>6</v>
      </c>
      <c r="X59" s="24">
        <f>(V59-INT(V59))*12</f>
        <v>1.5328191034859628</v>
      </c>
      <c r="Y59" s="41" t="str">
        <f t="shared" ref="Y59:Y62" si="346">IF($E59&gt;=Y$16,MID($H$16,IF($E59&gt;Y$16,INT(X59),ROUND(X59,0))+1,1),"")</f>
        <v>1</v>
      </c>
      <c r="Z59" s="24">
        <f>(X59-INT(X59))*12</f>
        <v>6.3938292418315541</v>
      </c>
      <c r="AA59" s="41" t="str">
        <f t="shared" ref="AA59:AA62" si="347">IF($E59&gt;=AA$16,MID($H$16,IF($E59&gt;AA$16,INT(Z59),ROUND(Z59,0))+1,1),"")</f>
        <v>6</v>
      </c>
      <c r="AB59" s="24">
        <f>(Z59-INT(Z59))*12</f>
        <v>4.7259509019786492</v>
      </c>
      <c r="AC59" s="41" t="str">
        <f t="shared" ref="AC59:AC62" si="348">IF($E59&gt;=AC$16,MID($H$16,IF($E59&gt;AC$16,INT(AB59),ROUND(AB59,0))+1,1),"")</f>
        <v>5</v>
      </c>
      <c r="AD59" s="24">
        <f>(AB59-INT(AB59))*12</f>
        <v>8.7114108237437904</v>
      </c>
      <c r="AE59" s="41" t="str">
        <f t="shared" ref="AE59:AE62" si="349">IF($E59&gt;=AE$16,MID($H$16,IF($E59&gt;AE$16,INT(AD59),ROUND(AD59,0))+1,1),"")</f>
        <v/>
      </c>
      <c r="AF59" s="24">
        <f>(AD59-INT(AD59))*12</f>
        <v>8.5369298849254847</v>
      </c>
      <c r="AG59" s="41" t="str">
        <f t="shared" ref="AG59:AG62" si="350">IF($E59&gt;=AG$16,MID($H$16,IF($E59&gt;AG$16,INT(AF59),ROUND(AF59,0))+1,1),"")</f>
        <v/>
      </c>
      <c r="AH59" s="24">
        <f>(AF59-INT(AF59))*12</f>
        <v>6.4431586191058159</v>
      </c>
      <c r="AI59" s="41" t="str">
        <f t="shared" ref="AI59:AI62" si="351">IF($E59&gt;=AI$16,MID($H$16,IF($E59&gt;AI$16,INT(AH59),ROUND(AH59,0))+1,1),"")</f>
        <v/>
      </c>
    </row>
    <row r="60" spans="1:35" ht="15" customHeight="1" x14ac:dyDescent="0.2">
      <c r="A60" s="581"/>
      <c r="B60" s="3" t="s">
        <v>196</v>
      </c>
      <c r="C60" s="3" t="s">
        <v>194</v>
      </c>
      <c r="D60" s="8">
        <f>1/D59</f>
        <v>2.6798874447273215E-3</v>
      </c>
      <c r="E60" s="8">
        <v>9</v>
      </c>
      <c r="F60" s="38">
        <f>1/F59</f>
        <v>1.5647204048198643E-7</v>
      </c>
      <c r="G60" s="21" t="str">
        <f t="shared" ref="G60" si="352">K60&amp;";"&amp;M60&amp;O60&amp;Q60&amp;S60&amp;U60&amp;W60&amp;Y60&amp;AA60&amp;AC60&amp;AE60&amp;AG60&amp;AI60</f>
        <v>0;57344051</v>
      </c>
      <c r="H60" s="8">
        <v>-6</v>
      </c>
      <c r="I60" s="39">
        <f t="shared" si="338"/>
        <v>0.4672230093265638</v>
      </c>
      <c r="J60" s="94" t="str">
        <f>INDEX(powers!$H$2:$H$75,33+H60)</f>
        <v>gross atomic</v>
      </c>
      <c r="K60" s="40" t="str">
        <f t="shared" si="339"/>
        <v>0</v>
      </c>
      <c r="L60" s="24">
        <f t="shared" ref="L60" si="353">(I60-INT(I60))*12</f>
        <v>5.606676111918766</v>
      </c>
      <c r="M60" s="41" t="str">
        <f t="shared" si="340"/>
        <v>5</v>
      </c>
      <c r="N60" s="24">
        <f t="shared" ref="N60" si="354">(L60-INT(L60))*12</f>
        <v>7.2801133430251923</v>
      </c>
      <c r="O60" s="41" t="str">
        <f t="shared" si="341"/>
        <v>7</v>
      </c>
      <c r="P60" s="24">
        <f t="shared" ref="P60" si="355">(N60-INT(N60))*12</f>
        <v>3.3613601163023077</v>
      </c>
      <c r="Q60" s="41" t="str">
        <f t="shared" si="342"/>
        <v>3</v>
      </c>
      <c r="R60" s="24">
        <f t="shared" ref="R60" si="356">(P60-INT(P60))*12</f>
        <v>4.3363213956276923</v>
      </c>
      <c r="S60" s="41" t="str">
        <f t="shared" si="343"/>
        <v>4</v>
      </c>
      <c r="T60" s="24">
        <f t="shared" ref="T60" si="357">(R60-INT(R60))*12</f>
        <v>4.0358567475323071</v>
      </c>
      <c r="U60" s="41" t="str">
        <f t="shared" si="344"/>
        <v>4</v>
      </c>
      <c r="V60" s="24">
        <f t="shared" ref="V60" si="358">(T60-INT(T60))*12</f>
        <v>0.43028097038768465</v>
      </c>
      <c r="W60" s="41" t="str">
        <f t="shared" si="345"/>
        <v>0</v>
      </c>
      <c r="X60" s="24">
        <f t="shared" ref="X60" si="359">(V60-INT(V60))*12</f>
        <v>5.1633716446522158</v>
      </c>
      <c r="Y60" s="41" t="str">
        <f t="shared" si="346"/>
        <v>5</v>
      </c>
      <c r="Z60" s="24">
        <f t="shared" ref="Z60" si="360">(X60-INT(X60))*12</f>
        <v>1.9604597358265892</v>
      </c>
      <c r="AA60" s="41" t="str">
        <f t="shared" si="347"/>
        <v>1</v>
      </c>
      <c r="AB60" s="24">
        <f t="shared" ref="AB60" si="361">(Z60-INT(Z60))*12</f>
        <v>11.52551682991907</v>
      </c>
      <c r="AC60" s="41" t="str">
        <f t="shared" si="348"/>
        <v/>
      </c>
      <c r="AD60" s="24">
        <f t="shared" ref="AD60" si="362">(AB60-INT(AB60))*12</f>
        <v>6.3062019590288401</v>
      </c>
      <c r="AE60" s="41" t="str">
        <f t="shared" si="349"/>
        <v/>
      </c>
      <c r="AF60" s="24">
        <f t="shared" ref="AF60" si="363">(AD60-INT(AD60))*12</f>
        <v>3.6744235083460808</v>
      </c>
      <c r="AG60" s="41" t="str">
        <f t="shared" si="350"/>
        <v/>
      </c>
      <c r="AH60" s="24">
        <f t="shared" ref="AH60" si="364">(AF60-INT(AF60))*12</f>
        <v>8.0930821001529694</v>
      </c>
      <c r="AI60" s="41" t="str">
        <f t="shared" si="351"/>
        <v/>
      </c>
    </row>
    <row r="61" spans="1:35" ht="14.25" customHeight="1" x14ac:dyDescent="0.2">
      <c r="A61" s="581"/>
      <c r="B61" s="2" t="s">
        <v>197</v>
      </c>
      <c r="C61" s="88" t="s">
        <v>59</v>
      </c>
      <c r="D61" s="8">
        <f>(0-32)*5/9+273.15</f>
        <v>255.37222222222221</v>
      </c>
      <c r="E61" s="8">
        <v>9</v>
      </c>
      <c r="F61" s="8">
        <f>D61/F$6</f>
        <v>4373745.0470854929</v>
      </c>
      <c r="G61" s="37" t="str">
        <f>K61&amp;";"&amp;M61&amp;O61&amp;Q61&amp;S61&amp;U61&amp;W61&amp;Y61&amp;AA61&amp;AC61&amp;AE61&amp;AG61&amp;AI61</f>
        <v>1;56E129069</v>
      </c>
      <c r="H61" s="38">
        <v>6</v>
      </c>
      <c r="I61" s="39">
        <f t="shared" si="338"/>
        <v>1.4647583667847828</v>
      </c>
      <c r="J61" s="94" t="str">
        <f>INDEX(powers!$H$2:$H$75,33+H61)</f>
        <v>dino cosmic</v>
      </c>
      <c r="K61" s="40" t="str">
        <f t="shared" si="339"/>
        <v>1</v>
      </c>
      <c r="L61" s="24">
        <f>(I61-INT(I61))*12</f>
        <v>5.5771004014173933</v>
      </c>
      <c r="M61" s="41" t="str">
        <f t="shared" si="340"/>
        <v>5</v>
      </c>
      <c r="N61" s="24">
        <f>(L61-INT(L61))*12</f>
        <v>6.9252048170087193</v>
      </c>
      <c r="O61" s="41" t="str">
        <f t="shared" si="341"/>
        <v>6</v>
      </c>
      <c r="P61" s="24">
        <f>(N61-INT(N61))*12</f>
        <v>11.102457804104631</v>
      </c>
      <c r="Q61" s="41" t="str">
        <f t="shared" si="342"/>
        <v>E</v>
      </c>
      <c r="R61" s="24">
        <f>(P61-INT(P61))*12</f>
        <v>1.2294936492555735</v>
      </c>
      <c r="S61" s="41" t="str">
        <f t="shared" si="343"/>
        <v>1</v>
      </c>
      <c r="T61" s="24">
        <f>(R61-INT(R61))*12</f>
        <v>2.7539237910668817</v>
      </c>
      <c r="U61" s="41" t="str">
        <f t="shared" si="344"/>
        <v>2</v>
      </c>
      <c r="V61" s="24">
        <f>(T61-INT(T61))*12</f>
        <v>9.0470854928025801</v>
      </c>
      <c r="W61" s="41" t="str">
        <f t="shared" si="345"/>
        <v>9</v>
      </c>
      <c r="X61" s="24">
        <f>(V61-INT(V61))*12</f>
        <v>0.56502591363096144</v>
      </c>
      <c r="Y61" s="41" t="str">
        <f t="shared" si="346"/>
        <v>0</v>
      </c>
      <c r="Z61" s="24">
        <f>(X61-INT(X61))*12</f>
        <v>6.7803109635715373</v>
      </c>
      <c r="AA61" s="41" t="str">
        <f t="shared" si="347"/>
        <v>6</v>
      </c>
      <c r="AB61" s="24">
        <f>(Z61-INT(Z61))*12</f>
        <v>9.3637315628584474</v>
      </c>
      <c r="AC61" s="41" t="str">
        <f t="shared" si="348"/>
        <v>9</v>
      </c>
      <c r="AD61" s="24">
        <f>(AB61-INT(AB61))*12</f>
        <v>4.3647787543013692</v>
      </c>
      <c r="AE61" s="41" t="str">
        <f t="shared" si="349"/>
        <v/>
      </c>
      <c r="AF61" s="24">
        <f>(AD61-INT(AD61))*12</f>
        <v>4.3773450516164303</v>
      </c>
      <c r="AG61" s="41" t="str">
        <f t="shared" si="350"/>
        <v/>
      </c>
      <c r="AH61" s="24">
        <f>(AF61-INT(AF61))*12</f>
        <v>4.5281406193971634</v>
      </c>
      <c r="AI61" s="41" t="str">
        <f t="shared" si="351"/>
        <v/>
      </c>
    </row>
    <row r="62" spans="1:35" ht="15" customHeight="1" x14ac:dyDescent="0.2">
      <c r="A62" s="581"/>
      <c r="B62" s="3" t="s">
        <v>198</v>
      </c>
      <c r="C62" s="3" t="s">
        <v>194</v>
      </c>
      <c r="D62" s="8">
        <f>1/D61</f>
        <v>3.9158526769204E-3</v>
      </c>
      <c r="E62" s="8">
        <v>9</v>
      </c>
      <c r="F62" s="38">
        <f>1/F61</f>
        <v>2.2863701227083736E-7</v>
      </c>
      <c r="G62" s="21" t="str">
        <f t="shared" ref="G62" si="365">K62&amp;";"&amp;M62&amp;O62&amp;Q62&amp;S62&amp;U62&amp;W62&amp;Y62&amp;AA62&amp;AC62&amp;AE62&amp;AG62&amp;AI62</f>
        <v>0;823872699</v>
      </c>
      <c r="H62" s="8">
        <v>-6</v>
      </c>
      <c r="I62" s="39">
        <f t="shared" si="338"/>
        <v>0.68270646044852401</v>
      </c>
      <c r="J62" s="94" t="str">
        <f>INDEX(powers!$H$2:$H$75,33+H62)</f>
        <v>gross atomic</v>
      </c>
      <c r="K62" s="40" t="str">
        <f t="shared" si="339"/>
        <v>0</v>
      </c>
      <c r="L62" s="24">
        <f t="shared" ref="L62" si="366">(I62-INT(I62))*12</f>
        <v>8.1924775253822872</v>
      </c>
      <c r="M62" s="41" t="str">
        <f t="shared" si="340"/>
        <v>8</v>
      </c>
      <c r="N62" s="24">
        <f t="shared" ref="N62" si="367">(L62-INT(L62))*12</f>
        <v>2.3097303045874469</v>
      </c>
      <c r="O62" s="41" t="str">
        <f t="shared" si="341"/>
        <v>2</v>
      </c>
      <c r="P62" s="24">
        <f t="shared" ref="P62" si="368">(N62-INT(N62))*12</f>
        <v>3.7167636550493626</v>
      </c>
      <c r="Q62" s="41" t="str">
        <f t="shared" si="342"/>
        <v>3</v>
      </c>
      <c r="R62" s="24">
        <f t="shared" ref="R62" si="369">(P62-INT(P62))*12</f>
        <v>8.6011638605923508</v>
      </c>
      <c r="S62" s="41" t="str">
        <f t="shared" si="343"/>
        <v>8</v>
      </c>
      <c r="T62" s="24">
        <f t="shared" ref="T62" si="370">(R62-INT(R62))*12</f>
        <v>7.21396632710821</v>
      </c>
      <c r="U62" s="41" t="str">
        <f t="shared" si="344"/>
        <v>7</v>
      </c>
      <c r="V62" s="24">
        <f t="shared" ref="V62" si="371">(T62-INT(T62))*12</f>
        <v>2.5675959252985194</v>
      </c>
      <c r="W62" s="41" t="str">
        <f t="shared" si="345"/>
        <v>2</v>
      </c>
      <c r="X62" s="24">
        <f t="shared" ref="X62" si="372">(V62-INT(V62))*12</f>
        <v>6.8111511035822332</v>
      </c>
      <c r="Y62" s="41" t="str">
        <f t="shared" si="346"/>
        <v>6</v>
      </c>
      <c r="Z62" s="24">
        <f t="shared" ref="Z62" si="373">(X62-INT(X62))*12</f>
        <v>9.7338132429867983</v>
      </c>
      <c r="AA62" s="41" t="str">
        <f t="shared" si="347"/>
        <v>9</v>
      </c>
      <c r="AB62" s="24">
        <f t="shared" ref="AB62" si="374">(Z62-INT(Z62))*12</f>
        <v>8.8057589158415794</v>
      </c>
      <c r="AC62" s="41" t="str">
        <f t="shared" si="348"/>
        <v>9</v>
      </c>
      <c r="AD62" s="24">
        <f t="shared" ref="AD62" si="375">(AB62-INT(AB62))*12</f>
        <v>9.6691069900989532</v>
      </c>
      <c r="AE62" s="41" t="str">
        <f t="shared" si="349"/>
        <v/>
      </c>
      <c r="AF62" s="24">
        <f t="shared" ref="AF62" si="376">(AD62-INT(AD62))*12</f>
        <v>8.029283881187439</v>
      </c>
      <c r="AG62" s="41" t="str">
        <f t="shared" si="350"/>
        <v/>
      </c>
      <c r="AH62" s="24">
        <f t="shared" ref="AH62" si="377">(AF62-INT(AF62))*12</f>
        <v>0.35140657424926758</v>
      </c>
      <c r="AI62" s="41" t="str">
        <f t="shared" si="351"/>
        <v/>
      </c>
    </row>
    <row r="63" spans="1:35" ht="14.25" customHeight="1" x14ac:dyDescent="0.2">
      <c r="A63" s="581"/>
      <c r="B63" s="2" t="s">
        <v>199</v>
      </c>
      <c r="C63" s="88" t="s">
        <v>59</v>
      </c>
      <c r="D63" s="8">
        <f>(100-32)*5/9+273.15</f>
        <v>310.92777777777775</v>
      </c>
      <c r="E63" s="8">
        <v>9</v>
      </c>
      <c r="F63" s="8">
        <f>D63/F$6</f>
        <v>5325241.7832408855</v>
      </c>
      <c r="G63" s="37" t="str">
        <f>K63&amp;";"&amp;M63&amp;O63&amp;Q63&amp;S63&amp;U63&amp;W63&amp;Y63&amp;AA63&amp;AC63&amp;AE63&amp;AG63&amp;AI63</f>
        <v>1;9498X1949</v>
      </c>
      <c r="H63" s="38">
        <v>6</v>
      </c>
      <c r="I63" s="39">
        <f t="shared" ref="I63:I64" si="378">F63/POWER(12,H63)</f>
        <v>1.7834126985412131</v>
      </c>
      <c r="J63" s="94" t="str">
        <f>INDEX(powers!$H$2:$H$75,33+H63)</f>
        <v>dino cosmic</v>
      </c>
      <c r="K63" s="40" t="str">
        <f t="shared" ref="K63:K64" si="379">IF($E63&gt;=K$16,MID($H$16,IF($E63&gt;K$16,INT(I63),ROUND(I63,0))+1,1),"")</f>
        <v>1</v>
      </c>
      <c r="L63" s="24">
        <f>(I63-INT(I63))*12</f>
        <v>9.4009523824945571</v>
      </c>
      <c r="M63" s="41" t="str">
        <f t="shared" ref="M63:M64" si="380">IF($E63&gt;=M$16,MID($H$16,IF($E63&gt;M$16,INT(L63),ROUND(L63,0))+1,1),"")</f>
        <v>9</v>
      </c>
      <c r="N63" s="24">
        <f>(L63-INT(L63))*12</f>
        <v>4.8114285899346854</v>
      </c>
      <c r="O63" s="41" t="str">
        <f t="shared" ref="O63:O64" si="381">IF($E63&gt;=O$16,MID($H$16,IF($E63&gt;O$16,INT(N63),ROUND(N63,0))+1,1),"")</f>
        <v>4</v>
      </c>
      <c r="P63" s="24">
        <f>(N63-INT(N63))*12</f>
        <v>9.7371430792162244</v>
      </c>
      <c r="Q63" s="41" t="str">
        <f t="shared" ref="Q63:Q64" si="382">IF($E63&gt;=Q$16,MID($H$16,IF($E63&gt;Q$16,INT(P63),ROUND(P63,0))+1,1),"")</f>
        <v>9</v>
      </c>
      <c r="R63" s="24">
        <f>(P63-INT(P63))*12</f>
        <v>8.8457169505946922</v>
      </c>
      <c r="S63" s="41" t="str">
        <f t="shared" ref="S63:S64" si="383">IF($E63&gt;=S$16,MID($H$16,IF($E63&gt;S$16,INT(R63),ROUND(R63,0))+1,1),"")</f>
        <v>8</v>
      </c>
      <c r="T63" s="24">
        <f>(R63-INT(R63))*12</f>
        <v>10.148603407136306</v>
      </c>
      <c r="U63" s="41" t="str">
        <f t="shared" ref="U63:U64" si="384">IF($E63&gt;=U$16,MID($H$16,IF($E63&gt;U$16,INT(T63),ROUND(T63,0))+1,1),"")</f>
        <v>X</v>
      </c>
      <c r="V63" s="24">
        <f>(T63-INT(T63))*12</f>
        <v>1.7832408856356778</v>
      </c>
      <c r="W63" s="41" t="str">
        <f t="shared" ref="W63:W64" si="385">IF($E63&gt;=W$16,MID($H$16,IF($E63&gt;W$16,INT(V63),ROUND(V63,0))+1,1),"")</f>
        <v>1</v>
      </c>
      <c r="X63" s="24">
        <f>(V63-INT(V63))*12</f>
        <v>9.3988906276281341</v>
      </c>
      <c r="Y63" s="41" t="str">
        <f t="shared" ref="Y63:Y64" si="386">IF($E63&gt;=Y$16,MID($H$16,IF($E63&gt;Y$16,INT(X63),ROUND(X63,0))+1,1),"")</f>
        <v>9</v>
      </c>
      <c r="Z63" s="24">
        <f>(X63-INT(X63))*12</f>
        <v>4.7866875315376092</v>
      </c>
      <c r="AA63" s="41" t="str">
        <f t="shared" ref="AA63:AA64" si="387">IF($E63&gt;=AA$16,MID($H$16,IF($E63&gt;AA$16,INT(Z63),ROUND(Z63,0))+1,1),"")</f>
        <v>4</v>
      </c>
      <c r="AB63" s="24">
        <f>(Z63-INT(Z63))*12</f>
        <v>9.4402503784513101</v>
      </c>
      <c r="AC63" s="41" t="str">
        <f t="shared" ref="AC63:AC64" si="388">IF($E63&gt;=AC$16,MID($H$16,IF($E63&gt;AC$16,INT(AB63),ROUND(AB63,0))+1,1),"")</f>
        <v>9</v>
      </c>
      <c r="AD63" s="24">
        <f>(AB63-INT(AB63))*12</f>
        <v>5.2830045414157212</v>
      </c>
      <c r="AE63" s="41" t="str">
        <f t="shared" ref="AE63:AE64" si="389">IF($E63&gt;=AE$16,MID($H$16,IF($E63&gt;AE$16,INT(AD63),ROUND(AD63,0))+1,1),"")</f>
        <v/>
      </c>
      <c r="AF63" s="24">
        <f>(AD63-INT(AD63))*12</f>
        <v>3.3960544969886541</v>
      </c>
      <c r="AG63" s="41" t="str">
        <f t="shared" ref="AG63:AG64" si="390">IF($E63&gt;=AG$16,MID($H$16,IF($E63&gt;AG$16,INT(AF63),ROUND(AF63,0))+1,1),"")</f>
        <v/>
      </c>
      <c r="AH63" s="24">
        <f>(AF63-INT(AF63))*12</f>
        <v>4.7526539638638496</v>
      </c>
      <c r="AI63" s="41" t="str">
        <f t="shared" ref="AI63:AI64" si="391">IF($E63&gt;=AI$16,MID($H$16,IF($E63&gt;AI$16,INT(AH63),ROUND(AH63,0))+1,1),"")</f>
        <v/>
      </c>
    </row>
    <row r="64" spans="1:35" ht="15" customHeight="1" thickBot="1" x14ac:dyDescent="0.25">
      <c r="A64" s="582"/>
      <c r="B64" s="89" t="s">
        <v>200</v>
      </c>
      <c r="C64" s="89" t="s">
        <v>194</v>
      </c>
      <c r="D64" s="33">
        <f>1/D63</f>
        <v>3.2161809637822293E-3</v>
      </c>
      <c r="E64" s="33">
        <v>9</v>
      </c>
      <c r="F64" s="48">
        <f>1/F63</f>
        <v>1.8778490079964232E-7</v>
      </c>
      <c r="G64" s="32" t="str">
        <f t="shared" ref="G64" si="392">K64&amp;";"&amp;M64&amp;O64&amp;Q64&amp;S64&amp;U64&amp;W64&amp;Y64&amp;AA64&amp;AC64&amp;AE64&amp;AG64&amp;AI64</f>
        <v>0;688E19056</v>
      </c>
      <c r="H64" s="33">
        <v>-6</v>
      </c>
      <c r="I64" s="49">
        <f t="shared" si="378"/>
        <v>0.56072270922931922</v>
      </c>
      <c r="J64" s="94" t="str">
        <f>INDEX(powers!$H$2:$H$75,33+H64)</f>
        <v>gross atomic</v>
      </c>
      <c r="K64" s="40" t="str">
        <f t="shared" si="379"/>
        <v>0</v>
      </c>
      <c r="L64" s="24">
        <f t="shared" ref="L64" si="393">(I64-INT(I64))*12</f>
        <v>6.7286725107518306</v>
      </c>
      <c r="M64" s="41" t="str">
        <f t="shared" si="380"/>
        <v>6</v>
      </c>
      <c r="N64" s="24">
        <f t="shared" ref="N64" si="394">(L64-INT(L64))*12</f>
        <v>8.7440701290219671</v>
      </c>
      <c r="O64" s="41" t="str">
        <f t="shared" si="381"/>
        <v>8</v>
      </c>
      <c r="P64" s="24">
        <f t="shared" ref="P64" si="395">(N64-INT(N64))*12</f>
        <v>8.9288415482636054</v>
      </c>
      <c r="Q64" s="41" t="str">
        <f t="shared" si="382"/>
        <v>8</v>
      </c>
      <c r="R64" s="24">
        <f t="shared" ref="R64" si="396">(P64-INT(P64))*12</f>
        <v>11.146098579163265</v>
      </c>
      <c r="S64" s="41" t="str">
        <f t="shared" si="383"/>
        <v>E</v>
      </c>
      <c r="T64" s="24">
        <f t="shared" ref="T64" si="397">(R64-INT(R64))*12</f>
        <v>1.7531829499591822</v>
      </c>
      <c r="U64" s="41" t="str">
        <f t="shared" si="384"/>
        <v>1</v>
      </c>
      <c r="V64" s="24">
        <f t="shared" ref="V64" si="398">(T64-INT(T64))*12</f>
        <v>9.0381953995101867</v>
      </c>
      <c r="W64" s="41" t="str">
        <f t="shared" si="385"/>
        <v>9</v>
      </c>
      <c r="X64" s="24">
        <f t="shared" ref="X64" si="399">(V64-INT(V64))*12</f>
        <v>0.45834479412224027</v>
      </c>
      <c r="Y64" s="41" t="str">
        <f t="shared" si="386"/>
        <v>0</v>
      </c>
      <c r="Z64" s="24">
        <f t="shared" ref="Z64" si="400">(X64-INT(X64))*12</f>
        <v>5.5001375294668833</v>
      </c>
      <c r="AA64" s="41" t="str">
        <f t="shared" si="387"/>
        <v>5</v>
      </c>
      <c r="AB64" s="24">
        <f t="shared" ref="AB64" si="401">(Z64-INT(Z64))*12</f>
        <v>6.0016503536025994</v>
      </c>
      <c r="AC64" s="41" t="str">
        <f t="shared" si="388"/>
        <v>6</v>
      </c>
      <c r="AD64" s="24">
        <f t="shared" ref="AD64" si="402">(AB64-INT(AB64))*12</f>
        <v>1.9804243231192231E-2</v>
      </c>
      <c r="AE64" s="41" t="str">
        <f t="shared" si="389"/>
        <v/>
      </c>
      <c r="AF64" s="24">
        <f t="shared" ref="AF64" si="403">(AD64-INT(AD64))*12</f>
        <v>0.23765091877430677</v>
      </c>
      <c r="AG64" s="41" t="str">
        <f t="shared" si="390"/>
        <v/>
      </c>
      <c r="AH64" s="24">
        <f t="shared" ref="AH64" si="404">(AF64-INT(AF64))*12</f>
        <v>2.8518110252916813</v>
      </c>
      <c r="AI64" s="41" t="str">
        <f t="shared" si="391"/>
        <v/>
      </c>
    </row>
    <row r="65" spans="2:35" ht="12" thickBot="1" x14ac:dyDescent="0.25"/>
    <row r="66" spans="2:35" ht="12" thickBot="1" x14ac:dyDescent="0.25">
      <c r="B66" s="68" t="s">
        <v>576</v>
      </c>
      <c r="C66" s="110" t="s">
        <v>208</v>
      </c>
      <c r="D66" s="69">
        <f>F53*3*12*12*12</f>
        <v>1223.1001517659688</v>
      </c>
      <c r="E66" s="69">
        <v>7</v>
      </c>
      <c r="F66" s="69">
        <f>D66/F53</f>
        <v>5184</v>
      </c>
      <c r="G66" s="71" t="str">
        <f>K66&amp;";"&amp;M66&amp;O66&amp;Q66&amp;S66&amp;U66&amp;W66&amp;Y66&amp;AA66&amp;AC66&amp;AE66&amp;AG66&amp;AI66</f>
        <v>3;0000000</v>
      </c>
      <c r="H66" s="72">
        <v>3</v>
      </c>
      <c r="I66" s="74">
        <f>F66/POWER(12,H66)+0.00000000001</f>
        <v>3.00000000001</v>
      </c>
      <c r="J66" s="94" t="str">
        <f>INDEX(powers!$H$2:$H$75,33+H66)</f>
        <v>doz gross</v>
      </c>
      <c r="K66" s="40" t="str">
        <f t="shared" ref="K66" si="405">IF($E66&gt;=K$16,MID($H$16,IF($E66&gt;K$16,INT(I66),ROUND(I66,0))+1,1),"")</f>
        <v>3</v>
      </c>
      <c r="L66" s="24">
        <f>(I66-INT(I66))*12</f>
        <v>1.2000000992884452E-10</v>
      </c>
      <c r="M66" s="41" t="str">
        <f t="shared" ref="M66" si="406">IF($E66&gt;=M$16,MID($H$16,IF($E66&gt;M$16,INT(L66),ROUND(L66,0))+1,1),"")</f>
        <v>0</v>
      </c>
      <c r="N66" s="24">
        <f>(L66-INT(L66))*12</f>
        <v>1.4400001191461342E-9</v>
      </c>
      <c r="O66" s="41" t="str">
        <f t="shared" ref="O66" si="407">IF($E66&gt;=O$16,MID($H$16,IF($E66&gt;O$16,INT(N66),ROUND(N66,0))+1,1),"")</f>
        <v>0</v>
      </c>
      <c r="P66" s="24">
        <f>(N66-INT(N66))*12</f>
        <v>1.7280001429753611E-8</v>
      </c>
      <c r="Q66" s="41" t="str">
        <f t="shared" ref="Q66" si="408">IF($E66&gt;=Q$16,MID($H$16,IF($E66&gt;Q$16,INT(P66),ROUND(P66,0))+1,1),"")</f>
        <v>0</v>
      </c>
      <c r="R66" s="24">
        <f>(P66-INT(P66))*12</f>
        <v>2.0736001715704333E-7</v>
      </c>
      <c r="S66" s="41" t="str">
        <f t="shared" ref="S66" si="409">IF($E66&gt;=S$16,MID($H$16,IF($E66&gt;S$16,INT(R66),ROUND(R66,0))+1,1),"")</f>
        <v>0</v>
      </c>
      <c r="T66" s="24">
        <f>(R66-INT(R66))*12</f>
        <v>2.48832020588452E-6</v>
      </c>
      <c r="U66" s="41" t="str">
        <f t="shared" ref="U66" si="410">IF($E66&gt;=U$16,MID($H$16,IF($E66&gt;U$16,INT(T66),ROUND(T66,0))+1,1),"")</f>
        <v>0</v>
      </c>
      <c r="V66" s="24">
        <f>(T66-INT(T66))*12</f>
        <v>2.985984247061424E-5</v>
      </c>
      <c r="W66" s="41" t="str">
        <f t="shared" ref="W66" si="411">IF($E66&gt;=W$16,MID($H$16,IF($E66&gt;W$16,INT(V66),ROUND(V66,0))+1,1),"")</f>
        <v>0</v>
      </c>
      <c r="X66" s="24">
        <f>(V66-INT(V66))*12</f>
        <v>3.5831810964737087E-4</v>
      </c>
      <c r="Y66" s="41" t="str">
        <f t="shared" ref="Y66" si="412">IF($E66&gt;=Y$16,MID($H$16,IF($E66&gt;Y$16,INT(X66),ROUND(X66,0))+1,1),"")</f>
        <v>0</v>
      </c>
      <c r="Z66" s="24">
        <f>(X66-INT(X66))*12</f>
        <v>4.2998173157684505E-3</v>
      </c>
      <c r="AA66" s="41" t="str">
        <f t="shared" ref="AA66" si="413">IF($E66&gt;=AA$16,MID($H$16,IF($E66&gt;AA$16,INT(Z66),ROUND(Z66,0))+1,1),"")</f>
        <v/>
      </c>
      <c r="AB66" s="24">
        <f>(Z66-INT(Z66))*12</f>
        <v>5.1597807789221406E-2</v>
      </c>
      <c r="AC66" s="41" t="str">
        <f t="shared" ref="AC66" si="414">IF($E66&gt;=AC$16,MID($H$16,IF($E66&gt;AC$16,INT(AB66),ROUND(AB66,0))+1,1),"")</f>
        <v/>
      </c>
      <c r="AD66" s="24">
        <f>(AB66-INT(AB66))*12</f>
        <v>0.61917369347065687</v>
      </c>
      <c r="AE66" s="41" t="str">
        <f t="shared" ref="AE66" si="415">IF($E66&gt;=AE$16,MID($H$16,IF($E66&gt;AE$16,INT(AD66),ROUND(AD66,0))+1,1),"")</f>
        <v/>
      </c>
      <c r="AF66" s="24">
        <f>(AD66-INT(AD66))*12</f>
        <v>7.4300843216478825</v>
      </c>
      <c r="AG66" s="41" t="str">
        <f t="shared" ref="AG66" si="416">IF($E66&gt;=AG$16,MID($H$16,IF($E66&gt;AG$16,INT(AF66),ROUND(AF66,0))+1,1),"")</f>
        <v/>
      </c>
      <c r="AH66" s="24">
        <f>(AF66-INT(AF66))*12</f>
        <v>5.1610118597745895</v>
      </c>
      <c r="AI66" s="41" t="str">
        <f t="shared" ref="AI66" si="417">IF($E66&gt;=AI$16,MID($H$16,IF($E66&gt;AI$16,INT(AH66),ROUND(AH66,0))+1,1),"")</f>
        <v/>
      </c>
    </row>
    <row r="67" spans="2:35" x14ac:dyDescent="0.2">
      <c r="C67" s="55"/>
      <c r="G67" s="234"/>
      <c r="H67" s="235"/>
      <c r="I67" s="236"/>
      <c r="J67" s="236"/>
      <c r="K67" s="237"/>
      <c r="M67" s="237"/>
      <c r="O67" s="237"/>
      <c r="Q67" s="237"/>
      <c r="S67" s="237"/>
      <c r="U67" s="237"/>
      <c r="W67" s="237"/>
      <c r="Y67" s="237"/>
      <c r="AA67" s="237"/>
      <c r="AC67" s="237"/>
      <c r="AE67" s="237"/>
      <c r="AG67" s="237"/>
      <c r="AI67" s="237"/>
    </row>
    <row r="68" spans="2:35" x14ac:dyDescent="0.2">
      <c r="D68" s="54" t="s">
        <v>1256</v>
      </c>
      <c r="F68" s="14" t="s">
        <v>1247</v>
      </c>
      <c r="I68" s="54" t="s">
        <v>1248</v>
      </c>
    </row>
    <row r="69" spans="2:35" x14ac:dyDescent="0.2">
      <c r="D69" s="14" t="s">
        <v>1237</v>
      </c>
      <c r="E69" s="137" t="s">
        <v>1238</v>
      </c>
      <c r="F69" s="14" t="s">
        <v>1239</v>
      </c>
      <c r="I69" s="476">
        <f>8*D17/(9*F3)-1</f>
        <v>-5.209697507292943E-3</v>
      </c>
      <c r="J69" s="476"/>
    </row>
    <row r="70" spans="2:35" x14ac:dyDescent="0.2">
      <c r="D70" s="14" t="s">
        <v>1240</v>
      </c>
      <c r="E70" s="137" t="s">
        <v>1238</v>
      </c>
      <c r="F70" s="14" t="s">
        <v>1760</v>
      </c>
      <c r="I70" s="476">
        <f>9*2*3600/(8*POWER(12,4)*F4)-1</f>
        <v>-2.9472257079277142E-7</v>
      </c>
      <c r="J70" s="476"/>
    </row>
    <row r="71" spans="2:35" x14ac:dyDescent="0.2">
      <c r="D71" s="14" t="s">
        <v>1241</v>
      </c>
      <c r="E71" s="137" t="s">
        <v>1238</v>
      </c>
      <c r="F71" s="14" t="s">
        <v>1242</v>
      </c>
      <c r="I71" s="476">
        <f>14*D51/(3*F8)-1</f>
        <v>3.5537269545395933E-3</v>
      </c>
      <c r="J71" s="476"/>
    </row>
    <row r="72" spans="2:35" x14ac:dyDescent="0.2">
      <c r="D72" s="14" t="s">
        <v>1249</v>
      </c>
      <c r="E72" s="137" t="s">
        <v>1238</v>
      </c>
      <c r="F72" s="14" t="s">
        <v>1761</v>
      </c>
      <c r="I72" s="476">
        <f>3*D43/8/POWER(12*12*F3,2)-1</f>
        <v>-1.3351896373032246E-2</v>
      </c>
      <c r="J72" s="476"/>
    </row>
    <row r="73" spans="2:35" x14ac:dyDescent="0.2">
      <c r="D73" s="14" t="s">
        <v>1257</v>
      </c>
      <c r="E73" s="137" t="s">
        <v>1238</v>
      </c>
      <c r="F73" s="14" t="s">
        <v>1258</v>
      </c>
      <c r="I73" s="476">
        <f>0.00454609*40/(POWER(F3,3)*9)-1</f>
        <v>1.4465769927896055E-4</v>
      </c>
    </row>
    <row r="74" spans="2:35" x14ac:dyDescent="0.2">
      <c r="D74" s="14" t="s">
        <v>1255</v>
      </c>
      <c r="E74" s="137" t="s">
        <v>1238</v>
      </c>
      <c r="F74" s="14" t="s">
        <v>1254</v>
      </c>
      <c r="I74" s="476">
        <f>0.0044048428032*16/(POWER(F3,3)*3.5)-1</f>
        <v>-3.2421587120771145E-3</v>
      </c>
    </row>
    <row r="75" spans="2:35" x14ac:dyDescent="0.2">
      <c r="D75" s="14" t="s">
        <v>1251</v>
      </c>
      <c r="E75" s="137" t="s">
        <v>1238</v>
      </c>
      <c r="F75" s="14" t="s">
        <v>1250</v>
      </c>
      <c r="I75" s="476">
        <f>16*D47/(3*POWER(F3,3))-1</f>
        <v>-6.4643516705653603E-4</v>
      </c>
      <c r="J75" s="476"/>
    </row>
    <row r="76" spans="2:35" x14ac:dyDescent="0.2">
      <c r="D76" s="14" t="s">
        <v>1244</v>
      </c>
      <c r="E76" s="137" t="s">
        <v>1238</v>
      </c>
      <c r="F76" s="14" t="s">
        <v>1243</v>
      </c>
      <c r="I76" s="476">
        <f>D47/(POWER(F3,3)*0.5*0.5*0.75)-1</f>
        <v>-6.4643516705653603E-4</v>
      </c>
      <c r="J76" s="476"/>
    </row>
    <row r="77" spans="2:35" x14ac:dyDescent="0.2">
      <c r="D77" s="14" t="s">
        <v>1252</v>
      </c>
      <c r="E77" s="137" t="s">
        <v>1238</v>
      </c>
      <c r="F77" s="14" t="s">
        <v>1253</v>
      </c>
      <c r="I77" s="476">
        <f>0.000001/(POWER(12,-4)*POWER(F3,3))-1</f>
        <v>2.6436985401027346E-2</v>
      </c>
      <c r="J77" s="476"/>
      <c r="P77" s="476"/>
    </row>
    <row r="78" spans="2:35" x14ac:dyDescent="0.2">
      <c r="D78" s="14" t="s">
        <v>1245</v>
      </c>
      <c r="E78" s="137" t="s">
        <v>1238</v>
      </c>
      <c r="F78" s="14" t="s">
        <v>1246</v>
      </c>
      <c r="I78" s="476">
        <f>40*1.001/30/((3+5/12)*F4)-1</f>
        <v>2.3119904674517855E-5</v>
      </c>
    </row>
  </sheetData>
  <mergeCells count="3">
    <mergeCell ref="A1:A15"/>
    <mergeCell ref="H16:I16"/>
    <mergeCell ref="A16:A64"/>
  </mergeCells>
  <phoneticPr fontId="1"/>
  <printOptions horizontalCentered="1"/>
  <pageMargins left="0.70866141732283472" right="0.70866141732283472" top="0.74803149606299213" bottom="0.74803149606299213" header="0.31496062992125984" footer="0.31496062992125984"/>
  <pageSetup paperSize="9" scale="85" orientation="portrait" r:id="rId1"/>
  <headerFooter>
    <oddHeader>&amp;A</oddHeader>
  </headerFooter>
  <webPublishItems count="1">
    <webPublishItem id="32002" divId="condensed_32002" sourceType="range" sourceRef="D68:I76" destinationFile="C:\Users\suchowan\root\unit\condensed.htm"/>
  </webPublishItem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I89"/>
  <sheetViews>
    <sheetView workbookViewId="0">
      <selection activeCell="F24" sqref="F24"/>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4.6328125" style="14" customWidth="1"/>
    <col min="7" max="7" width="13.6328125" style="14" customWidth="1"/>
    <col min="8" max="8" width="3.6328125" style="14" customWidth="1"/>
    <col min="9" max="9" width="9.6328125" style="14" customWidth="1"/>
    <col min="10" max="10" width="14.6328125" style="14" customWidth="1"/>
    <col min="11" max="11" width="3.1796875" style="14" customWidth="1"/>
    <col min="12" max="12" width="8.6328125" style="14" customWidth="1"/>
    <col min="13" max="13" width="3.1796875" style="14" customWidth="1"/>
    <col min="14" max="14" width="9"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10.26953125" style="14" customWidth="1"/>
    <col min="37" max="37" width="10.1796875" style="14" customWidth="1"/>
    <col min="38" max="16384" width="9" style="14"/>
  </cols>
  <sheetData>
    <row r="1" spans="1:35" ht="11.25" customHeight="1" x14ac:dyDescent="0.2">
      <c r="A1" s="580" t="s">
        <v>26</v>
      </c>
      <c r="B1" s="17" t="s">
        <v>42</v>
      </c>
      <c r="C1" s="18" t="str">
        <f>Rydberg!C1</f>
        <v>Unit Symbol</v>
      </c>
      <c r="D1" s="17" t="s">
        <v>43</v>
      </c>
      <c r="E1" s="18" t="s">
        <v>44</v>
      </c>
      <c r="F1" s="17" t="s">
        <v>55</v>
      </c>
      <c r="G1" s="17" t="s">
        <v>203</v>
      </c>
      <c r="H1" s="19"/>
      <c r="I1" s="56" t="s">
        <v>46</v>
      </c>
      <c r="J1" s="20"/>
      <c r="K1" s="591"/>
      <c r="L1" s="592"/>
      <c r="M1" s="592"/>
      <c r="N1" s="592"/>
      <c r="O1" s="592"/>
      <c r="P1" s="592"/>
    </row>
    <row r="2" spans="1:35" ht="13.5" customHeight="1" x14ac:dyDescent="0.2">
      <c r="A2" s="581"/>
      <c r="B2" s="2" t="str">
        <f>Rydberg!B2</f>
        <v>Local Time</v>
      </c>
      <c r="C2" s="2"/>
      <c r="D2" s="21"/>
      <c r="E2" s="8"/>
      <c r="F2" s="8"/>
      <c r="G2" s="8"/>
      <c r="H2" s="8"/>
      <c r="I2" s="57"/>
      <c r="J2" s="22"/>
      <c r="K2" s="264"/>
      <c r="L2" s="263"/>
      <c r="M2" s="24"/>
      <c r="N2" s="262"/>
      <c r="O2" s="24"/>
      <c r="P2" s="80"/>
      <c r="Q2" s="24"/>
      <c r="R2" s="24"/>
      <c r="S2" s="24"/>
      <c r="T2" s="24"/>
      <c r="U2" s="24"/>
      <c r="V2" s="24"/>
      <c r="W2" s="24"/>
      <c r="X2" s="24"/>
      <c r="Y2" s="24"/>
      <c r="Z2" s="24"/>
      <c r="AA2" s="24"/>
      <c r="AB2" s="24"/>
      <c r="AC2" s="24"/>
      <c r="AD2" s="24"/>
      <c r="AE2" s="24"/>
      <c r="AF2" s="24"/>
      <c r="AG2" s="24"/>
      <c r="AH2" s="24"/>
      <c r="AI2" s="24"/>
    </row>
    <row r="3" spans="1:35" ht="13.5" customHeight="1" x14ac:dyDescent="0.2">
      <c r="A3" s="581"/>
      <c r="B3" s="2" t="str">
        <f>Rydberg!B3</f>
        <v>Length</v>
      </c>
      <c r="C3" s="7" t="s">
        <v>676</v>
      </c>
      <c r="D3" s="28"/>
      <c r="E3" s="8"/>
      <c r="F3" s="21">
        <f>D31 * F4 / (176024043 + 1/18)</f>
        <v>0.29568291258759627</v>
      </c>
      <c r="G3" s="26"/>
      <c r="H3" s="8">
        <v>-3</v>
      </c>
      <c r="I3" s="58">
        <f>F3/POWER(10,H3)</f>
        <v>295.68291258759626</v>
      </c>
      <c r="J3" s="118" t="str">
        <f>Rydberg!L3</f>
        <v>mm</v>
      </c>
      <c r="K3" s="23"/>
      <c r="L3" s="82">
        <f>-LOG(F3)/(LOG(12)-LOG(10))</f>
        <v>6.6830695257951787</v>
      </c>
      <c r="M3" s="24"/>
      <c r="N3" s="83">
        <f>POWER(12,L3)*F3/POWER(10,L3)</f>
        <v>0.99999999999999978</v>
      </c>
      <c r="O3" s="24"/>
      <c r="P3" s="80"/>
      <c r="Q3" s="24"/>
      <c r="R3" s="24">
        <v>11.641059550698177</v>
      </c>
      <c r="S3" s="24"/>
      <c r="T3" s="24"/>
      <c r="U3" s="24"/>
      <c r="V3" s="24"/>
      <c r="W3" s="24"/>
      <c r="X3" s="24"/>
      <c r="Y3" s="24"/>
      <c r="Z3" s="24"/>
      <c r="AA3" s="24"/>
      <c r="AB3" s="24"/>
      <c r="AC3" s="24"/>
      <c r="AD3" s="24"/>
      <c r="AE3" s="24"/>
      <c r="AF3" s="24"/>
      <c r="AG3" s="24"/>
      <c r="AH3" s="24"/>
      <c r="AI3" s="24"/>
    </row>
    <row r="4" spans="1:35" ht="13.5" customHeight="1" x14ac:dyDescent="0.2">
      <c r="A4" s="581"/>
      <c r="B4" s="2" t="str">
        <f>Rydberg!B4</f>
        <v>Time</v>
      </c>
      <c r="C4" s="7" t="s">
        <v>677</v>
      </c>
      <c r="D4" s="28"/>
      <c r="E4" s="8"/>
      <c r="F4" s="21">
        <f>86400/2/POWER(12,5)</f>
        <v>0.1736111111111111</v>
      </c>
      <c r="G4" s="253"/>
      <c r="H4" s="8">
        <v>-3</v>
      </c>
      <c r="I4" s="58">
        <f t="shared" ref="I4:I25" si="0">F4/POWER(10,H4)</f>
        <v>173.61111111111111</v>
      </c>
      <c r="J4" s="118" t="str">
        <f>Rydberg!L4</f>
        <v>ms</v>
      </c>
      <c r="K4" s="23"/>
      <c r="L4" s="82">
        <f t="shared" ref="L4:L25" si="1">-LOG(F4)/(LOG(12)-LOG(10))</f>
        <v>9.6035680338478535</v>
      </c>
      <c r="M4" s="24"/>
      <c r="N4" s="83">
        <f t="shared" ref="N4:N25" si="2">POWER(12,L4)*F4/POWER(10,L4)</f>
        <v>0.99999999999999722</v>
      </c>
      <c r="O4" s="24"/>
      <c r="P4" s="24"/>
      <c r="Q4" s="24"/>
      <c r="R4" s="24"/>
      <c r="S4" s="24"/>
      <c r="T4" s="24"/>
      <c r="U4" s="24"/>
      <c r="V4" s="24"/>
      <c r="W4" s="24"/>
      <c r="X4" s="24"/>
      <c r="Y4" s="24"/>
      <c r="Z4" s="24"/>
      <c r="AA4" s="24"/>
      <c r="AB4" s="24"/>
      <c r="AC4" s="24"/>
      <c r="AD4" s="24"/>
      <c r="AE4" s="24"/>
      <c r="AF4" s="24"/>
      <c r="AG4" s="24"/>
      <c r="AH4" s="24"/>
      <c r="AI4" s="24"/>
    </row>
    <row r="5" spans="1:35" ht="13.5" customHeight="1" x14ac:dyDescent="0.2">
      <c r="A5" s="581"/>
      <c r="B5" s="2" t="str">
        <f>Rydberg!B5</f>
        <v>Energy</v>
      </c>
      <c r="C5" s="2" t="s">
        <v>685</v>
      </c>
      <c r="D5" s="21"/>
      <c r="E5" s="8"/>
      <c r="F5" s="21">
        <f>F17*F20*F3*F3/F16</f>
        <v>74.983195487443439</v>
      </c>
      <c r="G5" s="21"/>
      <c r="H5" s="8">
        <v>0</v>
      </c>
      <c r="I5" s="58">
        <f t="shared" si="0"/>
        <v>74.983195487443439</v>
      </c>
      <c r="J5" s="118" t="s">
        <v>646</v>
      </c>
      <c r="K5" s="23"/>
      <c r="L5" s="82">
        <f t="shared" si="1"/>
        <v>-23.679394275591264</v>
      </c>
      <c r="M5" s="24"/>
      <c r="N5" s="83">
        <f t="shared" si="2"/>
        <v>1.0000000000000095</v>
      </c>
      <c r="O5" s="24"/>
      <c r="P5" s="24"/>
      <c r="Q5" s="24"/>
      <c r="R5" s="24"/>
      <c r="S5" s="24"/>
      <c r="T5" s="24"/>
      <c r="U5" s="24"/>
      <c r="V5" s="24"/>
      <c r="W5" s="24"/>
      <c r="X5" s="24"/>
      <c r="Y5" s="24"/>
      <c r="Z5" s="24"/>
      <c r="AA5" s="24"/>
      <c r="AB5" s="24"/>
      <c r="AC5" s="24"/>
      <c r="AD5" s="24"/>
      <c r="AE5" s="24"/>
      <c r="AF5" s="24"/>
      <c r="AG5" s="24"/>
      <c r="AH5" s="24"/>
      <c r="AI5" s="24"/>
    </row>
    <row r="6" spans="1:35" ht="13.5" customHeight="1" x14ac:dyDescent="0.2">
      <c r="A6" s="581"/>
      <c r="B6" s="2" t="str">
        <f>Rydberg!B6</f>
        <v>Temperature</v>
      </c>
      <c r="C6" s="2" t="s">
        <v>699</v>
      </c>
      <c r="D6" s="21"/>
      <c r="E6" s="8"/>
      <c r="F6" s="21">
        <f>0.1/144</f>
        <v>6.9444444444444447E-4</v>
      </c>
      <c r="G6" s="21"/>
      <c r="H6" s="8">
        <v>-3</v>
      </c>
      <c r="I6" s="58">
        <f t="shared" si="0"/>
        <v>0.69444444444444442</v>
      </c>
      <c r="J6" s="118" t="s">
        <v>1071</v>
      </c>
      <c r="K6" s="23"/>
      <c r="L6" s="82">
        <f t="shared" si="1"/>
        <v>39.887759409539981</v>
      </c>
      <c r="M6" s="24"/>
      <c r="N6" s="83">
        <f t="shared" si="2"/>
        <v>0.99999999999999312</v>
      </c>
      <c r="O6" s="24"/>
      <c r="P6" s="24"/>
      <c r="Q6" s="24"/>
      <c r="R6" s="24"/>
      <c r="S6" s="24"/>
      <c r="T6" s="24"/>
      <c r="U6" s="24"/>
      <c r="V6" s="24"/>
      <c r="W6" s="24"/>
      <c r="X6" s="24"/>
      <c r="Y6" s="24"/>
      <c r="Z6" s="24"/>
      <c r="AA6" s="24"/>
      <c r="AB6" s="24"/>
      <c r="AC6" s="24"/>
      <c r="AD6" s="24"/>
      <c r="AE6" s="24"/>
      <c r="AF6" s="24"/>
      <c r="AG6" s="24"/>
      <c r="AH6" s="24"/>
      <c r="AI6" s="24"/>
    </row>
    <row r="7" spans="1:35" ht="13.5" customHeight="1" x14ac:dyDescent="0.2">
      <c r="A7" s="581"/>
      <c r="B7" s="2" t="str">
        <f>Rydberg!B7</f>
        <v>Amount of substance</v>
      </c>
      <c r="C7" s="2" t="s">
        <v>694</v>
      </c>
      <c r="D7" s="21"/>
      <c r="E7" s="8"/>
      <c r="F7" s="21">
        <f>F8*1000</f>
        <v>25850.355649436216</v>
      </c>
      <c r="G7" s="21"/>
      <c r="H7" s="8">
        <v>3</v>
      </c>
      <c r="I7" s="58">
        <f t="shared" si="0"/>
        <v>25.850355649436217</v>
      </c>
      <c r="J7" s="118" t="s">
        <v>647</v>
      </c>
      <c r="K7" s="23"/>
      <c r="L7" s="82">
        <f t="shared" si="1"/>
        <v>-55.72615666902589</v>
      </c>
      <c r="M7" s="24"/>
      <c r="N7" s="83">
        <f t="shared" si="2"/>
        <v>1.0000000000000258</v>
      </c>
      <c r="O7" s="24"/>
      <c r="P7" s="24"/>
      <c r="Q7" s="24"/>
      <c r="R7" s="24"/>
      <c r="S7" s="24"/>
      <c r="T7" s="24"/>
      <c r="U7" s="24"/>
      <c r="V7" s="24"/>
      <c r="W7" s="24"/>
      <c r="X7" s="24"/>
      <c r="Y7" s="24"/>
      <c r="Z7" s="24"/>
      <c r="AA7" s="24"/>
      <c r="AB7" s="24"/>
      <c r="AC7" s="24"/>
      <c r="AD7" s="24"/>
      <c r="AE7" s="24"/>
      <c r="AF7" s="24"/>
      <c r="AG7" s="24"/>
      <c r="AH7" s="24"/>
      <c r="AI7" s="24"/>
    </row>
    <row r="8" spans="1:35" ht="13.5" customHeight="1" x14ac:dyDescent="0.2">
      <c r="A8" s="581"/>
      <c r="B8" s="2" t="str">
        <f>Rydberg!B8</f>
        <v>Mass</v>
      </c>
      <c r="C8" s="2" t="s">
        <v>678</v>
      </c>
      <c r="D8" s="21"/>
      <c r="E8" s="8"/>
      <c r="F8" s="21">
        <f>F5/POWER(F3/F4,2)</f>
        <v>25.850355649436217</v>
      </c>
      <c r="G8" s="21"/>
      <c r="H8" s="8">
        <v>0</v>
      </c>
      <c r="I8" s="58">
        <f t="shared" si="0"/>
        <v>25.850355649436217</v>
      </c>
      <c r="J8" s="118" t="s">
        <v>648</v>
      </c>
      <c r="K8" s="23"/>
      <c r="L8" s="82">
        <f t="shared" si="1"/>
        <v>-17.838397259485916</v>
      </c>
      <c r="M8" s="24"/>
      <c r="N8" s="83">
        <f t="shared" si="2"/>
        <v>1.0000000000000113</v>
      </c>
      <c r="O8" s="24"/>
      <c r="P8" s="24"/>
      <c r="Q8" s="24"/>
      <c r="R8" s="24"/>
      <c r="S8" s="24"/>
      <c r="T8" s="24"/>
      <c r="U8" s="24"/>
      <c r="V8" s="24"/>
      <c r="W8" s="24"/>
      <c r="X8" s="24"/>
      <c r="Y8" s="24"/>
      <c r="Z8" s="24"/>
      <c r="AA8" s="24"/>
      <c r="AB8" s="24"/>
      <c r="AC8" s="24"/>
      <c r="AD8" s="24"/>
      <c r="AE8" s="24"/>
      <c r="AF8" s="24"/>
      <c r="AG8" s="24"/>
      <c r="AH8" s="24"/>
      <c r="AI8" s="24"/>
    </row>
    <row r="9" spans="1:35" ht="13.5" customHeight="1" x14ac:dyDescent="0.2">
      <c r="A9" s="581"/>
      <c r="B9" s="2" t="str">
        <f>Rydberg!B9</f>
        <v>Power</v>
      </c>
      <c r="C9" s="2" t="s">
        <v>684</v>
      </c>
      <c r="D9" s="21"/>
      <c r="E9" s="8"/>
      <c r="F9" s="21">
        <f>F5/F4</f>
        <v>431.90320600767421</v>
      </c>
      <c r="G9" s="21"/>
      <c r="H9" s="8">
        <v>0</v>
      </c>
      <c r="I9" s="58">
        <f t="shared" si="0"/>
        <v>431.90320600767421</v>
      </c>
      <c r="J9" s="118" t="s">
        <v>649</v>
      </c>
      <c r="K9" s="23"/>
      <c r="L9" s="82">
        <f t="shared" si="1"/>
        <v>-33.282962309439121</v>
      </c>
      <c r="M9" s="24"/>
      <c r="N9" s="83">
        <f t="shared" si="2"/>
        <v>1.0000000000000122</v>
      </c>
      <c r="O9" s="24"/>
      <c r="P9" s="24"/>
      <c r="Q9" s="24"/>
      <c r="R9" s="24"/>
      <c r="S9" s="24"/>
      <c r="T9" s="24"/>
      <c r="U9" s="24"/>
      <c r="V9" s="24"/>
      <c r="W9" s="24"/>
      <c r="X9" s="24"/>
      <c r="Y9" s="24"/>
      <c r="Z9" s="24"/>
      <c r="AA9" s="24"/>
      <c r="AB9" s="24"/>
      <c r="AC9" s="24"/>
      <c r="AD9" s="24"/>
      <c r="AE9" s="24"/>
      <c r="AF9" s="24"/>
      <c r="AG9" s="24"/>
      <c r="AH9" s="24"/>
      <c r="AI9" s="24"/>
    </row>
    <row r="10" spans="1:35" ht="13.5" customHeight="1" x14ac:dyDescent="0.2">
      <c r="A10" s="581"/>
      <c r="B10" s="2" t="str">
        <f>Rydberg!B10</f>
        <v>Force</v>
      </c>
      <c r="C10" s="2" t="s">
        <v>679</v>
      </c>
      <c r="D10" s="21"/>
      <c r="E10" s="8"/>
      <c r="F10" s="21">
        <f>F5/F3</f>
        <v>253.59326594576078</v>
      </c>
      <c r="G10" s="21"/>
      <c r="H10" s="8">
        <v>0</v>
      </c>
      <c r="I10" s="58">
        <f t="shared" si="0"/>
        <v>253.59326594576078</v>
      </c>
      <c r="J10" s="118" t="s">
        <v>650</v>
      </c>
      <c r="K10" s="23"/>
      <c r="L10" s="82">
        <f t="shared" si="1"/>
        <v>-30.362463801386443</v>
      </c>
      <c r="M10" s="24"/>
      <c r="N10" s="83">
        <f t="shared" si="2"/>
        <v>1.000000000000006</v>
      </c>
      <c r="O10" s="24"/>
      <c r="P10" s="24"/>
      <c r="Q10" s="24"/>
      <c r="R10" s="24"/>
      <c r="S10" s="24"/>
      <c r="T10" s="24"/>
      <c r="U10" s="24"/>
      <c r="V10" s="24"/>
      <c r="W10" s="24"/>
      <c r="X10" s="24"/>
      <c r="Y10" s="24"/>
      <c r="Z10" s="24"/>
      <c r="AA10" s="24"/>
      <c r="AB10" s="24"/>
      <c r="AC10" s="24"/>
      <c r="AD10" s="24"/>
      <c r="AE10" s="24"/>
      <c r="AF10" s="24"/>
      <c r="AG10" s="24"/>
      <c r="AH10" s="24"/>
      <c r="AI10" s="24"/>
    </row>
    <row r="11" spans="1:35" ht="13.5" customHeight="1" x14ac:dyDescent="0.2">
      <c r="A11" s="581"/>
      <c r="B11" s="2" t="str">
        <f>Rydberg!B11</f>
        <v>Pressure</v>
      </c>
      <c r="C11" s="2" t="s">
        <v>680</v>
      </c>
      <c r="D11" s="21"/>
      <c r="E11" s="8"/>
      <c r="F11" s="21">
        <f>F5/POWER(F3,3)</f>
        <v>2900.5827630998288</v>
      </c>
      <c r="G11" s="21"/>
      <c r="H11" s="8">
        <v>3</v>
      </c>
      <c r="I11" s="58">
        <f t="shared" si="0"/>
        <v>2.9005827630998287</v>
      </c>
      <c r="J11" s="118" t="s">
        <v>651</v>
      </c>
      <c r="K11" s="23"/>
      <c r="L11" s="82">
        <f t="shared" si="1"/>
        <v>-43.728602852976799</v>
      </c>
      <c r="M11" s="24"/>
      <c r="N11" s="83">
        <f t="shared" si="2"/>
        <v>1.0000000000000135</v>
      </c>
      <c r="O11" s="24"/>
      <c r="P11" s="24"/>
      <c r="Q11" s="24"/>
      <c r="R11" s="24"/>
      <c r="S11" s="24"/>
      <c r="T11" s="24"/>
      <c r="U11" s="24"/>
      <c r="V11" s="24"/>
      <c r="W11" s="24"/>
      <c r="X11" s="24"/>
      <c r="Y11" s="24"/>
      <c r="Z11" s="24"/>
      <c r="AA11" s="24"/>
      <c r="AB11" s="24"/>
      <c r="AC11" s="24"/>
      <c r="AD11" s="24"/>
      <c r="AE11" s="24"/>
      <c r="AF11" s="24"/>
      <c r="AG11" s="24"/>
      <c r="AH11" s="24"/>
      <c r="AI11" s="24"/>
    </row>
    <row r="12" spans="1:35" ht="13.5" customHeight="1" x14ac:dyDescent="0.2">
      <c r="A12" s="581"/>
      <c r="B12" s="2" t="str">
        <f>Rydberg!B12</f>
        <v>Charge</v>
      </c>
      <c r="C12" s="2" t="s">
        <v>683</v>
      </c>
      <c r="D12" s="21"/>
      <c r="E12" s="8"/>
      <c r="F12" s="21">
        <f>F13*F4</f>
        <v>8.6062859150155005E-2</v>
      </c>
      <c r="G12" s="21"/>
      <c r="H12" s="8">
        <v>-3</v>
      </c>
      <c r="I12" s="58">
        <f t="shared" si="0"/>
        <v>86.062859150155006</v>
      </c>
      <c r="J12" s="118" t="str">
        <f>Rydberg!L12</f>
        <v>mC</v>
      </c>
      <c r="K12" s="23"/>
      <c r="L12" s="82">
        <f t="shared" si="1"/>
        <v>13.452481278129918</v>
      </c>
      <c r="M12" s="24"/>
      <c r="N12" s="83">
        <f t="shared" si="2"/>
        <v>0.99999999999999789</v>
      </c>
      <c r="O12" s="24"/>
      <c r="P12" s="24"/>
      <c r="Q12" s="24"/>
      <c r="R12" s="24"/>
      <c r="S12" s="24"/>
      <c r="T12" s="24"/>
      <c r="U12" s="24"/>
      <c r="V12" s="24"/>
      <c r="W12" s="24"/>
      <c r="X12" s="24"/>
      <c r="Y12" s="24"/>
      <c r="Z12" s="24"/>
      <c r="AA12" s="24"/>
      <c r="AB12" s="24"/>
      <c r="AC12" s="24"/>
      <c r="AD12" s="24"/>
      <c r="AE12" s="24"/>
      <c r="AF12" s="24"/>
      <c r="AG12" s="24"/>
      <c r="AH12" s="24"/>
      <c r="AI12" s="24"/>
    </row>
    <row r="13" spans="1:35" ht="14.25" customHeight="1" x14ac:dyDescent="0.2">
      <c r="A13" s="581"/>
      <c r="B13" s="2" t="str">
        <f>Rydberg!B13</f>
        <v>Electric current</v>
      </c>
      <c r="C13" s="2" t="s">
        <v>681</v>
      </c>
      <c r="D13" s="21"/>
      <c r="E13" s="8"/>
      <c r="F13" s="21">
        <f>F17/F16</f>
        <v>0.49572206870489288</v>
      </c>
      <c r="G13" s="21"/>
      <c r="H13" s="8">
        <v>-3</v>
      </c>
      <c r="I13" s="58">
        <f t="shared" si="0"/>
        <v>495.72206870489288</v>
      </c>
      <c r="J13" s="118" t="str">
        <f>Rydberg!L13</f>
        <v>mA</v>
      </c>
      <c r="K13" s="23"/>
      <c r="L13" s="82">
        <f t="shared" si="1"/>
        <v>3.8489132442820648</v>
      </c>
      <c r="M13" s="24"/>
      <c r="N13" s="83">
        <f t="shared" si="2"/>
        <v>0.99999999999999922</v>
      </c>
      <c r="O13" s="24"/>
      <c r="P13" s="24"/>
      <c r="Q13" s="24"/>
      <c r="R13" s="24"/>
      <c r="S13" s="24"/>
      <c r="T13" s="24"/>
      <c r="U13" s="24"/>
      <c r="V13" s="24"/>
      <c r="W13" s="24"/>
      <c r="X13" s="24"/>
      <c r="Y13" s="24"/>
      <c r="Z13" s="24"/>
      <c r="AA13" s="24"/>
      <c r="AB13" s="24"/>
      <c r="AC13" s="24"/>
      <c r="AD13" s="24"/>
      <c r="AE13" s="24"/>
      <c r="AF13" s="24"/>
      <c r="AG13" s="24"/>
      <c r="AH13" s="24"/>
      <c r="AI13" s="24"/>
    </row>
    <row r="14" spans="1:35" ht="14.25" customHeight="1" x14ac:dyDescent="0.2">
      <c r="A14" s="581"/>
      <c r="B14" s="2" t="str">
        <f>Rydberg!B14</f>
        <v>Field Strength</v>
      </c>
      <c r="C14" s="2" t="s">
        <v>700</v>
      </c>
      <c r="D14" s="21"/>
      <c r="E14" s="8"/>
      <c r="F14" s="21">
        <f>F13/F3</f>
        <v>1.676532689585283</v>
      </c>
      <c r="G14" s="21"/>
      <c r="H14" s="8">
        <v>0</v>
      </c>
      <c r="I14" s="58">
        <f t="shared" si="0"/>
        <v>1.676532689585283</v>
      </c>
      <c r="J14" s="118" t="s">
        <v>652</v>
      </c>
      <c r="K14" s="23"/>
      <c r="L14" s="82">
        <f t="shared" si="1"/>
        <v>-2.8341562815131138</v>
      </c>
      <c r="M14" s="24"/>
      <c r="N14" s="83">
        <f t="shared" si="2"/>
        <v>1.0000000000000011</v>
      </c>
      <c r="O14" s="24"/>
      <c r="P14" s="24"/>
      <c r="Q14" s="24"/>
      <c r="R14" s="24"/>
      <c r="S14" s="24"/>
      <c r="T14" s="24"/>
      <c r="U14" s="24"/>
      <c r="V14" s="24"/>
      <c r="W14" s="24"/>
      <c r="X14" s="24"/>
      <c r="Y14" s="24"/>
      <c r="Z14" s="24"/>
      <c r="AA14" s="24"/>
      <c r="AB14" s="24"/>
      <c r="AC14" s="24"/>
      <c r="AD14" s="24"/>
      <c r="AE14" s="24"/>
      <c r="AF14" s="24"/>
      <c r="AG14" s="24"/>
      <c r="AH14" s="24"/>
      <c r="AI14" s="24"/>
    </row>
    <row r="15" spans="1:35" ht="14.25" customHeight="1" x14ac:dyDescent="0.2">
      <c r="A15" s="581"/>
      <c r="B15" s="2" t="str">
        <f>Rydberg!B15</f>
        <v>Flux density</v>
      </c>
      <c r="C15" s="2" t="s">
        <v>701</v>
      </c>
      <c r="D15" s="21"/>
      <c r="E15" s="8"/>
      <c r="F15" s="21">
        <f>F12/POWER(F3,2)</f>
        <v>0.98438120926846717</v>
      </c>
      <c r="G15" s="21"/>
      <c r="H15" s="8">
        <v>-3</v>
      </c>
      <c r="I15" s="58">
        <f t="shared" si="0"/>
        <v>984.38120926846716</v>
      </c>
      <c r="J15" s="118" t="str">
        <f>Rydberg!L15</f>
        <v>mC/m^2</v>
      </c>
      <c r="K15" s="23"/>
      <c r="L15" s="82">
        <f t="shared" si="1"/>
        <v>8.6342226539562333E-2</v>
      </c>
      <c r="M15" s="24"/>
      <c r="N15" s="83">
        <f t="shared" si="2"/>
        <v>1</v>
      </c>
      <c r="O15" s="24"/>
      <c r="P15" s="24"/>
      <c r="Q15" s="24"/>
      <c r="R15" s="24">
        <f>0.0000002*POWER(12,9)</f>
        <v>1031.9560704</v>
      </c>
      <c r="S15" s="24"/>
      <c r="T15" s="24"/>
      <c r="U15" s="24"/>
      <c r="V15" s="24"/>
      <c r="W15" s="24"/>
      <c r="X15" s="24"/>
      <c r="Y15" s="24"/>
      <c r="Z15" s="24"/>
      <c r="AA15" s="24"/>
      <c r="AB15" s="24"/>
      <c r="AC15" s="24"/>
      <c r="AD15" s="24"/>
      <c r="AE15" s="24"/>
      <c r="AF15" s="24"/>
      <c r="AG15" s="24"/>
      <c r="AH15" s="24"/>
      <c r="AI15" s="24"/>
    </row>
    <row r="16" spans="1:35" ht="14.25" customHeight="1" x14ac:dyDescent="0.2">
      <c r="A16" s="581"/>
      <c r="B16" s="2" t="str">
        <f>Rydberg!B16</f>
        <v>Impedance</v>
      </c>
      <c r="C16" s="2" t="s">
        <v>686</v>
      </c>
      <c r="D16" s="21"/>
      <c r="E16" s="8"/>
      <c r="F16" s="21">
        <f>F3/F4*R15</f>
        <v>1757.559032975938</v>
      </c>
      <c r="G16" s="21"/>
      <c r="H16" s="8">
        <v>3</v>
      </c>
      <c r="I16" s="58">
        <f t="shared" si="0"/>
        <v>1.7575590329759379</v>
      </c>
      <c r="J16" s="118" t="s">
        <v>654</v>
      </c>
      <c r="K16" s="23"/>
      <c r="L16" s="82">
        <f t="shared" si="1"/>
        <v>-40.980788798003253</v>
      </c>
      <c r="M16" s="24"/>
      <c r="N16" s="83">
        <f t="shared" si="2"/>
        <v>1.0000000000000104</v>
      </c>
      <c r="O16" s="24"/>
      <c r="P16" s="24"/>
      <c r="Q16" s="24"/>
      <c r="R16" s="24"/>
      <c r="S16" s="24"/>
      <c r="T16" s="24"/>
      <c r="U16" s="24"/>
      <c r="V16" s="24"/>
      <c r="W16" s="24"/>
      <c r="X16" s="24"/>
      <c r="Y16" s="24"/>
      <c r="Z16" s="24"/>
      <c r="AA16" s="24"/>
      <c r="AB16" s="24"/>
      <c r="AC16" s="24"/>
      <c r="AD16" s="24"/>
      <c r="AE16" s="24"/>
      <c r="AF16" s="24"/>
      <c r="AG16" s="24"/>
      <c r="AH16" s="24"/>
      <c r="AI16" s="24"/>
    </row>
    <row r="17" spans="1:35" ht="14.25" customHeight="1" x14ac:dyDescent="0.2">
      <c r="A17" s="581"/>
      <c r="B17" s="2" t="str">
        <f>Rydberg!B17</f>
        <v>Electric potential difference</v>
      </c>
      <c r="C17" s="2" t="s">
        <v>693</v>
      </c>
      <c r="D17" s="21"/>
      <c r="E17" s="8"/>
      <c r="F17" s="21">
        <f>F3*F3*F20/F4</f>
        <v>871.26079969780301</v>
      </c>
      <c r="G17" s="21"/>
      <c r="H17" s="8">
        <v>0</v>
      </c>
      <c r="I17" s="58">
        <f t="shared" si="0"/>
        <v>871.26079969780301</v>
      </c>
      <c r="J17" s="118" t="str">
        <f>Rydberg!L17</f>
        <v>V</v>
      </c>
      <c r="K17" s="23"/>
      <c r="L17" s="82">
        <f t="shared" si="1"/>
        <v>-37.131875553721187</v>
      </c>
      <c r="M17" s="24"/>
      <c r="N17" s="83">
        <f t="shared" si="2"/>
        <v>1.0000000000000115</v>
      </c>
      <c r="O17" s="24"/>
      <c r="P17" s="24"/>
      <c r="Q17" s="24"/>
      <c r="R17" s="24"/>
      <c r="S17" s="24"/>
      <c r="T17" s="24"/>
      <c r="U17" s="24"/>
      <c r="V17" s="24"/>
      <c r="W17" s="24"/>
      <c r="X17" s="24"/>
      <c r="Y17" s="24"/>
      <c r="Z17" s="24"/>
      <c r="AA17" s="24"/>
      <c r="AB17" s="24"/>
      <c r="AC17" s="24"/>
      <c r="AD17" s="24"/>
      <c r="AE17" s="24"/>
      <c r="AF17" s="24"/>
      <c r="AG17" s="24"/>
      <c r="AH17" s="24"/>
      <c r="AI17" s="24"/>
    </row>
    <row r="18" spans="1:35" ht="14.25" customHeight="1" x14ac:dyDescent="0.2">
      <c r="A18" s="581"/>
      <c r="B18" s="2" t="str">
        <f>Rydberg!B18</f>
        <v>Electric capacitance</v>
      </c>
      <c r="C18" s="2" t="s">
        <v>689</v>
      </c>
      <c r="D18" s="21"/>
      <c r="E18" s="8"/>
      <c r="F18" s="21">
        <f>F4/F16</f>
        <v>9.8779675591976511E-5</v>
      </c>
      <c r="G18" s="21"/>
      <c r="H18" s="8">
        <v>-6</v>
      </c>
      <c r="I18" s="58">
        <f t="shared" si="0"/>
        <v>98.779675591976513</v>
      </c>
      <c r="J18" s="118" t="str">
        <f>Rydberg!L18</f>
        <v>mF</v>
      </c>
      <c r="K18" s="115"/>
      <c r="L18" s="116">
        <f t="shared" si="1"/>
        <v>50.584356831851103</v>
      </c>
      <c r="M18" s="76"/>
      <c r="N18" s="117">
        <f t="shared" si="2"/>
        <v>0.99999999999998657</v>
      </c>
      <c r="O18" s="76"/>
      <c r="P18" s="76"/>
      <c r="Q18" s="76"/>
      <c r="R18" s="76"/>
      <c r="S18" s="76"/>
      <c r="T18" s="76"/>
      <c r="U18" s="76"/>
      <c r="V18" s="76"/>
      <c r="W18" s="76"/>
      <c r="X18" s="76"/>
      <c r="Y18" s="76"/>
      <c r="Z18" s="76"/>
      <c r="AA18" s="76"/>
      <c r="AB18" s="76"/>
      <c r="AC18" s="76"/>
      <c r="AD18" s="76"/>
      <c r="AE18" s="76"/>
      <c r="AF18" s="76"/>
      <c r="AG18" s="76"/>
      <c r="AH18" s="76"/>
      <c r="AI18" s="76"/>
    </row>
    <row r="19" spans="1:35" ht="14.25" customHeight="1" x14ac:dyDescent="0.2">
      <c r="A19" s="581"/>
      <c r="B19" s="2" t="str">
        <f>Rydberg!B19</f>
        <v>Magnetic flux</v>
      </c>
      <c r="C19" s="2" t="s">
        <v>690</v>
      </c>
      <c r="D19" s="21"/>
      <c r="E19" s="8"/>
      <c r="F19" s="21">
        <f>F12*F16</f>
        <v>151.26055550309079</v>
      </c>
      <c r="G19" s="21"/>
      <c r="H19" s="8">
        <v>0</v>
      </c>
      <c r="I19" s="58">
        <f t="shared" si="0"/>
        <v>151.26055550309079</v>
      </c>
      <c r="J19" s="118" t="str">
        <f>Rydberg!L19</f>
        <v>Wb</v>
      </c>
      <c r="K19" s="115"/>
      <c r="L19" s="116">
        <f t="shared" si="1"/>
        <v>-27.52830751987333</v>
      </c>
      <c r="M19" s="76"/>
      <c r="N19" s="117">
        <f t="shared" si="2"/>
        <v>1.0000000000000013</v>
      </c>
      <c r="O19" s="76"/>
      <c r="P19" s="76"/>
      <c r="Q19" s="76"/>
      <c r="R19" s="76"/>
      <c r="S19" s="76"/>
      <c r="T19" s="76"/>
      <c r="U19" s="76"/>
      <c r="V19" s="76"/>
      <c r="W19" s="76"/>
      <c r="X19" s="76"/>
      <c r="Y19" s="76"/>
      <c r="Z19" s="76"/>
      <c r="AA19" s="76"/>
      <c r="AB19" s="76"/>
      <c r="AC19" s="76"/>
      <c r="AD19" s="76"/>
      <c r="AE19" s="76"/>
      <c r="AF19" s="76"/>
      <c r="AG19" s="76"/>
      <c r="AH19" s="76"/>
      <c r="AI19" s="76"/>
    </row>
    <row r="20" spans="1:35" ht="14.25" customHeight="1" x14ac:dyDescent="0.2">
      <c r="A20" s="581"/>
      <c r="B20" s="2" t="str">
        <f>Rydberg!B20</f>
        <v>Magnetic flux density</v>
      </c>
      <c r="C20" s="2" t="s">
        <v>691</v>
      </c>
      <c r="D20" s="21"/>
      <c r="E20" s="8"/>
      <c r="F20" s="21">
        <f>SQRT(1/0.001000028 *F3/F4*F16)</f>
        <v>1730.1080862415718</v>
      </c>
      <c r="G20" s="21"/>
      <c r="H20" s="8">
        <v>3</v>
      </c>
      <c r="I20" s="58">
        <f t="shared" si="0"/>
        <v>1.7301080862415719</v>
      </c>
      <c r="J20" s="118" t="s">
        <v>653</v>
      </c>
      <c r="K20" s="115"/>
      <c r="L20" s="116">
        <f t="shared" si="1"/>
        <v>-40.894446571463689</v>
      </c>
      <c r="M20" s="76"/>
      <c r="N20" s="117">
        <f t="shared" si="2"/>
        <v>1.000000000000016</v>
      </c>
      <c r="O20" s="76"/>
      <c r="P20" s="76"/>
      <c r="Q20" s="76"/>
      <c r="R20" s="76"/>
      <c r="S20" s="76"/>
      <c r="T20" s="76"/>
      <c r="U20" s="76"/>
      <c r="V20" s="76"/>
      <c r="W20" s="76"/>
      <c r="X20" s="76"/>
      <c r="Y20" s="76"/>
      <c r="Z20" s="76"/>
      <c r="AA20" s="76"/>
      <c r="AB20" s="76"/>
      <c r="AC20" s="76"/>
      <c r="AD20" s="76"/>
      <c r="AE20" s="76"/>
      <c r="AF20" s="76"/>
      <c r="AG20" s="76"/>
      <c r="AH20" s="76"/>
      <c r="AI20" s="76"/>
    </row>
    <row r="21" spans="1:35" ht="14.25" customHeight="1" x14ac:dyDescent="0.2">
      <c r="A21" s="581"/>
      <c r="B21" s="6" t="str">
        <f>Rydberg!B21</f>
        <v>Inductance</v>
      </c>
      <c r="C21" s="6" t="s">
        <v>692</v>
      </c>
      <c r="D21" s="29"/>
      <c r="E21" s="30"/>
      <c r="F21" s="29">
        <f>F4*F16</f>
        <v>305.13177655832254</v>
      </c>
      <c r="G21" s="29"/>
      <c r="H21" s="30">
        <v>0</v>
      </c>
      <c r="I21" s="59">
        <f t="shared" si="0"/>
        <v>305.13177655832254</v>
      </c>
      <c r="J21" s="119" t="str">
        <f>Rydberg!L21</f>
        <v>H</v>
      </c>
      <c r="K21" s="115"/>
      <c r="L21" s="116">
        <f t="shared" si="1"/>
        <v>-31.377220764155393</v>
      </c>
      <c r="M21" s="76"/>
      <c r="N21" s="117">
        <f t="shared" si="2"/>
        <v>1.0000000000000073</v>
      </c>
      <c r="O21" s="76"/>
      <c r="P21" s="76"/>
      <c r="Q21" s="76"/>
      <c r="R21" s="76"/>
      <c r="S21" s="76"/>
      <c r="T21" s="76"/>
      <c r="U21" s="76"/>
      <c r="V21" s="76"/>
      <c r="W21" s="76"/>
      <c r="X21" s="76"/>
      <c r="Y21" s="76"/>
      <c r="Z21" s="76"/>
      <c r="AA21" s="76"/>
      <c r="AB21" s="76"/>
      <c r="AC21" s="76"/>
      <c r="AD21" s="76"/>
      <c r="AE21" s="76"/>
      <c r="AF21" s="76"/>
      <c r="AG21" s="76"/>
      <c r="AH21" s="76"/>
      <c r="AI21" s="76"/>
    </row>
    <row r="22" spans="1:35" ht="14.25" customHeight="1" x14ac:dyDescent="0.2">
      <c r="A22" s="581"/>
      <c r="B22" s="2" t="s">
        <v>672</v>
      </c>
      <c r="C22" s="2" t="s">
        <v>695</v>
      </c>
      <c r="D22" s="29"/>
      <c r="E22" s="30"/>
      <c r="F22" s="29">
        <f>1/F4</f>
        <v>5.76</v>
      </c>
      <c r="G22" s="21"/>
      <c r="H22" s="8">
        <v>0</v>
      </c>
      <c r="I22" s="58">
        <f t="shared" si="0"/>
        <v>5.76</v>
      </c>
      <c r="J22" s="118" t="s">
        <v>674</v>
      </c>
      <c r="K22" s="23"/>
      <c r="L22" s="82">
        <f t="shared" si="1"/>
        <v>-9.6035680338478535</v>
      </c>
      <c r="M22" s="24"/>
      <c r="N22" s="83">
        <f t="shared" si="2"/>
        <v>1.0000000000000027</v>
      </c>
      <c r="O22" s="257"/>
      <c r="P22" s="257"/>
      <c r="Q22" s="257"/>
      <c r="R22" s="257"/>
      <c r="S22" s="257"/>
      <c r="T22" s="257"/>
      <c r="U22" s="257"/>
      <c r="V22" s="257"/>
      <c r="W22" s="257"/>
      <c r="X22" s="257"/>
      <c r="Y22" s="257"/>
      <c r="Z22" s="257"/>
      <c r="AA22" s="257"/>
      <c r="AB22" s="257"/>
      <c r="AC22" s="257"/>
      <c r="AD22" s="257"/>
      <c r="AE22" s="257"/>
      <c r="AF22" s="257"/>
      <c r="AG22" s="257"/>
      <c r="AH22" s="257"/>
      <c r="AI22" s="257"/>
    </row>
    <row r="23" spans="1:35" ht="14.25" customHeight="1" x14ac:dyDescent="0.2">
      <c r="A23" s="581"/>
      <c r="B23" s="2" t="s">
        <v>658</v>
      </c>
      <c r="C23" s="2" t="s">
        <v>696</v>
      </c>
      <c r="D23" s="21"/>
      <c r="E23" s="8"/>
      <c r="F23" s="21">
        <f>679.6*F9/POWER(12,5)</f>
        <v>1.1795967512330223</v>
      </c>
      <c r="G23" s="21"/>
      <c r="H23" s="8">
        <v>0</v>
      </c>
      <c r="I23" s="58">
        <f t="shared" si="0"/>
        <v>1.1795967512330223</v>
      </c>
      <c r="J23" s="118" t="s">
        <v>659</v>
      </c>
      <c r="K23" s="23"/>
      <c r="L23" s="82">
        <f t="shared" si="1"/>
        <v>-0.90594138583349437</v>
      </c>
      <c r="M23" s="24"/>
      <c r="N23" s="83">
        <f t="shared" si="2"/>
        <v>1.0000000000000004</v>
      </c>
      <c r="O23" s="24"/>
      <c r="P23" s="258"/>
      <c r="Q23" s="24"/>
      <c r="R23" s="24"/>
      <c r="S23" s="24"/>
      <c r="T23" s="24"/>
      <c r="U23" s="24"/>
      <c r="V23" s="24"/>
      <c r="W23" s="24"/>
      <c r="X23" s="24"/>
      <c r="Y23" s="24"/>
      <c r="Z23" s="24"/>
      <c r="AA23" s="24"/>
      <c r="AB23" s="24"/>
      <c r="AC23" s="24"/>
      <c r="AD23" s="24"/>
      <c r="AE23" s="24"/>
      <c r="AF23" s="24"/>
      <c r="AG23" s="24"/>
      <c r="AH23" s="24"/>
      <c r="AI23" s="24"/>
    </row>
    <row r="24" spans="1:35" ht="14.25" customHeight="1" x14ac:dyDescent="0.2">
      <c r="A24" s="581"/>
      <c r="B24" s="6" t="s">
        <v>660</v>
      </c>
      <c r="C24" s="2" t="s">
        <v>698</v>
      </c>
      <c r="D24" s="21"/>
      <c r="E24" s="8"/>
      <c r="F24" s="21">
        <f>F23</f>
        <v>1.1795967512330223</v>
      </c>
      <c r="G24" s="21"/>
      <c r="H24" s="8">
        <v>0</v>
      </c>
      <c r="I24" s="58">
        <f t="shared" si="0"/>
        <v>1.1795967512330223</v>
      </c>
      <c r="J24" s="118" t="s">
        <v>662</v>
      </c>
      <c r="K24" s="23"/>
      <c r="L24" s="82">
        <f t="shared" si="1"/>
        <v>-0.90594138583349437</v>
      </c>
      <c r="M24" s="24"/>
      <c r="N24" s="83">
        <f t="shared" si="2"/>
        <v>1.0000000000000004</v>
      </c>
      <c r="O24" s="24"/>
      <c r="P24" s="24"/>
      <c r="Q24" s="24"/>
      <c r="R24" s="24"/>
      <c r="S24" s="24"/>
      <c r="T24" s="24"/>
      <c r="U24" s="24"/>
      <c r="V24" s="24"/>
      <c r="W24" s="24"/>
      <c r="X24" s="24"/>
      <c r="Y24" s="24"/>
      <c r="Z24" s="24"/>
      <c r="AA24" s="24"/>
      <c r="AB24" s="24"/>
      <c r="AC24" s="24"/>
      <c r="AD24" s="24"/>
      <c r="AE24" s="24"/>
      <c r="AF24" s="24"/>
      <c r="AG24" s="24"/>
      <c r="AH24" s="24"/>
      <c r="AI24" s="24"/>
    </row>
    <row r="25" spans="1:35" ht="14.25" customHeight="1" x14ac:dyDescent="0.2">
      <c r="A25" s="581"/>
      <c r="B25" s="6" t="s">
        <v>664</v>
      </c>
      <c r="C25" s="6" t="s">
        <v>697</v>
      </c>
      <c r="D25" s="29"/>
      <c r="E25" s="30"/>
      <c r="F25" s="29">
        <f>F23/F3/F3</f>
        <v>13.492148505106066</v>
      </c>
      <c r="G25" s="29"/>
      <c r="H25" s="30">
        <v>0</v>
      </c>
      <c r="I25" s="59">
        <f t="shared" si="0"/>
        <v>13.492148505106066</v>
      </c>
      <c r="J25" s="119" t="s">
        <v>675</v>
      </c>
      <c r="K25" s="23"/>
      <c r="L25" s="82">
        <f t="shared" si="1"/>
        <v>-14.272080437423851</v>
      </c>
      <c r="M25" s="24"/>
      <c r="N25" s="83">
        <f t="shared" si="2"/>
        <v>1.0000000000000058</v>
      </c>
      <c r="O25" s="24"/>
      <c r="P25" s="24"/>
      <c r="Q25" s="24"/>
      <c r="R25" s="24"/>
      <c r="S25" s="24"/>
      <c r="T25" s="24"/>
      <c r="U25" s="24"/>
      <c r="V25" s="24"/>
      <c r="W25" s="24"/>
      <c r="X25" s="24"/>
      <c r="Y25" s="24"/>
      <c r="Z25" s="24"/>
      <c r="AA25" s="24"/>
      <c r="AB25" s="24"/>
      <c r="AC25" s="24"/>
      <c r="AD25" s="24"/>
      <c r="AE25" s="24"/>
      <c r="AF25" s="24"/>
      <c r="AG25" s="24"/>
      <c r="AH25" s="24"/>
      <c r="AI25" s="24"/>
    </row>
    <row r="26" spans="1:35" ht="14.25" customHeight="1" thickBot="1" x14ac:dyDescent="0.25">
      <c r="A26" s="582"/>
      <c r="B26" s="4" t="s">
        <v>1072</v>
      </c>
      <c r="C26" s="4" t="s">
        <v>1073</v>
      </c>
      <c r="D26" s="32"/>
      <c r="E26" s="33"/>
      <c r="F26" s="32">
        <f>F3/F4/F4</f>
        <v>9.8100494006662338</v>
      </c>
      <c r="G26" s="32"/>
      <c r="H26" s="33">
        <v>0</v>
      </c>
      <c r="I26" s="60">
        <f t="shared" ref="I26" si="3">F26/POWER(10,H26)</f>
        <v>9.8100494006662338</v>
      </c>
      <c r="J26" s="124" t="s">
        <v>1114</v>
      </c>
      <c r="K26" s="23"/>
      <c r="L26" s="82">
        <f t="shared" ref="L26" si="4">-LOG(F26)/(LOG(12)-LOG(10))</f>
        <v>-12.524066541900529</v>
      </c>
      <c r="M26" s="24"/>
      <c r="N26" s="83">
        <f t="shared" ref="N26" si="5">POWER(12,L26)*F26/POWER(10,L26)</f>
        <v>1.0000000000000056</v>
      </c>
      <c r="O26" s="24"/>
      <c r="P26" s="24"/>
      <c r="Q26" s="24"/>
      <c r="R26" s="24"/>
      <c r="S26" s="24"/>
      <c r="T26" s="24"/>
      <c r="U26" s="24"/>
      <c r="V26" s="24"/>
      <c r="W26" s="24"/>
      <c r="X26" s="24"/>
      <c r="Y26" s="24"/>
      <c r="Z26" s="24"/>
      <c r="AA26" s="24"/>
      <c r="AB26" s="24"/>
      <c r="AC26" s="24"/>
      <c r="AD26" s="24"/>
      <c r="AE26" s="24"/>
      <c r="AF26" s="24"/>
      <c r="AG26" s="24"/>
      <c r="AH26" s="24"/>
      <c r="AI26" s="24"/>
    </row>
    <row r="27" spans="1:35" ht="11.25" customHeight="1" x14ac:dyDescent="0.2">
      <c r="A27" s="580" t="s">
        <v>27</v>
      </c>
      <c r="B27" s="34" t="s">
        <v>42</v>
      </c>
      <c r="C27" s="52" t="str">
        <f>Rydberg!C31</f>
        <v>Unit Symbol</v>
      </c>
      <c r="D27" s="34" t="s">
        <v>43</v>
      </c>
      <c r="E27" s="52" t="s">
        <v>54</v>
      </c>
      <c r="F27" s="34" t="s">
        <v>47</v>
      </c>
      <c r="G27" s="34" t="s">
        <v>92</v>
      </c>
      <c r="H27" s="583" t="str">
        <f>Rydberg!J31</f>
        <v>0123456789XE</v>
      </c>
      <c r="I27" s="584">
        <f>Rydberg!K31</f>
        <v>0</v>
      </c>
      <c r="J27" s="120" t="str">
        <f>Rydberg!L31</f>
        <v>Power</v>
      </c>
      <c r="K27" s="35">
        <v>0</v>
      </c>
      <c r="L27" s="36"/>
      <c r="M27" s="36">
        <f>K27+1</f>
        <v>1</v>
      </c>
      <c r="N27" s="36"/>
      <c r="O27" s="36">
        <f>M27+1</f>
        <v>2</v>
      </c>
      <c r="P27" s="36"/>
      <c r="Q27" s="36">
        <f>O27+1</f>
        <v>3</v>
      </c>
      <c r="R27" s="36"/>
      <c r="S27" s="36">
        <f>Q27+1</f>
        <v>4</v>
      </c>
      <c r="T27" s="36"/>
      <c r="U27" s="36">
        <f>S27+1</f>
        <v>5</v>
      </c>
      <c r="V27" s="36"/>
      <c r="W27" s="36">
        <f>U27+1</f>
        <v>6</v>
      </c>
      <c r="X27" s="36"/>
      <c r="Y27" s="36">
        <f>W27+1</f>
        <v>7</v>
      </c>
      <c r="Z27" s="36"/>
      <c r="AA27" s="36">
        <f>Y27+1</f>
        <v>8</v>
      </c>
      <c r="AB27" s="36"/>
      <c r="AC27" s="36">
        <f>AA27+1</f>
        <v>9</v>
      </c>
      <c r="AD27" s="36"/>
      <c r="AE27" s="36">
        <f>AC27+1</f>
        <v>10</v>
      </c>
      <c r="AF27" s="36"/>
      <c r="AG27" s="36">
        <f>AE27+1</f>
        <v>11</v>
      </c>
      <c r="AH27" s="36"/>
      <c r="AI27" s="36">
        <f>AG27+1</f>
        <v>12</v>
      </c>
    </row>
    <row r="28" spans="1:35" ht="14.25" customHeight="1" x14ac:dyDescent="0.2">
      <c r="A28" s="581"/>
      <c r="B28" s="2" t="str">
        <f>Rydberg!B32</f>
        <v>Fine Structure Constant</v>
      </c>
      <c r="C28" s="2" t="str">
        <f>Rydberg!C32</f>
        <v>-</v>
      </c>
      <c r="D28" s="21">
        <f>Rydberg!D32</f>
        <v>7.2973525643E-3</v>
      </c>
      <c r="E28" s="8">
        <v>9</v>
      </c>
      <c r="F28" s="21">
        <f>D28</f>
        <v>7.2973525643E-3</v>
      </c>
      <c r="G28" s="37" t="str">
        <f>K28&amp;";"&amp;M28&amp;O28&amp;Q28&amp;S28&amp;U28&amp;W28&amp;Y28&amp;AA28&amp;AC28&amp;AE28&amp;AG28&amp;AI28</f>
        <v>1;073994047</v>
      </c>
      <c r="H28" s="38">
        <v>-2</v>
      </c>
      <c r="I28" s="61">
        <f>F28/POWER(12,H28)</f>
        <v>1.0508187692592001</v>
      </c>
      <c r="J28" s="39"/>
      <c r="K28" s="40" t="str">
        <f t="shared" ref="K28:K61" si="6">IF($E28&gt;=K$27,MID($H$27,IF($E28&gt;K$27,INT(I28),ROUND(I28,0))+1,1),"")</f>
        <v>1</v>
      </c>
      <c r="L28" s="24">
        <f>(I28-INT(I28))*12</f>
        <v>0.60982523111040177</v>
      </c>
      <c r="M28" s="41" t="str">
        <f t="shared" ref="M28:M61" si="7">IF($E28&gt;=M$27,MID($H$27,IF($E28&gt;M$27,INT(L28),ROUND(L28,0))+1,1),"")</f>
        <v>0</v>
      </c>
      <c r="N28" s="24">
        <f>(L28-INT(L28))*12</f>
        <v>7.3179027733248212</v>
      </c>
      <c r="O28" s="41" t="str">
        <f t="shared" ref="O28:O61" si="8">IF($E28&gt;=O$27,MID($H$27,IF($E28&gt;O$27,INT(N28),ROUND(N28,0))+1,1),"")</f>
        <v>7</v>
      </c>
      <c r="P28" s="24">
        <f>(N28-INT(N28))*12</f>
        <v>3.8148332798978544</v>
      </c>
      <c r="Q28" s="41" t="str">
        <f t="shared" ref="Q28:Q61" si="9">IF($E28&gt;=Q$27,MID($H$27,IF($E28&gt;Q$27,INT(P28),ROUND(P28,0))+1,1),"")</f>
        <v>3</v>
      </c>
      <c r="R28" s="24">
        <f>(P28-INT(P28))*12</f>
        <v>9.7779993587742524</v>
      </c>
      <c r="S28" s="41" t="str">
        <f t="shared" ref="S28:S61" si="10">IF($E28&gt;=S$27,MID($H$27,IF($E28&gt;S$27,INT(R28),ROUND(R28,0))+1,1),"")</f>
        <v>9</v>
      </c>
      <c r="T28" s="24">
        <f>(R28-INT(R28))*12</f>
        <v>9.335992305291029</v>
      </c>
      <c r="U28" s="41" t="str">
        <f t="shared" ref="U28:U61" si="11">IF($E28&gt;=U$27,MID($H$27,IF($E28&gt;U$27,INT(T28),ROUND(T28,0))+1,1),"")</f>
        <v>9</v>
      </c>
      <c r="V28" s="24">
        <f>(T28-INT(T28))*12</f>
        <v>4.0319076634923476</v>
      </c>
      <c r="W28" s="41" t="str">
        <f t="shared" ref="W28:W61" si="12">IF($E28&gt;=W$27,MID($H$27,IF($E28&gt;W$27,INT(V28),ROUND(V28,0))+1,1),"")</f>
        <v>4</v>
      </c>
      <c r="X28" s="24">
        <f>(V28-INT(V28))*12</f>
        <v>0.38289196190817165</v>
      </c>
      <c r="Y28" s="41" t="str">
        <f t="shared" ref="Y28:Y61" si="13">IF($E28&gt;=Y$27,MID($H$27,IF($E28&gt;Y$27,INT(X28),ROUND(X28,0))+1,1),"")</f>
        <v>0</v>
      </c>
      <c r="Z28" s="24">
        <f>(X28-INT(X28))*12</f>
        <v>4.5947035428980598</v>
      </c>
      <c r="AA28" s="41" t="str">
        <f t="shared" ref="AA28:AA61" si="14">IF($E28&gt;=AA$27,MID($H$27,IF($E28&gt;AA$27,INT(Z28),ROUND(Z28,0))+1,1),"")</f>
        <v>4</v>
      </c>
      <c r="AB28" s="24">
        <f>(Z28-INT(Z28))*12</f>
        <v>7.1364425147767179</v>
      </c>
      <c r="AC28" s="41" t="str">
        <f t="shared" ref="AC28:AC61" si="15">IF($E28&gt;=AC$27,MID($H$27,IF($E28&gt;AC$27,INT(AB28),ROUND(AB28,0))+1,1),"")</f>
        <v>7</v>
      </c>
      <c r="AD28" s="24">
        <f>(AB28-INT(AB28))*12</f>
        <v>1.6373101773206145</v>
      </c>
      <c r="AE28" s="41" t="str">
        <f t="shared" ref="AE28:AE61" si="16">IF($E28&gt;=AE$27,MID($H$27,IF($E28&gt;AE$27,INT(AD28),ROUND(AD28,0))+1,1),"")</f>
        <v/>
      </c>
      <c r="AF28" s="24">
        <f>(AD28-INT(AD28))*12</f>
        <v>7.6477221278473735</v>
      </c>
      <c r="AG28" s="41" t="str">
        <f t="shared" ref="AG28:AG61" si="17">IF($E28&gt;=AG$27,MID($H$27,IF($E28&gt;AG$27,INT(AF28),ROUND(AF28,0))+1,1),"")</f>
        <v/>
      </c>
      <c r="AH28" s="24">
        <f>(AF28-INT(AF28))*12</f>
        <v>7.7726655341684818</v>
      </c>
      <c r="AI28" s="41" t="str">
        <f t="shared" ref="AI28:AI61" si="18">IF($E28&gt;=AI$27,MID($H$27,IF($E28&gt;AI$27,INT(AH28),ROUND(AH28,0))+1,1),"")</f>
        <v/>
      </c>
    </row>
    <row r="29" spans="1:35" ht="15" customHeight="1" x14ac:dyDescent="0.2">
      <c r="A29" s="581"/>
      <c r="B29" s="3" t="str">
        <f>Rydberg!B33</f>
        <v>Avogadro constant</v>
      </c>
      <c r="C29" s="3" t="str">
        <f>Rydberg!C33</f>
        <v>1/mol</v>
      </c>
      <c r="D29" s="21">
        <f>Rydberg!D33</f>
        <v>6.0221407599999999E+23</v>
      </c>
      <c r="E29" s="8">
        <v>7</v>
      </c>
      <c r="F29" s="21">
        <f>D29/(1/F$7)</f>
        <v>1.5567448041696612E+28</v>
      </c>
      <c r="G29" s="37" t="str">
        <f t="shared" ref="G29:G61" si="19">K29&amp;";"&amp;M29&amp;O29&amp;Q29&amp;S29&amp;U29&amp;W29&amp;Y29&amp;AA29&amp;AC29&amp;AE29&amp;AG29&amp;AI29</f>
        <v>1;439X915</v>
      </c>
      <c r="H29" s="38">
        <v>26</v>
      </c>
      <c r="I29" s="61">
        <f>F29/POWER(12,H29)+0.000000000001</f>
        <v>1.359893906117146</v>
      </c>
      <c r="J29" s="39"/>
      <c r="K29" s="40" t="str">
        <f t="shared" si="6"/>
        <v>1</v>
      </c>
      <c r="L29" s="24">
        <f t="shared" ref="L29:L61" si="20">(I29-INT(I29))*12</f>
        <v>4.318726873405752</v>
      </c>
      <c r="M29" s="41" t="str">
        <f t="shared" si="7"/>
        <v>4</v>
      </c>
      <c r="N29" s="24">
        <f t="shared" ref="N29:N61" si="21">(L29-INT(L29))*12</f>
        <v>3.8247224808690241</v>
      </c>
      <c r="O29" s="41" t="str">
        <f t="shared" si="8"/>
        <v>3</v>
      </c>
      <c r="P29" s="24">
        <f t="shared" ref="P29:P61" si="22">(N29-INT(N29))*12</f>
        <v>9.8966697704282893</v>
      </c>
      <c r="Q29" s="41" t="str">
        <f t="shared" si="9"/>
        <v>9</v>
      </c>
      <c r="R29" s="24">
        <f t="shared" ref="R29:R61" si="23">(P29-INT(P29))*12</f>
        <v>10.760037245139472</v>
      </c>
      <c r="S29" s="41" t="str">
        <f t="shared" si="10"/>
        <v>X</v>
      </c>
      <c r="T29" s="24">
        <f t="shared" ref="T29:T61" si="24">(R29-INT(R29))*12</f>
        <v>9.1204469416736629</v>
      </c>
      <c r="U29" s="41" t="str">
        <f t="shared" si="11"/>
        <v>9</v>
      </c>
      <c r="V29" s="24">
        <f t="shared" ref="V29:V61" si="25">(T29-INT(T29))*12</f>
        <v>1.4453633000839545</v>
      </c>
      <c r="W29" s="41" t="str">
        <f t="shared" si="12"/>
        <v>1</v>
      </c>
      <c r="X29" s="24">
        <f t="shared" ref="X29:X61" si="26">(V29-INT(V29))*12</f>
        <v>5.3443596010074543</v>
      </c>
      <c r="Y29" s="41" t="str">
        <f t="shared" si="13"/>
        <v>5</v>
      </c>
      <c r="Z29" s="24">
        <f t="shared" ref="Z29:Z61" si="27">(X29-INT(X29))*12</f>
        <v>4.132315212089452</v>
      </c>
      <c r="AA29" s="41" t="str">
        <f t="shared" si="14"/>
        <v/>
      </c>
      <c r="AB29" s="24">
        <f t="shared" ref="AB29:AB61" si="28">(Z29-INT(Z29))*12</f>
        <v>1.5877825450734235</v>
      </c>
      <c r="AC29" s="41" t="str">
        <f t="shared" si="15"/>
        <v/>
      </c>
      <c r="AD29" s="24">
        <f t="shared" ref="AD29:AD61" si="29">(AB29-INT(AB29))*12</f>
        <v>7.0533905408810824</v>
      </c>
      <c r="AE29" s="41" t="str">
        <f t="shared" si="16"/>
        <v/>
      </c>
      <c r="AF29" s="24">
        <f t="shared" ref="AF29:AF61" si="30">(AD29-INT(AD29))*12</f>
        <v>0.64068649057298899</v>
      </c>
      <c r="AG29" s="41" t="str">
        <f t="shared" si="17"/>
        <v/>
      </c>
      <c r="AH29" s="24">
        <f t="shared" ref="AH29:AH61" si="31">(AF29-INT(AF29))*12</f>
        <v>7.6882378868758678</v>
      </c>
      <c r="AI29" s="41" t="str">
        <f t="shared" si="18"/>
        <v/>
      </c>
    </row>
    <row r="30" spans="1:35" ht="15" customHeight="1" x14ac:dyDescent="0.2">
      <c r="A30" s="581"/>
      <c r="B30" s="3" t="str">
        <f>Rydberg!B34</f>
        <v>Rydberg constant</v>
      </c>
      <c r="C30" s="3" t="str">
        <f>Rydberg!C34</f>
        <v>Ω_1/m</v>
      </c>
      <c r="D30" s="21">
        <f>Rydberg!D34</f>
        <v>10973731.568157</v>
      </c>
      <c r="E30" s="8">
        <v>12</v>
      </c>
      <c r="F30" s="21">
        <f>D30/(1/F$3)</f>
        <v>3244744.9120271122</v>
      </c>
      <c r="G30" s="37" t="str">
        <f t="shared" si="19"/>
        <v>1;1058E4XE3E96</v>
      </c>
      <c r="H30" s="38">
        <v>6</v>
      </c>
      <c r="I30" s="61">
        <f>F30/POWER(12,H30)</f>
        <v>1.0866585058818508</v>
      </c>
      <c r="J30" s="39"/>
      <c r="K30" s="40" t="str">
        <f t="shared" si="6"/>
        <v>1</v>
      </c>
      <c r="L30" s="24">
        <f t="shared" si="20"/>
        <v>1.0399020705822091</v>
      </c>
      <c r="M30" s="41" t="str">
        <f t="shared" si="7"/>
        <v>1</v>
      </c>
      <c r="N30" s="24">
        <f t="shared" si="21"/>
        <v>0.47882484698650885</v>
      </c>
      <c r="O30" s="41" t="str">
        <f t="shared" si="8"/>
        <v>0</v>
      </c>
      <c r="P30" s="24">
        <f t="shared" si="22"/>
        <v>5.7458981638381061</v>
      </c>
      <c r="Q30" s="41" t="str">
        <f t="shared" si="9"/>
        <v>5</v>
      </c>
      <c r="R30" s="24">
        <f t="shared" si="23"/>
        <v>8.9507779660572737</v>
      </c>
      <c r="S30" s="41" t="str">
        <f t="shared" si="10"/>
        <v>8</v>
      </c>
      <c r="T30" s="24">
        <f t="shared" si="24"/>
        <v>11.409335592687285</v>
      </c>
      <c r="U30" s="41" t="str">
        <f t="shared" si="11"/>
        <v>E</v>
      </c>
      <c r="V30" s="24">
        <f t="shared" si="25"/>
        <v>4.9120271122474151</v>
      </c>
      <c r="W30" s="41" t="str">
        <f t="shared" si="12"/>
        <v>4</v>
      </c>
      <c r="X30" s="24">
        <f t="shared" si="26"/>
        <v>10.944325346968981</v>
      </c>
      <c r="Y30" s="41" t="str">
        <f t="shared" si="13"/>
        <v>X</v>
      </c>
      <c r="Z30" s="24">
        <f t="shared" si="27"/>
        <v>11.331904163627769</v>
      </c>
      <c r="AA30" s="41" t="str">
        <f t="shared" si="14"/>
        <v>E</v>
      </c>
      <c r="AB30" s="24">
        <f t="shared" si="28"/>
        <v>3.9828499635332264</v>
      </c>
      <c r="AC30" s="41" t="str">
        <f t="shared" si="15"/>
        <v>3</v>
      </c>
      <c r="AD30" s="24">
        <f t="shared" si="29"/>
        <v>11.794199562398717</v>
      </c>
      <c r="AE30" s="41" t="str">
        <f t="shared" si="16"/>
        <v>E</v>
      </c>
      <c r="AF30" s="24">
        <f t="shared" si="30"/>
        <v>9.5303947487846017</v>
      </c>
      <c r="AG30" s="41" t="str">
        <f t="shared" si="17"/>
        <v>9</v>
      </c>
      <c r="AH30" s="24">
        <f t="shared" si="31"/>
        <v>6.3647369854152203</v>
      </c>
      <c r="AI30" s="41" t="str">
        <f t="shared" si="18"/>
        <v>6</v>
      </c>
    </row>
    <row r="31" spans="1:35" ht="15" customHeight="1" x14ac:dyDescent="0.2">
      <c r="A31" s="581"/>
      <c r="B31" s="3" t="str">
        <f>Rydberg!B35</f>
        <v>Speed of light in vacuum</v>
      </c>
      <c r="C31" s="3" t="str">
        <f>Rydberg!C35</f>
        <v>m/s</v>
      </c>
      <c r="D31" s="21">
        <f>Rydberg!D35</f>
        <v>299792458</v>
      </c>
      <c r="E31" s="8">
        <v>12</v>
      </c>
      <c r="F31" s="21">
        <f>D31/(F$3/F$4)</f>
        <v>176024043.05555552</v>
      </c>
      <c r="G31" s="37" t="str">
        <f t="shared" si="19"/>
        <v>4;XE4992307EE</v>
      </c>
      <c r="H31" s="38">
        <v>7</v>
      </c>
      <c r="I31" s="61">
        <f>F31/POWER(12,H31)</f>
        <v>4.9125079888671968</v>
      </c>
      <c r="J31" s="39"/>
      <c r="K31" s="40" t="str">
        <f t="shared" si="6"/>
        <v>4</v>
      </c>
      <c r="L31" s="24">
        <f t="shared" si="20"/>
        <v>10.950095866406361</v>
      </c>
      <c r="M31" s="41" t="str">
        <f t="shared" si="7"/>
        <v>X</v>
      </c>
      <c r="N31" s="24">
        <f t="shared" si="21"/>
        <v>11.401150396876332</v>
      </c>
      <c r="O31" s="41" t="str">
        <f t="shared" si="8"/>
        <v>E</v>
      </c>
      <c r="P31" s="24">
        <f t="shared" si="22"/>
        <v>4.8138047625159857</v>
      </c>
      <c r="Q31" s="41" t="str">
        <f t="shared" si="9"/>
        <v>4</v>
      </c>
      <c r="R31" s="24">
        <f t="shared" si="23"/>
        <v>9.7656571501918279</v>
      </c>
      <c r="S31" s="41" t="str">
        <f t="shared" si="10"/>
        <v>9</v>
      </c>
      <c r="T31" s="24">
        <f t="shared" si="24"/>
        <v>9.1878858023019347</v>
      </c>
      <c r="U31" s="41" t="str">
        <f t="shared" si="11"/>
        <v>9</v>
      </c>
      <c r="V31" s="24">
        <f t="shared" si="25"/>
        <v>2.2546296276232169</v>
      </c>
      <c r="W31" s="41" t="str">
        <f t="shared" si="12"/>
        <v>2</v>
      </c>
      <c r="X31" s="24">
        <f t="shared" si="26"/>
        <v>3.0555555314786034</v>
      </c>
      <c r="Y31" s="41" t="str">
        <f t="shared" si="13"/>
        <v>3</v>
      </c>
      <c r="Z31" s="24">
        <f t="shared" si="27"/>
        <v>0.66666637774324045</v>
      </c>
      <c r="AA31" s="41" t="str">
        <f t="shared" si="14"/>
        <v>0</v>
      </c>
      <c r="AB31" s="24">
        <f t="shared" si="28"/>
        <v>7.9999965329188854</v>
      </c>
      <c r="AC31" s="41" t="str">
        <f t="shared" si="15"/>
        <v>7</v>
      </c>
      <c r="AD31" s="24">
        <f t="shared" si="29"/>
        <v>11.999958395026624</v>
      </c>
      <c r="AE31" s="41" t="str">
        <f t="shared" si="16"/>
        <v>E</v>
      </c>
      <c r="AF31" s="24">
        <f t="shared" si="30"/>
        <v>11.99950074031949</v>
      </c>
      <c r="AG31" s="41" t="str">
        <f t="shared" si="17"/>
        <v>E</v>
      </c>
      <c r="AH31" s="24">
        <f t="shared" si="31"/>
        <v>11.994008883833885</v>
      </c>
      <c r="AI31" s="41" t="str">
        <f t="shared" si="18"/>
        <v/>
      </c>
    </row>
    <row r="32" spans="1:35" ht="15" customHeight="1" x14ac:dyDescent="0.2">
      <c r="A32" s="581"/>
      <c r="B32" s="3" t="str">
        <f>Rydberg!B36</f>
        <v>Quantum of action</v>
      </c>
      <c r="C32" s="3" t="str">
        <f>Rydberg!C36</f>
        <v>Js</v>
      </c>
      <c r="D32" s="21">
        <f>Rydberg!D36</f>
        <v>1.0545718176461565E-34</v>
      </c>
      <c r="E32" s="8">
        <v>7</v>
      </c>
      <c r="F32" s="21">
        <f>D32/(F$5*F$4)</f>
        <v>8.1009266545049547E-36</v>
      </c>
      <c r="G32" s="37" t="str">
        <f t="shared" si="19"/>
        <v>3;3X5E511</v>
      </c>
      <c r="H32" s="38">
        <v>-33</v>
      </c>
      <c r="I32" s="61">
        <f>F32/POWER(12,H32)+0.000000000001</f>
        <v>3.3228888899488123</v>
      </c>
      <c r="J32" s="39"/>
      <c r="K32" s="40" t="str">
        <f t="shared" si="6"/>
        <v>3</v>
      </c>
      <c r="L32" s="24">
        <f t="shared" si="20"/>
        <v>3.8746666793857472</v>
      </c>
      <c r="M32" s="41" t="str">
        <f t="shared" si="7"/>
        <v>3</v>
      </c>
      <c r="N32" s="24">
        <f t="shared" si="21"/>
        <v>10.496000152628966</v>
      </c>
      <c r="O32" s="41" t="str">
        <f t="shared" si="8"/>
        <v>X</v>
      </c>
      <c r="P32" s="24">
        <f t="shared" si="22"/>
        <v>5.9520018315475909</v>
      </c>
      <c r="Q32" s="41" t="str">
        <f t="shared" si="9"/>
        <v>5</v>
      </c>
      <c r="R32" s="24">
        <f t="shared" si="23"/>
        <v>11.424021978571091</v>
      </c>
      <c r="S32" s="41" t="str">
        <f t="shared" si="10"/>
        <v>E</v>
      </c>
      <c r="T32" s="24">
        <f t="shared" si="24"/>
        <v>5.088263742853087</v>
      </c>
      <c r="U32" s="41" t="str">
        <f t="shared" si="11"/>
        <v>5</v>
      </c>
      <c r="V32" s="24">
        <f t="shared" si="25"/>
        <v>1.0591649142370443</v>
      </c>
      <c r="W32" s="41" t="str">
        <f t="shared" si="12"/>
        <v>1</v>
      </c>
      <c r="X32" s="24">
        <f t="shared" si="26"/>
        <v>0.70997897084453143</v>
      </c>
      <c r="Y32" s="41" t="str">
        <f t="shared" si="13"/>
        <v>1</v>
      </c>
      <c r="Z32" s="24">
        <f t="shared" si="27"/>
        <v>8.5197476501343772</v>
      </c>
      <c r="AA32" s="41" t="str">
        <f t="shared" si="14"/>
        <v/>
      </c>
      <c r="AB32" s="24">
        <f t="shared" si="28"/>
        <v>6.2369718016125262</v>
      </c>
      <c r="AC32" s="41" t="str">
        <f t="shared" si="15"/>
        <v/>
      </c>
      <c r="AD32" s="24">
        <f t="shared" si="29"/>
        <v>2.8436616193503141</v>
      </c>
      <c r="AE32" s="41" t="str">
        <f t="shared" si="16"/>
        <v/>
      </c>
      <c r="AF32" s="24">
        <f t="shared" si="30"/>
        <v>10.12393943220377</v>
      </c>
      <c r="AG32" s="41" t="str">
        <f t="shared" si="17"/>
        <v/>
      </c>
      <c r="AH32" s="24">
        <f t="shared" si="31"/>
        <v>1.4872731864452362</v>
      </c>
      <c r="AI32" s="41" t="str">
        <f t="shared" si="18"/>
        <v/>
      </c>
    </row>
    <row r="33" spans="1:35" ht="15" customHeight="1" x14ac:dyDescent="0.2">
      <c r="A33" s="581"/>
      <c r="B33" s="3" t="str">
        <f>Rydberg!B37</f>
        <v>Boltzmann constant</v>
      </c>
      <c r="C33" s="3" t="str">
        <f>Rydberg!C37</f>
        <v>J/K</v>
      </c>
      <c r="D33" s="21">
        <f>Rydberg!D37</f>
        <v>1.3806490000000001E-23</v>
      </c>
      <c r="E33" s="8">
        <v>6</v>
      </c>
      <c r="F33" s="21">
        <f>D33/(F$5/F$6)</f>
        <v>1.2786652016428593E-28</v>
      </c>
      <c r="G33" s="37" t="str">
        <f t="shared" si="19"/>
        <v>1;56945X</v>
      </c>
      <c r="H33" s="38">
        <v>-26</v>
      </c>
      <c r="I33" s="61">
        <f t="shared" ref="I33:I61" si="32">F33/POWER(12,H33)</f>
        <v>1.4637578710938528</v>
      </c>
      <c r="J33" s="39"/>
      <c r="K33" s="40" t="str">
        <f t="shared" si="6"/>
        <v>1</v>
      </c>
      <c r="L33" s="24">
        <f t="shared" si="20"/>
        <v>5.5650944531262336</v>
      </c>
      <c r="M33" s="41" t="str">
        <f t="shared" si="7"/>
        <v>5</v>
      </c>
      <c r="N33" s="24">
        <f t="shared" si="21"/>
        <v>6.7811334375148036</v>
      </c>
      <c r="O33" s="41" t="str">
        <f t="shared" si="8"/>
        <v>6</v>
      </c>
      <c r="P33" s="24">
        <f t="shared" si="22"/>
        <v>9.3736012501776429</v>
      </c>
      <c r="Q33" s="41" t="str">
        <f t="shared" si="9"/>
        <v>9</v>
      </c>
      <c r="R33" s="24">
        <f t="shared" si="23"/>
        <v>4.4832150021317148</v>
      </c>
      <c r="S33" s="41" t="str">
        <f t="shared" si="10"/>
        <v>4</v>
      </c>
      <c r="T33" s="24">
        <f t="shared" si="24"/>
        <v>5.7985800255805771</v>
      </c>
      <c r="U33" s="41" t="str">
        <f t="shared" si="11"/>
        <v>5</v>
      </c>
      <c r="V33" s="24">
        <f t="shared" si="25"/>
        <v>9.5829603069669247</v>
      </c>
      <c r="W33" s="41" t="str">
        <f t="shared" si="12"/>
        <v>X</v>
      </c>
      <c r="X33" s="24">
        <f t="shared" si="26"/>
        <v>6.9955236836030963</v>
      </c>
      <c r="Y33" s="41" t="str">
        <f t="shared" si="13"/>
        <v/>
      </c>
      <c r="Z33" s="24">
        <f t="shared" si="27"/>
        <v>11.946284203237155</v>
      </c>
      <c r="AA33" s="41" t="str">
        <f t="shared" si="14"/>
        <v/>
      </c>
      <c r="AB33" s="24">
        <f t="shared" si="28"/>
        <v>11.355410438845865</v>
      </c>
      <c r="AC33" s="41" t="str">
        <f t="shared" si="15"/>
        <v/>
      </c>
      <c r="AD33" s="24">
        <f t="shared" si="29"/>
        <v>4.2649252661503851</v>
      </c>
      <c r="AE33" s="41" t="str">
        <f t="shared" si="16"/>
        <v/>
      </c>
      <c r="AF33" s="24">
        <f t="shared" si="30"/>
        <v>3.1791031938046217</v>
      </c>
      <c r="AG33" s="41" t="str">
        <f t="shared" si="17"/>
        <v/>
      </c>
      <c r="AH33" s="24">
        <f t="shared" si="31"/>
        <v>2.1492383256554604</v>
      </c>
      <c r="AI33" s="41" t="str">
        <f t="shared" si="18"/>
        <v/>
      </c>
    </row>
    <row r="34" spans="1:35" ht="15" customHeight="1" x14ac:dyDescent="0.2">
      <c r="A34" s="581"/>
      <c r="B34" s="3" t="str">
        <f>Rydberg!B38</f>
        <v>Gas constant</v>
      </c>
      <c r="C34" s="3" t="str">
        <f>Rydberg!C38</f>
        <v>J/(mol K)</v>
      </c>
      <c r="D34" s="21">
        <f>Rydberg!D38</f>
        <v>8.3144626181532395</v>
      </c>
      <c r="E34" s="8">
        <v>6</v>
      </c>
      <c r="F34" s="21">
        <f>D34/(F$5/F$6/F$7)</f>
        <v>1.990555408930073</v>
      </c>
      <c r="G34" s="37" t="str">
        <f t="shared" si="19"/>
        <v>1;EX781E</v>
      </c>
      <c r="H34" s="38">
        <v>0</v>
      </c>
      <c r="I34" s="61">
        <f t="shared" si="32"/>
        <v>1.990555408930073</v>
      </c>
      <c r="J34" s="39"/>
      <c r="K34" s="40" t="str">
        <f t="shared" si="6"/>
        <v>1</v>
      </c>
      <c r="L34" s="24">
        <f t="shared" si="20"/>
        <v>11.886664907160876</v>
      </c>
      <c r="M34" s="41" t="str">
        <f t="shared" si="7"/>
        <v>E</v>
      </c>
      <c r="N34" s="24">
        <f t="shared" si="21"/>
        <v>10.63997888593051</v>
      </c>
      <c r="O34" s="41" t="str">
        <f t="shared" si="8"/>
        <v>X</v>
      </c>
      <c r="P34" s="24">
        <f t="shared" si="22"/>
        <v>7.6797466311661253</v>
      </c>
      <c r="Q34" s="41" t="str">
        <f t="shared" si="9"/>
        <v>7</v>
      </c>
      <c r="R34" s="24">
        <f t="shared" si="23"/>
        <v>8.1569595739935039</v>
      </c>
      <c r="S34" s="41" t="str">
        <f t="shared" si="10"/>
        <v>8</v>
      </c>
      <c r="T34" s="24">
        <f t="shared" si="24"/>
        <v>1.8835148879220469</v>
      </c>
      <c r="U34" s="41" t="str">
        <f t="shared" si="11"/>
        <v>1</v>
      </c>
      <c r="V34" s="24">
        <f t="shared" si="25"/>
        <v>10.602178655064563</v>
      </c>
      <c r="W34" s="41" t="str">
        <f t="shared" si="12"/>
        <v>E</v>
      </c>
      <c r="X34" s="24">
        <f t="shared" si="26"/>
        <v>7.226143860774755</v>
      </c>
      <c r="Y34" s="41" t="str">
        <f t="shared" si="13"/>
        <v/>
      </c>
      <c r="Z34" s="24">
        <f t="shared" si="27"/>
        <v>2.7137263292970601</v>
      </c>
      <c r="AA34" s="41" t="str">
        <f t="shared" si="14"/>
        <v/>
      </c>
      <c r="AB34" s="24">
        <f t="shared" si="28"/>
        <v>8.5647159515647218</v>
      </c>
      <c r="AC34" s="41" t="str">
        <f t="shared" si="15"/>
        <v/>
      </c>
      <c r="AD34" s="24">
        <f t="shared" si="29"/>
        <v>6.7765914187766612</v>
      </c>
      <c r="AE34" s="41" t="str">
        <f t="shared" si="16"/>
        <v/>
      </c>
      <c r="AF34" s="24">
        <f t="shared" si="30"/>
        <v>9.3190970253199339</v>
      </c>
      <c r="AG34" s="41" t="str">
        <f t="shared" si="17"/>
        <v/>
      </c>
      <c r="AH34" s="24">
        <f t="shared" si="31"/>
        <v>3.8291643038392067</v>
      </c>
      <c r="AI34" s="41" t="str">
        <f t="shared" si="18"/>
        <v/>
      </c>
    </row>
    <row r="35" spans="1:35" ht="15" customHeight="1" x14ac:dyDescent="0.2">
      <c r="A35" s="581"/>
      <c r="B35" s="3" t="str">
        <f>Rydberg!B39</f>
        <v>Unified atomic mass unit</v>
      </c>
      <c r="C35" s="3" t="str">
        <f>Rydberg!C39</f>
        <v>kg</v>
      </c>
      <c r="D35" s="21">
        <f>Rydberg!D39</f>
        <v>1.6605390689199999E-27</v>
      </c>
      <c r="E35" s="8">
        <v>7</v>
      </c>
      <c r="F35" s="21">
        <f>D35/F$8</f>
        <v>6.4236604379414618E-29</v>
      </c>
      <c r="G35" s="37" t="str">
        <f t="shared" si="19"/>
        <v>8;9X82E92</v>
      </c>
      <c r="H35" s="38">
        <v>-27</v>
      </c>
      <c r="I35" s="61">
        <f t="shared" si="32"/>
        <v>8.8242178001155054</v>
      </c>
      <c r="J35" s="39"/>
      <c r="K35" s="40" t="str">
        <f t="shared" si="6"/>
        <v>8</v>
      </c>
      <c r="L35" s="24">
        <f t="shared" si="20"/>
        <v>9.8906136013860646</v>
      </c>
      <c r="M35" s="41" t="str">
        <f t="shared" si="7"/>
        <v>9</v>
      </c>
      <c r="N35" s="24">
        <f t="shared" si="21"/>
        <v>10.687363216632775</v>
      </c>
      <c r="O35" s="41" t="str">
        <f t="shared" si="8"/>
        <v>X</v>
      </c>
      <c r="P35" s="24">
        <f t="shared" si="22"/>
        <v>8.2483585995933026</v>
      </c>
      <c r="Q35" s="41" t="str">
        <f t="shared" si="9"/>
        <v>8</v>
      </c>
      <c r="R35" s="24">
        <f t="shared" si="23"/>
        <v>2.9803031951196317</v>
      </c>
      <c r="S35" s="41" t="str">
        <f t="shared" si="10"/>
        <v>2</v>
      </c>
      <c r="T35" s="24">
        <f t="shared" si="24"/>
        <v>11.763638341435581</v>
      </c>
      <c r="U35" s="41" t="str">
        <f t="shared" si="11"/>
        <v>E</v>
      </c>
      <c r="V35" s="24">
        <f t="shared" si="25"/>
        <v>9.1636600972269662</v>
      </c>
      <c r="W35" s="41" t="str">
        <f t="shared" si="12"/>
        <v>9</v>
      </c>
      <c r="X35" s="24">
        <f t="shared" si="26"/>
        <v>1.9639211667235941</v>
      </c>
      <c r="Y35" s="41" t="str">
        <f t="shared" si="13"/>
        <v>2</v>
      </c>
      <c r="Z35" s="24">
        <f t="shared" si="27"/>
        <v>11.567054000683129</v>
      </c>
      <c r="AA35" s="41" t="str">
        <f t="shared" si="14"/>
        <v/>
      </c>
      <c r="AB35" s="24">
        <f t="shared" si="28"/>
        <v>6.804648008197546</v>
      </c>
      <c r="AC35" s="41" t="str">
        <f t="shared" si="15"/>
        <v/>
      </c>
      <c r="AD35" s="24">
        <f t="shared" si="29"/>
        <v>9.6557760983705521</v>
      </c>
      <c r="AE35" s="41" t="str">
        <f t="shared" si="16"/>
        <v/>
      </c>
      <c r="AF35" s="24">
        <f t="shared" si="30"/>
        <v>7.8693131804466248</v>
      </c>
      <c r="AG35" s="41" t="str">
        <f t="shared" si="17"/>
        <v/>
      </c>
      <c r="AH35" s="24">
        <f t="shared" si="31"/>
        <v>10.431758165359497</v>
      </c>
      <c r="AI35" s="41" t="str">
        <f t="shared" si="18"/>
        <v/>
      </c>
    </row>
    <row r="36" spans="1:35" ht="15" customHeight="1" x14ac:dyDescent="0.2">
      <c r="A36" s="581"/>
      <c r="B36" s="3" t="str">
        <f>Rydberg!B40</f>
        <v>Bohr Radius</v>
      </c>
      <c r="C36" s="3" t="str">
        <f>Rydberg!C40</f>
        <v>m</v>
      </c>
      <c r="D36" s="21">
        <f>Rydberg!D40</f>
        <v>5.2917721054102549E-11</v>
      </c>
      <c r="E36" s="8">
        <v>9</v>
      </c>
      <c r="F36" s="21">
        <f>D36/F$3</f>
        <v>1.7896780233597583E-10</v>
      </c>
      <c r="G36" s="37" t="str">
        <f t="shared" si="19"/>
        <v>E;0E8409602</v>
      </c>
      <c r="H36" s="38">
        <v>-10</v>
      </c>
      <c r="I36" s="61">
        <f t="shared" si="32"/>
        <v>11.081214601605454</v>
      </c>
      <c r="J36" s="39"/>
      <c r="K36" s="40" t="str">
        <f t="shared" si="6"/>
        <v>E</v>
      </c>
      <c r="L36" s="24">
        <f t="shared" si="20"/>
        <v>0.97457521926545354</v>
      </c>
      <c r="M36" s="41" t="str">
        <f t="shared" si="7"/>
        <v>0</v>
      </c>
      <c r="N36" s="24">
        <f t="shared" si="21"/>
        <v>11.694902631185442</v>
      </c>
      <c r="O36" s="41" t="str">
        <f t="shared" si="8"/>
        <v>E</v>
      </c>
      <c r="P36" s="24">
        <f t="shared" si="22"/>
        <v>8.3388315742253099</v>
      </c>
      <c r="Q36" s="41" t="str">
        <f t="shared" si="9"/>
        <v>8</v>
      </c>
      <c r="R36" s="24">
        <f t="shared" si="23"/>
        <v>4.0659788907037182</v>
      </c>
      <c r="S36" s="41" t="str">
        <f t="shared" si="10"/>
        <v>4</v>
      </c>
      <c r="T36" s="24">
        <f t="shared" si="24"/>
        <v>0.79174668844461848</v>
      </c>
      <c r="U36" s="41" t="str">
        <f t="shared" si="11"/>
        <v>0</v>
      </c>
      <c r="V36" s="24">
        <f t="shared" si="25"/>
        <v>9.5009602613354218</v>
      </c>
      <c r="W36" s="41" t="str">
        <f t="shared" si="12"/>
        <v>9</v>
      </c>
      <c r="X36" s="24">
        <f t="shared" si="26"/>
        <v>6.0115231360250618</v>
      </c>
      <c r="Y36" s="41" t="str">
        <f t="shared" si="13"/>
        <v>6</v>
      </c>
      <c r="Z36" s="24">
        <f t="shared" si="27"/>
        <v>0.13827763230074197</v>
      </c>
      <c r="AA36" s="41" t="str">
        <f t="shared" si="14"/>
        <v>0</v>
      </c>
      <c r="AB36" s="24">
        <f t="shared" si="28"/>
        <v>1.6593315876089036</v>
      </c>
      <c r="AC36" s="41" t="str">
        <f t="shared" si="15"/>
        <v>2</v>
      </c>
      <c r="AD36" s="24">
        <f t="shared" si="29"/>
        <v>7.9119790513068438</v>
      </c>
      <c r="AE36" s="41" t="str">
        <f t="shared" si="16"/>
        <v/>
      </c>
      <c r="AF36" s="24">
        <f t="shared" si="30"/>
        <v>10.943748615682125</v>
      </c>
      <c r="AG36" s="41" t="str">
        <f t="shared" si="17"/>
        <v/>
      </c>
      <c r="AH36" s="24">
        <f t="shared" si="31"/>
        <v>11.324983388185501</v>
      </c>
      <c r="AI36" s="41" t="str">
        <f t="shared" si="18"/>
        <v/>
      </c>
    </row>
    <row r="37" spans="1:35" ht="15" customHeight="1" x14ac:dyDescent="0.2">
      <c r="A37" s="581"/>
      <c r="B37" s="3" t="str">
        <f>Rydberg!B41</f>
        <v>Elementary electric charge</v>
      </c>
      <c r="C37" s="3" t="str">
        <f>Rydberg!C41</f>
        <v>C</v>
      </c>
      <c r="D37" s="21">
        <f>Rydberg!D41</f>
        <v>1.6021766339999999E-19</v>
      </c>
      <c r="E37" s="8">
        <v>9</v>
      </c>
      <c r="F37" s="21">
        <f>D37/F$12</f>
        <v>1.8616353788626301E-18</v>
      </c>
      <c r="G37" s="37" t="str">
        <f t="shared" si="19"/>
        <v>4;169091332</v>
      </c>
      <c r="H37" s="38">
        <v>-17</v>
      </c>
      <c r="I37" s="61">
        <f t="shared" si="32"/>
        <v>4.1302449282455722</v>
      </c>
      <c r="J37" s="39"/>
      <c r="K37" s="40" t="str">
        <f t="shared" si="6"/>
        <v>4</v>
      </c>
      <c r="L37" s="24">
        <f t="shared" si="20"/>
        <v>1.5629391389468665</v>
      </c>
      <c r="M37" s="41" t="str">
        <f t="shared" si="7"/>
        <v>1</v>
      </c>
      <c r="N37" s="24">
        <f t="shared" si="21"/>
        <v>6.7552696673623984</v>
      </c>
      <c r="O37" s="41" t="str">
        <f t="shared" si="8"/>
        <v>6</v>
      </c>
      <c r="P37" s="24">
        <f t="shared" si="22"/>
        <v>9.0632360083487811</v>
      </c>
      <c r="Q37" s="41" t="str">
        <f t="shared" si="9"/>
        <v>9</v>
      </c>
      <c r="R37" s="24">
        <f t="shared" si="23"/>
        <v>0.75883210018537284</v>
      </c>
      <c r="S37" s="41" t="str">
        <f t="shared" si="10"/>
        <v>0</v>
      </c>
      <c r="T37" s="24">
        <f t="shared" si="24"/>
        <v>9.1059852022244741</v>
      </c>
      <c r="U37" s="41" t="str">
        <f t="shared" si="11"/>
        <v>9</v>
      </c>
      <c r="V37" s="24">
        <f t="shared" si="25"/>
        <v>1.2718224266936886</v>
      </c>
      <c r="W37" s="41" t="str">
        <f t="shared" si="12"/>
        <v>1</v>
      </c>
      <c r="X37" s="24">
        <f t="shared" si="26"/>
        <v>3.2618691203242633</v>
      </c>
      <c r="Y37" s="41" t="str">
        <f t="shared" si="13"/>
        <v>3</v>
      </c>
      <c r="Z37" s="24">
        <f t="shared" si="27"/>
        <v>3.1424294438911602</v>
      </c>
      <c r="AA37" s="41" t="str">
        <f t="shared" si="14"/>
        <v>3</v>
      </c>
      <c r="AB37" s="24">
        <f t="shared" si="28"/>
        <v>1.7091533266939223</v>
      </c>
      <c r="AC37" s="41" t="str">
        <f t="shared" si="15"/>
        <v>2</v>
      </c>
      <c r="AD37" s="24">
        <f t="shared" si="29"/>
        <v>8.5098399203270674</v>
      </c>
      <c r="AE37" s="41" t="str">
        <f t="shared" si="16"/>
        <v/>
      </c>
      <c r="AF37" s="24">
        <f t="shared" si="30"/>
        <v>6.1180790439248085</v>
      </c>
      <c r="AG37" s="41" t="str">
        <f t="shared" si="17"/>
        <v/>
      </c>
      <c r="AH37" s="24">
        <f t="shared" si="31"/>
        <v>1.416948527097702</v>
      </c>
      <c r="AI37" s="41" t="str">
        <f t="shared" si="18"/>
        <v/>
      </c>
    </row>
    <row r="38" spans="1:35" ht="15" customHeight="1" x14ac:dyDescent="0.2">
      <c r="A38" s="581"/>
      <c r="B38" s="3" t="str">
        <f>Rydberg!B42</f>
        <v>Electron mass</v>
      </c>
      <c r="C38" s="3" t="str">
        <f>Rydberg!C42</f>
        <v>kg</v>
      </c>
      <c r="D38" s="21">
        <f>Rydberg!D42</f>
        <v>9.1093837139983745E-31</v>
      </c>
      <c r="E38" s="8">
        <v>7</v>
      </c>
      <c r="F38" s="21">
        <f>D38/F$8</f>
        <v>3.5238910588052377E-32</v>
      </c>
      <c r="G38" s="37" t="str">
        <f t="shared" si="19"/>
        <v>8;446625E</v>
      </c>
      <c r="H38" s="38">
        <v>-30</v>
      </c>
      <c r="I38" s="61">
        <f t="shared" si="32"/>
        <v>8.3648826977115505</v>
      </c>
      <c r="J38" s="39"/>
      <c r="K38" s="40" t="str">
        <f t="shared" si="6"/>
        <v>8</v>
      </c>
      <c r="L38" s="24">
        <f t="shared" si="20"/>
        <v>4.3785923725386056</v>
      </c>
      <c r="M38" s="41" t="str">
        <f t="shared" si="7"/>
        <v>4</v>
      </c>
      <c r="N38" s="24">
        <f t="shared" si="21"/>
        <v>4.5431084704632667</v>
      </c>
      <c r="O38" s="41" t="str">
        <f t="shared" si="8"/>
        <v>4</v>
      </c>
      <c r="P38" s="24">
        <f t="shared" si="22"/>
        <v>6.5173016455592006</v>
      </c>
      <c r="Q38" s="41" t="str">
        <f t="shared" si="9"/>
        <v>6</v>
      </c>
      <c r="R38" s="24">
        <f t="shared" si="23"/>
        <v>6.2076197467104066</v>
      </c>
      <c r="S38" s="41" t="str">
        <f t="shared" si="10"/>
        <v>6</v>
      </c>
      <c r="T38" s="24">
        <f t="shared" si="24"/>
        <v>2.4914369605248794</v>
      </c>
      <c r="U38" s="41" t="str">
        <f t="shared" si="11"/>
        <v>2</v>
      </c>
      <c r="V38" s="24">
        <f t="shared" si="25"/>
        <v>5.8972435262985528</v>
      </c>
      <c r="W38" s="41" t="str">
        <f t="shared" si="12"/>
        <v>5</v>
      </c>
      <c r="X38" s="24">
        <f t="shared" si="26"/>
        <v>10.766922315582633</v>
      </c>
      <c r="Y38" s="41" t="str">
        <f t="shared" si="13"/>
        <v>E</v>
      </c>
      <c r="Z38" s="24">
        <f t="shared" si="27"/>
        <v>9.2030677869915962</v>
      </c>
      <c r="AA38" s="41" t="str">
        <f t="shared" si="14"/>
        <v/>
      </c>
      <c r="AB38" s="24">
        <f t="shared" si="28"/>
        <v>2.4368134438991547</v>
      </c>
      <c r="AC38" s="41" t="str">
        <f t="shared" si="15"/>
        <v/>
      </c>
      <c r="AD38" s="24">
        <f t="shared" si="29"/>
        <v>5.241761326789856</v>
      </c>
      <c r="AE38" s="41" t="str">
        <f t="shared" si="16"/>
        <v/>
      </c>
      <c r="AF38" s="24">
        <f t="shared" si="30"/>
        <v>2.9011359214782715</v>
      </c>
      <c r="AG38" s="41" t="str">
        <f t="shared" si="17"/>
        <v/>
      </c>
      <c r="AH38" s="24">
        <f t="shared" si="31"/>
        <v>10.813631057739258</v>
      </c>
      <c r="AI38" s="41" t="str">
        <f t="shared" si="18"/>
        <v/>
      </c>
    </row>
    <row r="39" spans="1:35" ht="15" customHeight="1" x14ac:dyDescent="0.2">
      <c r="A39" s="581"/>
      <c r="B39" s="3" t="str">
        <f>Rydberg!B44</f>
        <v>Newtonian constant of gravitation</v>
      </c>
      <c r="C39" s="3" t="str">
        <f>Rydberg!C44</f>
        <v>(m/s)^4/N</v>
      </c>
      <c r="D39" s="21">
        <f>Rydberg!D44</f>
        <v>6.6742999999999994E-11</v>
      </c>
      <c r="E39" s="8">
        <v>4</v>
      </c>
      <c r="F39" s="21">
        <f>D39/(POWER(F$3/F$4,4)/F$10)</f>
        <v>2.0116322834781607E-9</v>
      </c>
      <c r="G39" s="37" t="str">
        <f t="shared" si="19"/>
        <v>X;467E</v>
      </c>
      <c r="H39" s="38">
        <v>-9</v>
      </c>
      <c r="I39" s="61">
        <f t="shared" si="32"/>
        <v>10.379580731739509</v>
      </c>
      <c r="J39" s="39"/>
      <c r="K39" s="40" t="str">
        <f t="shared" si="6"/>
        <v>X</v>
      </c>
      <c r="L39" s="24">
        <f t="shared" si="20"/>
        <v>4.5549687808741055</v>
      </c>
      <c r="M39" s="41" t="str">
        <f t="shared" si="7"/>
        <v>4</v>
      </c>
      <c r="N39" s="24">
        <f t="shared" si="21"/>
        <v>6.6596253704892661</v>
      </c>
      <c r="O39" s="41" t="str">
        <f t="shared" si="8"/>
        <v>6</v>
      </c>
      <c r="P39" s="24">
        <f t="shared" si="22"/>
        <v>7.9155044458711927</v>
      </c>
      <c r="Q39" s="41" t="str">
        <f t="shared" si="9"/>
        <v>7</v>
      </c>
      <c r="R39" s="24">
        <f t="shared" si="23"/>
        <v>10.986053350454313</v>
      </c>
      <c r="S39" s="41" t="str">
        <f t="shared" si="10"/>
        <v>E</v>
      </c>
      <c r="T39" s="24">
        <f t="shared" si="24"/>
        <v>11.832640205451753</v>
      </c>
      <c r="U39" s="41" t="str">
        <f t="shared" si="11"/>
        <v/>
      </c>
      <c r="V39" s="24">
        <f t="shared" si="25"/>
        <v>9.9916824654210359</v>
      </c>
      <c r="W39" s="41" t="str">
        <f t="shared" si="12"/>
        <v/>
      </c>
      <c r="X39" s="24">
        <f t="shared" si="26"/>
        <v>11.900189585052431</v>
      </c>
      <c r="Y39" s="41" t="str">
        <f t="shared" si="13"/>
        <v/>
      </c>
      <c r="Z39" s="24">
        <f t="shared" si="27"/>
        <v>10.802275020629168</v>
      </c>
      <c r="AA39" s="41" t="str">
        <f t="shared" si="14"/>
        <v/>
      </c>
      <c r="AB39" s="24">
        <f t="shared" si="28"/>
        <v>9.6273002475500107</v>
      </c>
      <c r="AC39" s="41" t="str">
        <f t="shared" si="15"/>
        <v/>
      </c>
      <c r="AD39" s="24">
        <f t="shared" si="29"/>
        <v>7.5276029706001282</v>
      </c>
      <c r="AE39" s="41" t="str">
        <f t="shared" si="16"/>
        <v/>
      </c>
      <c r="AF39" s="24">
        <f t="shared" si="30"/>
        <v>6.3312356472015381</v>
      </c>
      <c r="AG39" s="41" t="str">
        <f t="shared" si="17"/>
        <v/>
      </c>
      <c r="AH39" s="24">
        <f t="shared" si="31"/>
        <v>3.974827766418457</v>
      </c>
      <c r="AI39" s="41" t="str">
        <f t="shared" si="18"/>
        <v/>
      </c>
    </row>
    <row r="40" spans="1:35" ht="15" customHeight="1" x14ac:dyDescent="0.2">
      <c r="A40" s="581"/>
      <c r="B40" s="3" t="str">
        <f>Rydberg!B45</f>
        <v>Planck force</v>
      </c>
      <c r="C40" s="3" t="str">
        <f>Rydberg!C45</f>
        <v>N</v>
      </c>
      <c r="D40" s="21">
        <f>Rydberg!D45</f>
        <v>1.2102555643382063E+44</v>
      </c>
      <c r="E40" s="8">
        <v>4</v>
      </c>
      <c r="F40" s="21">
        <f>D40/F$10</f>
        <v>4.7724278475007264E+41</v>
      </c>
      <c r="G40" s="37" t="str">
        <f t="shared" si="19"/>
        <v>4;8139</v>
      </c>
      <c r="H40" s="38">
        <v>38</v>
      </c>
      <c r="I40" s="61">
        <f t="shared" si="32"/>
        <v>4.6757579546167891</v>
      </c>
      <c r="J40" s="39"/>
      <c r="K40" s="40" t="str">
        <f t="shared" si="6"/>
        <v>4</v>
      </c>
      <c r="L40" s="24">
        <f t="shared" si="20"/>
        <v>8.1090954554014694</v>
      </c>
      <c r="M40" s="41" t="str">
        <f t="shared" si="7"/>
        <v>8</v>
      </c>
      <c r="N40" s="24">
        <f t="shared" si="21"/>
        <v>1.3091454648176324</v>
      </c>
      <c r="O40" s="41" t="str">
        <f t="shared" si="8"/>
        <v>1</v>
      </c>
      <c r="P40" s="24">
        <f t="shared" si="22"/>
        <v>3.7097455778115886</v>
      </c>
      <c r="Q40" s="41" t="str">
        <f t="shared" si="9"/>
        <v>3</v>
      </c>
      <c r="R40" s="24">
        <f t="shared" si="23"/>
        <v>8.5169469337390638</v>
      </c>
      <c r="S40" s="41" t="str">
        <f t="shared" si="10"/>
        <v>9</v>
      </c>
      <c r="T40" s="24">
        <f t="shared" si="24"/>
        <v>6.203363204868765</v>
      </c>
      <c r="U40" s="41" t="str">
        <f t="shared" si="11"/>
        <v/>
      </c>
      <c r="V40" s="24">
        <f t="shared" si="25"/>
        <v>2.4403584584251803</v>
      </c>
      <c r="W40" s="41" t="str">
        <f t="shared" si="12"/>
        <v/>
      </c>
      <c r="X40" s="24">
        <f t="shared" si="26"/>
        <v>5.2843015011021635</v>
      </c>
      <c r="Y40" s="41" t="str">
        <f t="shared" si="13"/>
        <v/>
      </c>
      <c r="Z40" s="24">
        <f t="shared" si="27"/>
        <v>3.4116180132259615</v>
      </c>
      <c r="AA40" s="41" t="str">
        <f t="shared" si="14"/>
        <v/>
      </c>
      <c r="AB40" s="24">
        <f t="shared" si="28"/>
        <v>4.9394161587115377</v>
      </c>
      <c r="AC40" s="41" t="str">
        <f t="shared" si="15"/>
        <v/>
      </c>
      <c r="AD40" s="24">
        <f t="shared" si="29"/>
        <v>11.272993904538453</v>
      </c>
      <c r="AE40" s="41" t="str">
        <f t="shared" si="16"/>
        <v/>
      </c>
      <c r="AF40" s="24">
        <f t="shared" si="30"/>
        <v>3.2759268544614315</v>
      </c>
      <c r="AG40" s="41" t="str">
        <f t="shared" si="17"/>
        <v/>
      </c>
      <c r="AH40" s="24">
        <f t="shared" si="31"/>
        <v>3.311122253537178</v>
      </c>
      <c r="AI40" s="41" t="str">
        <f t="shared" si="18"/>
        <v/>
      </c>
    </row>
    <row r="41" spans="1:35" ht="15" customHeight="1" x14ac:dyDescent="0.2">
      <c r="A41" s="581"/>
      <c r="B41" s="3" t="str">
        <f>Rydberg!B46</f>
        <v>Gravitic meter</v>
      </c>
      <c r="C41" s="3" t="str">
        <f>Rydberg!C46</f>
        <v>m</v>
      </c>
      <c r="D41" s="21">
        <f>Rydberg!D46</f>
        <v>9.5618936743262592E-35</v>
      </c>
      <c r="E41" s="8">
        <v>4</v>
      </c>
      <c r="F41" s="21">
        <f>D41/F$3</f>
        <v>3.2338337006517214E-34</v>
      </c>
      <c r="G41" s="37" t="str">
        <f t="shared" si="19"/>
        <v>;7929</v>
      </c>
      <c r="H41" s="38">
        <v>-33</v>
      </c>
      <c r="I41" s="61">
        <f t="shared" si="32"/>
        <v>132.64741842661564</v>
      </c>
      <c r="J41" s="39"/>
      <c r="K41" s="40" t="str">
        <f t="shared" si="6"/>
        <v/>
      </c>
      <c r="L41" s="24">
        <f t="shared" si="20"/>
        <v>7.7690211193877303</v>
      </c>
      <c r="M41" s="41" t="str">
        <f t="shared" si="7"/>
        <v>7</v>
      </c>
      <c r="N41" s="24">
        <f t="shared" si="21"/>
        <v>9.2282534326527639</v>
      </c>
      <c r="O41" s="41" t="str">
        <f t="shared" si="8"/>
        <v>9</v>
      </c>
      <c r="P41" s="24">
        <f t="shared" si="22"/>
        <v>2.7390411918331665</v>
      </c>
      <c r="Q41" s="41" t="str">
        <f t="shared" si="9"/>
        <v>2</v>
      </c>
      <c r="R41" s="24">
        <f t="shared" si="23"/>
        <v>8.8684943019979983</v>
      </c>
      <c r="S41" s="41" t="str">
        <f t="shared" si="10"/>
        <v>9</v>
      </c>
      <c r="T41" s="24">
        <f t="shared" si="24"/>
        <v>10.421931623975979</v>
      </c>
      <c r="U41" s="41" t="str">
        <f t="shared" si="11"/>
        <v/>
      </c>
      <c r="V41" s="24">
        <f t="shared" si="25"/>
        <v>5.06317948771175</v>
      </c>
      <c r="W41" s="41" t="str">
        <f t="shared" si="12"/>
        <v/>
      </c>
      <c r="X41" s="24">
        <f t="shared" si="26"/>
        <v>0.75815385254099965</v>
      </c>
      <c r="Y41" s="41" t="str">
        <f t="shared" si="13"/>
        <v/>
      </c>
      <c r="Z41" s="24">
        <f t="shared" si="27"/>
        <v>9.0978462304919958</v>
      </c>
      <c r="AA41" s="41" t="str">
        <f t="shared" si="14"/>
        <v/>
      </c>
      <c r="AB41" s="24">
        <f t="shared" si="28"/>
        <v>1.1741547659039497</v>
      </c>
      <c r="AC41" s="41" t="str">
        <f t="shared" si="15"/>
        <v/>
      </c>
      <c r="AD41" s="24">
        <f t="shared" si="29"/>
        <v>2.0898571908473969</v>
      </c>
      <c r="AE41" s="41" t="str">
        <f t="shared" si="16"/>
        <v/>
      </c>
      <c r="AF41" s="24">
        <f t="shared" si="30"/>
        <v>1.0782862901687622</v>
      </c>
      <c r="AG41" s="41" t="str">
        <f t="shared" si="17"/>
        <v/>
      </c>
      <c r="AH41" s="24">
        <f t="shared" si="31"/>
        <v>0.93943548202514648</v>
      </c>
      <c r="AI41" s="41" t="str">
        <f t="shared" si="18"/>
        <v/>
      </c>
    </row>
    <row r="42" spans="1:35" ht="15" customHeight="1" x14ac:dyDescent="0.2">
      <c r="A42" s="581"/>
      <c r="B42" s="3" t="str">
        <f>Rydberg!B47</f>
        <v>Planck length</v>
      </c>
      <c r="C42" s="3" t="str">
        <f>Rydberg!C47</f>
        <v>m</v>
      </c>
      <c r="D42" s="21">
        <f>Rydberg!D47</f>
        <v>1.6162550244237053E-35</v>
      </c>
      <c r="E42" s="8">
        <v>4</v>
      </c>
      <c r="F42" s="21">
        <f>D42/F$3</f>
        <v>5.4661766223805327E-35</v>
      </c>
      <c r="G42" s="37" t="str">
        <f t="shared" si="19"/>
        <v>1;X508</v>
      </c>
      <c r="H42" s="38">
        <v>-32</v>
      </c>
      <c r="I42" s="61">
        <f t="shared" si="32"/>
        <v>1.8684588343668007</v>
      </c>
      <c r="J42" s="39"/>
      <c r="K42" s="40" t="str">
        <f t="shared" si="6"/>
        <v>1</v>
      </c>
      <c r="L42" s="24">
        <f t="shared" si="20"/>
        <v>10.421506012401608</v>
      </c>
      <c r="M42" s="41" t="str">
        <f t="shared" si="7"/>
        <v>X</v>
      </c>
      <c r="N42" s="24">
        <f t="shared" si="21"/>
        <v>5.0580721488192921</v>
      </c>
      <c r="O42" s="41" t="str">
        <f t="shared" si="8"/>
        <v>5</v>
      </c>
      <c r="P42" s="24">
        <f t="shared" si="22"/>
        <v>0.69686578583150549</v>
      </c>
      <c r="Q42" s="41" t="str">
        <f t="shared" si="9"/>
        <v>0</v>
      </c>
      <c r="R42" s="24">
        <f t="shared" si="23"/>
        <v>8.3623894299780659</v>
      </c>
      <c r="S42" s="41" t="str">
        <f t="shared" si="10"/>
        <v>8</v>
      </c>
      <c r="T42" s="24">
        <f t="shared" si="24"/>
        <v>4.3486731597367907</v>
      </c>
      <c r="U42" s="41" t="str">
        <f t="shared" si="11"/>
        <v/>
      </c>
      <c r="V42" s="24">
        <f t="shared" si="25"/>
        <v>4.1840779168414883</v>
      </c>
      <c r="W42" s="41" t="str">
        <f t="shared" si="12"/>
        <v/>
      </c>
      <c r="X42" s="24">
        <f t="shared" si="26"/>
        <v>2.20893500209786</v>
      </c>
      <c r="Y42" s="41" t="str">
        <f t="shared" si="13"/>
        <v/>
      </c>
      <c r="Z42" s="24">
        <f t="shared" si="27"/>
        <v>2.5072200251743197</v>
      </c>
      <c r="AA42" s="41" t="str">
        <f t="shared" si="14"/>
        <v/>
      </c>
      <c r="AB42" s="24">
        <f t="shared" si="28"/>
        <v>6.0866403020918369</v>
      </c>
      <c r="AC42" s="41" t="str">
        <f t="shared" si="15"/>
        <v/>
      </c>
      <c r="AD42" s="24">
        <f t="shared" si="29"/>
        <v>1.0396836251020432</v>
      </c>
      <c r="AE42" s="41" t="str">
        <f t="shared" si="16"/>
        <v/>
      </c>
      <c r="AF42" s="24">
        <f t="shared" si="30"/>
        <v>0.47620350122451782</v>
      </c>
      <c r="AG42" s="41" t="str">
        <f t="shared" si="17"/>
        <v/>
      </c>
      <c r="AH42" s="24">
        <f t="shared" si="31"/>
        <v>5.7144420146942139</v>
      </c>
      <c r="AI42" s="41" t="str">
        <f t="shared" si="18"/>
        <v/>
      </c>
    </row>
    <row r="43" spans="1:35" ht="15" customHeight="1" x14ac:dyDescent="0.2">
      <c r="A43" s="581"/>
      <c r="B43" s="3" t="str">
        <f>Rydberg!B48</f>
        <v>Adjusted Planck length</v>
      </c>
      <c r="C43" s="3" t="str">
        <f>Rydberg!C48</f>
        <v>m</v>
      </c>
      <c r="D43" s="21">
        <f>Rydberg!D48</f>
        <v>1.8920265367777891E-34</v>
      </c>
      <c r="E43" s="8">
        <v>4</v>
      </c>
      <c r="F43" s="21">
        <f>D43/F$3</f>
        <v>6.3988362405530452E-34</v>
      </c>
      <c r="G43" s="37" t="str">
        <f t="shared" si="19"/>
        <v>1;9X58</v>
      </c>
      <c r="H43" s="38">
        <v>-31</v>
      </c>
      <c r="I43" s="61">
        <f t="shared" si="32"/>
        <v>1.8227185912690307</v>
      </c>
      <c r="J43" s="39"/>
      <c r="K43" s="40" t="str">
        <f t="shared" si="6"/>
        <v>1</v>
      </c>
      <c r="L43" s="24">
        <f t="shared" si="20"/>
        <v>9.8726230952283682</v>
      </c>
      <c r="M43" s="41" t="str">
        <f t="shared" si="7"/>
        <v>9</v>
      </c>
      <c r="N43" s="24">
        <f t="shared" si="21"/>
        <v>10.471477142740419</v>
      </c>
      <c r="O43" s="41" t="str">
        <f t="shared" si="8"/>
        <v>X</v>
      </c>
      <c r="P43" s="24">
        <f t="shared" si="22"/>
        <v>5.6577257128850249</v>
      </c>
      <c r="Q43" s="41" t="str">
        <f t="shared" si="9"/>
        <v>5</v>
      </c>
      <c r="R43" s="24">
        <f t="shared" si="23"/>
        <v>7.8927085546202989</v>
      </c>
      <c r="S43" s="41" t="str">
        <f t="shared" si="10"/>
        <v>8</v>
      </c>
      <c r="T43" s="24">
        <f t="shared" si="24"/>
        <v>10.712502655443586</v>
      </c>
      <c r="U43" s="41" t="str">
        <f t="shared" si="11"/>
        <v/>
      </c>
      <c r="V43" s="24">
        <f t="shared" si="25"/>
        <v>8.5500318653230352</v>
      </c>
      <c r="W43" s="41" t="str">
        <f t="shared" si="12"/>
        <v/>
      </c>
      <c r="X43" s="24">
        <f t="shared" si="26"/>
        <v>6.600382383876422</v>
      </c>
      <c r="Y43" s="41" t="str">
        <f t="shared" si="13"/>
        <v/>
      </c>
      <c r="Z43" s="24">
        <f t="shared" si="27"/>
        <v>7.2045886065170635</v>
      </c>
      <c r="AA43" s="41" t="str">
        <f t="shared" si="14"/>
        <v/>
      </c>
      <c r="AB43" s="24">
        <f t="shared" si="28"/>
        <v>2.4550632782047614</v>
      </c>
      <c r="AC43" s="41" t="str">
        <f t="shared" si="15"/>
        <v/>
      </c>
      <c r="AD43" s="24">
        <f t="shared" si="29"/>
        <v>5.4607593384571373</v>
      </c>
      <c r="AE43" s="41" t="str">
        <f t="shared" si="16"/>
        <v/>
      </c>
      <c r="AF43" s="24">
        <f t="shared" si="30"/>
        <v>5.5291120614856482</v>
      </c>
      <c r="AG43" s="41" t="str">
        <f t="shared" si="17"/>
        <v/>
      </c>
      <c r="AH43" s="24">
        <f t="shared" si="31"/>
        <v>6.3493447378277779</v>
      </c>
      <c r="AI43" s="41" t="str">
        <f t="shared" si="18"/>
        <v/>
      </c>
    </row>
    <row r="44" spans="1:35" ht="15" customHeight="1" x14ac:dyDescent="0.2">
      <c r="A44" s="581"/>
      <c r="B44" s="3" t="str">
        <f>Rydberg!B49</f>
        <v>Stefan-Boltzmann constant</v>
      </c>
      <c r="C44" s="64" t="str">
        <f>Rydberg!C49</f>
        <v>W/m^2/K^4</v>
      </c>
      <c r="D44" s="21">
        <f>Rydberg!D49</f>
        <v>5.6703744191844301E-8</v>
      </c>
      <c r="E44" s="8">
        <v>6</v>
      </c>
      <c r="F44" s="21">
        <f>D44/(F$9*POWER(F$3,-2)*POWER(F$6,-4))</f>
        <v>2.6694869092673111E-24</v>
      </c>
      <c r="G44" s="37" t="str">
        <f t="shared" si="19"/>
        <v>1;58270E</v>
      </c>
      <c r="H44" s="38">
        <v>-22</v>
      </c>
      <c r="I44" s="61">
        <f t="shared" si="32"/>
        <v>1.4737207842880242</v>
      </c>
      <c r="J44" s="39"/>
      <c r="K44" s="40" t="str">
        <f t="shared" si="6"/>
        <v>1</v>
      </c>
      <c r="L44" s="24">
        <f t="shared" si="20"/>
        <v>5.6846494114562907</v>
      </c>
      <c r="M44" s="41" t="str">
        <f t="shared" si="7"/>
        <v>5</v>
      </c>
      <c r="N44" s="24">
        <f t="shared" si="21"/>
        <v>8.2157929374754879</v>
      </c>
      <c r="O44" s="41" t="str">
        <f t="shared" si="8"/>
        <v>8</v>
      </c>
      <c r="P44" s="24">
        <f t="shared" si="22"/>
        <v>2.5895152497058547</v>
      </c>
      <c r="Q44" s="41" t="str">
        <f t="shared" si="9"/>
        <v>2</v>
      </c>
      <c r="R44" s="24">
        <f t="shared" si="23"/>
        <v>7.0741829964702561</v>
      </c>
      <c r="S44" s="41" t="str">
        <f t="shared" si="10"/>
        <v>7</v>
      </c>
      <c r="T44" s="24">
        <f t="shared" si="24"/>
        <v>0.89019595764307269</v>
      </c>
      <c r="U44" s="41" t="str">
        <f t="shared" si="11"/>
        <v>0</v>
      </c>
      <c r="V44" s="24">
        <f t="shared" si="25"/>
        <v>10.682351491716872</v>
      </c>
      <c r="W44" s="41" t="str">
        <f t="shared" si="12"/>
        <v>E</v>
      </c>
      <c r="X44" s="24">
        <f t="shared" si="26"/>
        <v>8.1882179006024671</v>
      </c>
      <c r="Y44" s="41" t="str">
        <f t="shared" si="13"/>
        <v/>
      </c>
      <c r="Z44" s="24">
        <f t="shared" si="27"/>
        <v>2.2586148072296055</v>
      </c>
      <c r="AA44" s="41" t="str">
        <f t="shared" si="14"/>
        <v/>
      </c>
      <c r="AB44" s="24">
        <f t="shared" si="28"/>
        <v>3.103377686755266</v>
      </c>
      <c r="AC44" s="41" t="str">
        <f t="shared" si="15"/>
        <v/>
      </c>
      <c r="AD44" s="24">
        <f t="shared" si="29"/>
        <v>1.2405322410631925</v>
      </c>
      <c r="AE44" s="41" t="str">
        <f t="shared" si="16"/>
        <v/>
      </c>
      <c r="AF44" s="24">
        <f t="shared" si="30"/>
        <v>2.8863868927583098</v>
      </c>
      <c r="AG44" s="41" t="str">
        <f t="shared" si="17"/>
        <v/>
      </c>
      <c r="AH44" s="24">
        <f t="shared" si="31"/>
        <v>10.636642713099718</v>
      </c>
      <c r="AI44" s="41" t="str">
        <f t="shared" si="18"/>
        <v/>
      </c>
    </row>
    <row r="45" spans="1:35" ht="15" customHeight="1" x14ac:dyDescent="0.2">
      <c r="A45" s="581"/>
      <c r="B45" s="3" t="str">
        <f>Rydberg!B50</f>
        <v>Black-body radiation at the ice point</v>
      </c>
      <c r="C45" s="3" t="str">
        <f>Rydberg!C50</f>
        <v>W/m^2</v>
      </c>
      <c r="D45" s="21">
        <f>Rydberg!D50</f>
        <v>315.65782231107141</v>
      </c>
      <c r="E45" s="8">
        <v>6</v>
      </c>
      <c r="F45" s="21">
        <f>D45/(F$9*POWER(F$3,-2))</f>
        <v>6.3897311177817606E-2</v>
      </c>
      <c r="G45" s="37" t="str">
        <f t="shared" si="19"/>
        <v>9;24E842</v>
      </c>
      <c r="H45" s="38">
        <v>-2</v>
      </c>
      <c r="I45" s="61">
        <f t="shared" si="32"/>
        <v>9.2012128096057353</v>
      </c>
      <c r="J45" s="39"/>
      <c r="K45" s="40" t="str">
        <f t="shared" si="6"/>
        <v>9</v>
      </c>
      <c r="L45" s="24">
        <f t="shared" si="20"/>
        <v>2.4145537152688235</v>
      </c>
      <c r="M45" s="41" t="str">
        <f t="shared" si="7"/>
        <v>2</v>
      </c>
      <c r="N45" s="24">
        <f t="shared" si="21"/>
        <v>4.9746445832258814</v>
      </c>
      <c r="O45" s="41" t="str">
        <f t="shared" si="8"/>
        <v>4</v>
      </c>
      <c r="P45" s="24">
        <f t="shared" si="22"/>
        <v>11.695734998710577</v>
      </c>
      <c r="Q45" s="41" t="str">
        <f t="shared" si="9"/>
        <v>E</v>
      </c>
      <c r="R45" s="24">
        <f t="shared" si="23"/>
        <v>8.3488199845269264</v>
      </c>
      <c r="S45" s="41" t="str">
        <f t="shared" si="10"/>
        <v>8</v>
      </c>
      <c r="T45" s="24">
        <f t="shared" si="24"/>
        <v>4.185839814323117</v>
      </c>
      <c r="U45" s="41" t="str">
        <f t="shared" si="11"/>
        <v>4</v>
      </c>
      <c r="V45" s="24">
        <f t="shared" si="25"/>
        <v>2.2300777718774043</v>
      </c>
      <c r="W45" s="41" t="str">
        <f t="shared" si="12"/>
        <v>2</v>
      </c>
      <c r="X45" s="24">
        <f t="shared" si="26"/>
        <v>2.7609332625288516</v>
      </c>
      <c r="Y45" s="41" t="str">
        <f t="shared" si="13"/>
        <v/>
      </c>
      <c r="Z45" s="24">
        <f t="shared" si="27"/>
        <v>9.1311991503462195</v>
      </c>
      <c r="AA45" s="41" t="str">
        <f t="shared" si="14"/>
        <v/>
      </c>
      <c r="AB45" s="24">
        <f t="shared" si="28"/>
        <v>1.5743898041546345</v>
      </c>
      <c r="AC45" s="41" t="str">
        <f t="shared" si="15"/>
        <v/>
      </c>
      <c r="AD45" s="24">
        <f t="shared" si="29"/>
        <v>6.8926776498556137</v>
      </c>
      <c r="AE45" s="41" t="str">
        <f t="shared" si="16"/>
        <v/>
      </c>
      <c r="AF45" s="24">
        <f t="shared" si="30"/>
        <v>10.712131798267365</v>
      </c>
      <c r="AG45" s="41" t="str">
        <f t="shared" si="17"/>
        <v/>
      </c>
      <c r="AH45" s="24">
        <f t="shared" si="31"/>
        <v>8.545581579208374</v>
      </c>
      <c r="AI45" s="41" t="str">
        <f t="shared" si="18"/>
        <v/>
      </c>
    </row>
    <row r="46" spans="1:35" ht="15" customHeight="1" x14ac:dyDescent="0.2">
      <c r="A46" s="581"/>
      <c r="B46" s="3" t="str">
        <f>Rydberg!B51</f>
        <v>Temperature of the triple point of water</v>
      </c>
      <c r="C46" s="3" t="str">
        <f>Rydberg!C51</f>
        <v>K</v>
      </c>
      <c r="D46" s="21">
        <f>Rydberg!D51</f>
        <v>273.16000000000003</v>
      </c>
      <c r="E46" s="8">
        <v>6</v>
      </c>
      <c r="F46" s="21">
        <f>D46/F$6</f>
        <v>393350.40000000002</v>
      </c>
      <c r="G46" s="37" t="str">
        <f t="shared" si="19"/>
        <v>1;6E7725</v>
      </c>
      <c r="H46" s="38">
        <v>5</v>
      </c>
      <c r="I46" s="61">
        <f t="shared" si="32"/>
        <v>1.5807870370370372</v>
      </c>
      <c r="J46" s="39"/>
      <c r="K46" s="40" t="str">
        <f t="shared" si="6"/>
        <v>1</v>
      </c>
      <c r="L46" s="24">
        <f t="shared" si="20"/>
        <v>6.9694444444444459</v>
      </c>
      <c r="M46" s="41" t="str">
        <f t="shared" si="7"/>
        <v>6</v>
      </c>
      <c r="N46" s="24">
        <f t="shared" si="21"/>
        <v>11.633333333333351</v>
      </c>
      <c r="O46" s="41" t="str">
        <f t="shared" si="8"/>
        <v>E</v>
      </c>
      <c r="P46" s="24">
        <f t="shared" si="22"/>
        <v>7.6000000000002075</v>
      </c>
      <c r="Q46" s="41" t="str">
        <f t="shared" si="9"/>
        <v>7</v>
      </c>
      <c r="R46" s="24">
        <f t="shared" si="23"/>
        <v>7.2000000000024897</v>
      </c>
      <c r="S46" s="41" t="str">
        <f t="shared" si="10"/>
        <v>7</v>
      </c>
      <c r="T46" s="24">
        <f t="shared" si="24"/>
        <v>2.4000000000298769</v>
      </c>
      <c r="U46" s="41" t="str">
        <f t="shared" si="11"/>
        <v>2</v>
      </c>
      <c r="V46" s="24">
        <f t="shared" si="25"/>
        <v>4.8000000003585228</v>
      </c>
      <c r="W46" s="41" t="str">
        <f t="shared" si="12"/>
        <v>5</v>
      </c>
      <c r="X46" s="24">
        <f t="shared" si="26"/>
        <v>9.6000000043022737</v>
      </c>
      <c r="Y46" s="41" t="str">
        <f t="shared" si="13"/>
        <v/>
      </c>
      <c r="Z46" s="24">
        <f t="shared" si="27"/>
        <v>7.2000000516272848</v>
      </c>
      <c r="AA46" s="41" t="str">
        <f t="shared" si="14"/>
        <v/>
      </c>
      <c r="AB46" s="24">
        <f t="shared" si="28"/>
        <v>2.4000006195274182</v>
      </c>
      <c r="AC46" s="41" t="str">
        <f t="shared" si="15"/>
        <v/>
      </c>
      <c r="AD46" s="24">
        <f t="shared" si="29"/>
        <v>4.800007434329018</v>
      </c>
      <c r="AE46" s="41" t="str">
        <f t="shared" si="16"/>
        <v/>
      </c>
      <c r="AF46" s="24">
        <f t="shared" si="30"/>
        <v>9.600089211948216</v>
      </c>
      <c r="AG46" s="41" t="str">
        <f t="shared" si="17"/>
        <v/>
      </c>
      <c r="AH46" s="24">
        <f t="shared" si="31"/>
        <v>7.2010705433785915</v>
      </c>
      <c r="AI46" s="41" t="str">
        <f t="shared" si="18"/>
        <v/>
      </c>
    </row>
    <row r="47" spans="1:35" ht="15" customHeight="1" x14ac:dyDescent="0.2">
      <c r="A47" s="581"/>
      <c r="B47" s="3" t="str">
        <f>Rydberg!B52</f>
        <v>Molar volume of an ideal gas</v>
      </c>
      <c r="C47" s="3" t="str">
        <f>Rydberg!C52</f>
        <v>m^3/mol</v>
      </c>
      <c r="D47" s="21">
        <f>Rydberg!D52</f>
        <v>2.2413969539999998E-2</v>
      </c>
      <c r="E47" s="8">
        <v>6</v>
      </c>
      <c r="F47" s="21">
        <f>D47/(POWER(F$3,3)/F$7)</f>
        <v>22413.341966424941</v>
      </c>
      <c r="G47" s="37" t="str">
        <f t="shared" si="19"/>
        <v>1;0E7941</v>
      </c>
      <c r="H47" s="38">
        <v>4</v>
      </c>
      <c r="I47" s="61">
        <f t="shared" si="32"/>
        <v>1.0808903340289806</v>
      </c>
      <c r="J47" s="39"/>
      <c r="K47" s="40" t="str">
        <f t="shared" si="6"/>
        <v>1</v>
      </c>
      <c r="L47" s="24">
        <f t="shared" si="20"/>
        <v>0.97068400834776725</v>
      </c>
      <c r="M47" s="41" t="str">
        <f t="shared" si="7"/>
        <v>0</v>
      </c>
      <c r="N47" s="24">
        <f t="shared" si="21"/>
        <v>11.648208100173207</v>
      </c>
      <c r="O47" s="41" t="str">
        <f t="shared" si="8"/>
        <v>E</v>
      </c>
      <c r="P47" s="24">
        <f t="shared" si="22"/>
        <v>7.7784972020784835</v>
      </c>
      <c r="Q47" s="41" t="str">
        <f t="shared" si="9"/>
        <v>7</v>
      </c>
      <c r="R47" s="24">
        <f t="shared" si="23"/>
        <v>9.341966424941802</v>
      </c>
      <c r="S47" s="41" t="str">
        <f t="shared" si="10"/>
        <v>9</v>
      </c>
      <c r="T47" s="24">
        <f t="shared" si="24"/>
        <v>4.1035970993016235</v>
      </c>
      <c r="U47" s="41" t="str">
        <f t="shared" si="11"/>
        <v>4</v>
      </c>
      <c r="V47" s="24">
        <f t="shared" si="25"/>
        <v>1.2431651916194824</v>
      </c>
      <c r="W47" s="41" t="str">
        <f t="shared" si="12"/>
        <v>1</v>
      </c>
      <c r="X47" s="24">
        <f t="shared" si="26"/>
        <v>2.9179822994337883</v>
      </c>
      <c r="Y47" s="41" t="str">
        <f t="shared" si="13"/>
        <v/>
      </c>
      <c r="Z47" s="24">
        <f t="shared" si="27"/>
        <v>11.015787593205459</v>
      </c>
      <c r="AA47" s="41" t="str">
        <f t="shared" si="14"/>
        <v/>
      </c>
      <c r="AB47" s="24">
        <f t="shared" si="28"/>
        <v>0.18945111846551299</v>
      </c>
      <c r="AC47" s="41" t="str">
        <f t="shared" si="15"/>
        <v/>
      </c>
      <c r="AD47" s="24">
        <f t="shared" si="29"/>
        <v>2.2734134215861559</v>
      </c>
      <c r="AE47" s="41" t="str">
        <f t="shared" si="16"/>
        <v/>
      </c>
      <c r="AF47" s="24">
        <f t="shared" si="30"/>
        <v>3.2809610590338707</v>
      </c>
      <c r="AG47" s="41" t="str">
        <f t="shared" si="17"/>
        <v/>
      </c>
      <c r="AH47" s="24">
        <f t="shared" si="31"/>
        <v>3.3715327084064484</v>
      </c>
      <c r="AI47" s="41" t="str">
        <f t="shared" si="18"/>
        <v/>
      </c>
    </row>
    <row r="48" spans="1:35" ht="15" customHeight="1" x14ac:dyDescent="0.2">
      <c r="A48" s="581"/>
      <c r="B48" s="67" t="str">
        <f>Rydberg!B53</f>
        <v>-log(Sqrt([H+][OH-])/(mol/m^3))</v>
      </c>
      <c r="C48" s="3" t="str">
        <f>Rydberg!C53</f>
        <v>log(12)</v>
      </c>
      <c r="D48" s="21">
        <f>Rydberg!D53</f>
        <v>1.0039920318408906E-4</v>
      </c>
      <c r="E48" s="8">
        <v>4</v>
      </c>
      <c r="F48" s="21">
        <f>-LOG(D$48/(F$7*POWER(F$3,-3)))/LOG(12)</f>
        <v>9.2646694987403126</v>
      </c>
      <c r="G48" s="37" t="str">
        <f t="shared" si="19"/>
        <v>9;3214</v>
      </c>
      <c r="H48" s="38">
        <v>0</v>
      </c>
      <c r="I48" s="61">
        <f t="shared" si="32"/>
        <v>9.2646694987403126</v>
      </c>
      <c r="J48" s="39"/>
      <c r="K48" s="40" t="str">
        <f t="shared" si="6"/>
        <v>9</v>
      </c>
      <c r="L48" s="24">
        <f t="shared" si="20"/>
        <v>3.1760339848837518</v>
      </c>
      <c r="M48" s="41" t="str">
        <f t="shared" si="7"/>
        <v>3</v>
      </c>
      <c r="N48" s="24">
        <f t="shared" si="21"/>
        <v>2.1124078186050212</v>
      </c>
      <c r="O48" s="41" t="str">
        <f t="shared" si="8"/>
        <v>2</v>
      </c>
      <c r="P48" s="24">
        <f t="shared" si="22"/>
        <v>1.348893823260255</v>
      </c>
      <c r="Q48" s="41" t="str">
        <f t="shared" si="9"/>
        <v>1</v>
      </c>
      <c r="R48" s="24">
        <f t="shared" si="23"/>
        <v>4.1867258791230597</v>
      </c>
      <c r="S48" s="41" t="str">
        <f t="shared" si="10"/>
        <v>4</v>
      </c>
      <c r="T48" s="24">
        <f t="shared" si="24"/>
        <v>2.2407105494767166</v>
      </c>
      <c r="U48" s="41" t="str">
        <f t="shared" si="11"/>
        <v/>
      </c>
      <c r="V48" s="24">
        <f t="shared" si="25"/>
        <v>2.8885265937205986</v>
      </c>
      <c r="W48" s="41" t="str">
        <f t="shared" si="12"/>
        <v/>
      </c>
      <c r="X48" s="24">
        <f t="shared" si="26"/>
        <v>10.662319124647183</v>
      </c>
      <c r="Y48" s="41" t="str">
        <f t="shared" si="13"/>
        <v/>
      </c>
      <c r="Z48" s="24">
        <f t="shared" si="27"/>
        <v>7.9478294957662001</v>
      </c>
      <c r="AA48" s="41" t="str">
        <f t="shared" si="14"/>
        <v/>
      </c>
      <c r="AB48" s="24">
        <f t="shared" si="28"/>
        <v>11.373953949194402</v>
      </c>
      <c r="AC48" s="41" t="str">
        <f t="shared" si="15"/>
        <v/>
      </c>
      <c r="AD48" s="24">
        <f t="shared" si="29"/>
        <v>4.487447390332818</v>
      </c>
      <c r="AE48" s="41" t="str">
        <f t="shared" si="16"/>
        <v/>
      </c>
      <c r="AF48" s="24">
        <f t="shared" si="30"/>
        <v>5.8493686839938164</v>
      </c>
      <c r="AG48" s="41" t="str">
        <f t="shared" si="17"/>
        <v/>
      </c>
      <c r="AH48" s="24">
        <f t="shared" si="31"/>
        <v>10.192424207925797</v>
      </c>
      <c r="AI48" s="41" t="str">
        <f t="shared" si="18"/>
        <v/>
      </c>
    </row>
    <row r="49" spans="1:35" ht="15" customHeight="1" x14ac:dyDescent="0.2">
      <c r="A49" s="581"/>
      <c r="B49" s="3" t="str">
        <f>Rydberg!B54</f>
        <v>Maximum density of water</v>
      </c>
      <c r="C49" s="3" t="str">
        <f>Rydberg!C54</f>
        <v>kg/m^3</v>
      </c>
      <c r="D49" s="21">
        <f>Rydberg!D54</f>
        <v>999.97199999999998</v>
      </c>
      <c r="E49" s="8">
        <v>6</v>
      </c>
      <c r="F49" s="21">
        <f>D49/(F$8*POWER(F$3,-3))</f>
        <v>0.99999999921600002</v>
      </c>
      <c r="G49" s="37" t="str">
        <f t="shared" si="19"/>
        <v>0;EEEEE</v>
      </c>
      <c r="H49" s="38">
        <v>0</v>
      </c>
      <c r="I49" s="61">
        <f t="shared" si="32"/>
        <v>0.99999999921600002</v>
      </c>
      <c r="J49" s="39"/>
      <c r="K49" s="40" t="str">
        <f t="shared" si="6"/>
        <v>0</v>
      </c>
      <c r="L49" s="24">
        <f t="shared" si="20"/>
        <v>11.999999990592</v>
      </c>
      <c r="M49" s="41" t="str">
        <f t="shared" si="7"/>
        <v>E</v>
      </c>
      <c r="N49" s="24">
        <f t="shared" si="21"/>
        <v>11.999999887104003</v>
      </c>
      <c r="O49" s="41" t="str">
        <f t="shared" si="8"/>
        <v>E</v>
      </c>
      <c r="P49" s="24">
        <f t="shared" si="22"/>
        <v>11.999998645248041</v>
      </c>
      <c r="Q49" s="41" t="str">
        <f t="shared" si="9"/>
        <v>E</v>
      </c>
      <c r="R49" s="24">
        <f t="shared" si="23"/>
        <v>11.999983742976497</v>
      </c>
      <c r="S49" s="41" t="str">
        <f t="shared" si="10"/>
        <v>E</v>
      </c>
      <c r="T49" s="24">
        <f t="shared" si="24"/>
        <v>11.999804915717959</v>
      </c>
      <c r="U49" s="41" t="str">
        <f t="shared" si="11"/>
        <v>E</v>
      </c>
      <c r="V49" s="24">
        <f t="shared" si="25"/>
        <v>11.997658988615512</v>
      </c>
      <c r="W49" s="41" t="str">
        <f t="shared" si="12"/>
        <v/>
      </c>
      <c r="X49" s="24">
        <f t="shared" si="26"/>
        <v>11.97190786338615</v>
      </c>
      <c r="Y49" s="41" t="str">
        <f t="shared" si="13"/>
        <v/>
      </c>
      <c r="Z49" s="24">
        <f t="shared" si="27"/>
        <v>11.6628943606338</v>
      </c>
      <c r="AA49" s="41" t="str">
        <f t="shared" si="14"/>
        <v/>
      </c>
      <c r="AB49" s="24">
        <f t="shared" si="28"/>
        <v>7.9547323276055977</v>
      </c>
      <c r="AC49" s="41" t="str">
        <f t="shared" si="15"/>
        <v/>
      </c>
      <c r="AD49" s="24">
        <f t="shared" si="29"/>
        <v>11.456787931267172</v>
      </c>
      <c r="AE49" s="41" t="str">
        <f t="shared" si="16"/>
        <v/>
      </c>
      <c r="AF49" s="24">
        <f t="shared" si="30"/>
        <v>5.4814551752060652</v>
      </c>
      <c r="AG49" s="41" t="str">
        <f t="shared" si="17"/>
        <v/>
      </c>
      <c r="AH49" s="24">
        <f t="shared" si="31"/>
        <v>5.7774621024727821</v>
      </c>
      <c r="AI49" s="41" t="str">
        <f t="shared" si="18"/>
        <v/>
      </c>
    </row>
    <row r="50" spans="1:35" ht="15" customHeight="1" x14ac:dyDescent="0.2">
      <c r="A50" s="581"/>
      <c r="B50" s="3" t="str">
        <f>Rydberg!B55</f>
        <v>Density of ice at the ice point</v>
      </c>
      <c r="C50" s="3" t="str">
        <f>Rydberg!C55</f>
        <v>kg/m^3</v>
      </c>
      <c r="D50" s="21">
        <f>Rydberg!D55</f>
        <v>916.8</v>
      </c>
      <c r="E50" s="8">
        <v>4</v>
      </c>
      <c r="F50" s="21">
        <f>D50/(F$8*POWER(F$3,-3))</f>
        <v>0.91682567039999996</v>
      </c>
      <c r="G50" s="37" t="str">
        <f t="shared" si="19"/>
        <v>0;E003</v>
      </c>
      <c r="H50" s="38">
        <v>0</v>
      </c>
      <c r="I50" s="61">
        <f t="shared" si="32"/>
        <v>0.91682567039999996</v>
      </c>
      <c r="J50" s="39"/>
      <c r="K50" s="40" t="str">
        <f t="shared" si="6"/>
        <v>0</v>
      </c>
      <c r="L50" s="24">
        <f t="shared" si="20"/>
        <v>11.0019080448</v>
      </c>
      <c r="M50" s="41" t="str">
        <f t="shared" si="7"/>
        <v>E</v>
      </c>
      <c r="N50" s="24">
        <f t="shared" si="21"/>
        <v>2.2896537600004763E-2</v>
      </c>
      <c r="O50" s="41" t="str">
        <f t="shared" si="8"/>
        <v>0</v>
      </c>
      <c r="P50" s="24">
        <f t="shared" si="22"/>
        <v>0.27475845120005715</v>
      </c>
      <c r="Q50" s="41" t="str">
        <f t="shared" si="9"/>
        <v>0</v>
      </c>
      <c r="R50" s="24">
        <f t="shared" si="23"/>
        <v>3.2971014144006858</v>
      </c>
      <c r="S50" s="41" t="str">
        <f t="shared" si="10"/>
        <v>3</v>
      </c>
      <c r="T50" s="24">
        <f t="shared" si="24"/>
        <v>3.5652169728082299</v>
      </c>
      <c r="U50" s="41" t="str">
        <f t="shared" si="11"/>
        <v/>
      </c>
      <c r="V50" s="24">
        <f t="shared" si="25"/>
        <v>6.7826036736987589</v>
      </c>
      <c r="W50" s="41" t="str">
        <f t="shared" si="12"/>
        <v/>
      </c>
      <c r="X50" s="24">
        <f t="shared" si="26"/>
        <v>9.3912440843851073</v>
      </c>
      <c r="Y50" s="41" t="str">
        <f t="shared" si="13"/>
        <v/>
      </c>
      <c r="Z50" s="24">
        <f t="shared" si="27"/>
        <v>4.6949290126212873</v>
      </c>
      <c r="AA50" s="41" t="str">
        <f t="shared" si="14"/>
        <v/>
      </c>
      <c r="AB50" s="24">
        <f t="shared" si="28"/>
        <v>8.3391481514554471</v>
      </c>
      <c r="AC50" s="41" t="str">
        <f t="shared" si="15"/>
        <v/>
      </c>
      <c r="AD50" s="24">
        <f t="shared" si="29"/>
        <v>4.0697778174653649</v>
      </c>
      <c r="AE50" s="41" t="str">
        <f t="shared" si="16"/>
        <v/>
      </c>
      <c r="AF50" s="24">
        <f t="shared" si="30"/>
        <v>0.8373338095843792</v>
      </c>
      <c r="AG50" s="41" t="str">
        <f t="shared" si="17"/>
        <v/>
      </c>
      <c r="AH50" s="24">
        <f t="shared" si="31"/>
        <v>10.04800571501255</v>
      </c>
      <c r="AI50" s="41" t="str">
        <f t="shared" si="18"/>
        <v/>
      </c>
    </row>
    <row r="51" spans="1:35" ht="15" customHeight="1" x14ac:dyDescent="0.2">
      <c r="A51" s="581"/>
      <c r="B51" s="3" t="str">
        <f>Rydberg!B56</f>
        <v>Specific heat of water</v>
      </c>
      <c r="C51" s="3" t="str">
        <f>Rydberg!C56</f>
        <v>J/kg/K</v>
      </c>
      <c r="D51" s="21">
        <f>Rydberg!D56</f>
        <v>4184</v>
      </c>
      <c r="E51" s="8">
        <v>4</v>
      </c>
      <c r="F51" s="21">
        <f>D51/(F$5/F$8/F$6)</f>
        <v>1.0016863642852361</v>
      </c>
      <c r="G51" s="37" t="str">
        <f t="shared" si="19"/>
        <v>1;002E</v>
      </c>
      <c r="H51" s="38">
        <v>0</v>
      </c>
      <c r="I51" s="61">
        <f t="shared" si="32"/>
        <v>1.0016863642852361</v>
      </c>
      <c r="J51" s="39"/>
      <c r="K51" s="40" t="str">
        <f t="shared" si="6"/>
        <v>1</v>
      </c>
      <c r="L51" s="24">
        <f t="shared" si="20"/>
        <v>2.0236371422832633E-2</v>
      </c>
      <c r="M51" s="41" t="str">
        <f t="shared" si="7"/>
        <v>0</v>
      </c>
      <c r="N51" s="24">
        <f t="shared" si="21"/>
        <v>0.2428364570739916</v>
      </c>
      <c r="O51" s="41" t="str">
        <f t="shared" si="8"/>
        <v>0</v>
      </c>
      <c r="P51" s="24">
        <f t="shared" si="22"/>
        <v>2.9140374848878992</v>
      </c>
      <c r="Q51" s="41" t="str">
        <f t="shared" si="9"/>
        <v>2</v>
      </c>
      <c r="R51" s="24">
        <f t="shared" si="23"/>
        <v>10.96844981865479</v>
      </c>
      <c r="S51" s="41" t="str">
        <f t="shared" si="10"/>
        <v>E</v>
      </c>
      <c r="T51" s="24">
        <f t="shared" si="24"/>
        <v>11.621397823857478</v>
      </c>
      <c r="U51" s="41" t="str">
        <f t="shared" si="11"/>
        <v/>
      </c>
      <c r="V51" s="24">
        <f t="shared" si="25"/>
        <v>7.4567738862897386</v>
      </c>
      <c r="W51" s="41" t="str">
        <f t="shared" si="12"/>
        <v/>
      </c>
      <c r="X51" s="24">
        <f t="shared" si="26"/>
        <v>5.481286635476863</v>
      </c>
      <c r="Y51" s="41" t="str">
        <f t="shared" si="13"/>
        <v/>
      </c>
      <c r="Z51" s="24">
        <f t="shared" si="27"/>
        <v>5.7754396257223561</v>
      </c>
      <c r="AA51" s="41" t="str">
        <f t="shared" si="14"/>
        <v/>
      </c>
      <c r="AB51" s="24">
        <f t="shared" si="28"/>
        <v>9.3052755086682737</v>
      </c>
      <c r="AC51" s="41" t="str">
        <f t="shared" si="15"/>
        <v/>
      </c>
      <c r="AD51" s="24">
        <f t="shared" si="29"/>
        <v>3.6633061040192842</v>
      </c>
      <c r="AE51" s="41" t="str">
        <f t="shared" si="16"/>
        <v/>
      </c>
      <c r="AF51" s="24">
        <f t="shared" si="30"/>
        <v>7.959673248231411</v>
      </c>
      <c r="AG51" s="41" t="str">
        <f t="shared" si="17"/>
        <v/>
      </c>
      <c r="AH51" s="24">
        <f t="shared" si="31"/>
        <v>11.516078978776932</v>
      </c>
      <c r="AI51" s="41" t="str">
        <f t="shared" si="18"/>
        <v/>
      </c>
    </row>
    <row r="52" spans="1:35" ht="15" customHeight="1" x14ac:dyDescent="0.2">
      <c r="A52" s="581"/>
      <c r="B52" s="3" t="str">
        <f>Rydberg!B57</f>
        <v>Surface tension of water at 25℃</v>
      </c>
      <c r="C52" s="3" t="str">
        <f>Rydberg!C57</f>
        <v>N/m</v>
      </c>
      <c r="D52" s="21">
        <f>Rydberg!D57</f>
        <v>7.1970000000000006E-2</v>
      </c>
      <c r="E52" s="8">
        <v>4</v>
      </c>
      <c r="F52" s="21">
        <f>D$52/(F$10/F$3)</f>
        <v>8.3915080077405494E-5</v>
      </c>
      <c r="G52" s="37" t="str">
        <f t="shared" si="19"/>
        <v>1;8X6X</v>
      </c>
      <c r="H52" s="38">
        <v>-4</v>
      </c>
      <c r="I52" s="61">
        <f t="shared" si="32"/>
        <v>1.7400631004850804</v>
      </c>
      <c r="J52" s="39"/>
      <c r="K52" s="40" t="str">
        <f t="shared" si="6"/>
        <v>1</v>
      </c>
      <c r="L52" s="24">
        <f t="shared" si="20"/>
        <v>8.8807572058209647</v>
      </c>
      <c r="M52" s="41" t="str">
        <f t="shared" si="7"/>
        <v>8</v>
      </c>
      <c r="N52" s="24">
        <f t="shared" si="21"/>
        <v>10.569086469851577</v>
      </c>
      <c r="O52" s="41" t="str">
        <f t="shared" si="8"/>
        <v>X</v>
      </c>
      <c r="P52" s="24">
        <f t="shared" si="22"/>
        <v>6.8290376382189208</v>
      </c>
      <c r="Q52" s="41" t="str">
        <f t="shared" si="9"/>
        <v>6</v>
      </c>
      <c r="R52" s="24">
        <f t="shared" si="23"/>
        <v>9.9484516586270502</v>
      </c>
      <c r="S52" s="41" t="str">
        <f t="shared" si="10"/>
        <v>X</v>
      </c>
      <c r="T52" s="24">
        <f t="shared" si="24"/>
        <v>11.381419903524602</v>
      </c>
      <c r="U52" s="41" t="str">
        <f t="shared" si="11"/>
        <v/>
      </c>
      <c r="V52" s="24">
        <f t="shared" si="25"/>
        <v>4.5770388422952237</v>
      </c>
      <c r="W52" s="41" t="str">
        <f t="shared" si="12"/>
        <v/>
      </c>
      <c r="X52" s="24">
        <f t="shared" si="26"/>
        <v>6.9244661075426848</v>
      </c>
      <c r="Y52" s="41" t="str">
        <f t="shared" si="13"/>
        <v/>
      </c>
      <c r="Z52" s="24">
        <f t="shared" si="27"/>
        <v>11.093593290512217</v>
      </c>
      <c r="AA52" s="41" t="str">
        <f t="shared" si="14"/>
        <v/>
      </c>
      <c r="AB52" s="24">
        <f t="shared" si="28"/>
        <v>1.1231194861466065</v>
      </c>
      <c r="AC52" s="41" t="str">
        <f t="shared" si="15"/>
        <v/>
      </c>
      <c r="AD52" s="24">
        <f t="shared" si="29"/>
        <v>1.4774338337592781</v>
      </c>
      <c r="AE52" s="41" t="str">
        <f t="shared" si="16"/>
        <v/>
      </c>
      <c r="AF52" s="24">
        <f t="shared" si="30"/>
        <v>5.7292060051113367</v>
      </c>
      <c r="AG52" s="41" t="str">
        <f t="shared" si="17"/>
        <v/>
      </c>
      <c r="AH52" s="24">
        <f t="shared" si="31"/>
        <v>8.7504720613360405</v>
      </c>
      <c r="AI52" s="41" t="str">
        <f t="shared" si="18"/>
        <v/>
      </c>
    </row>
    <row r="53" spans="1:35" ht="15" customHeight="1" x14ac:dyDescent="0.2">
      <c r="A53" s="581"/>
      <c r="B53" s="3" t="str">
        <f>Rydberg!B62</f>
        <v>Standard atmosphere</v>
      </c>
      <c r="C53" s="3" t="str">
        <f>Rydberg!C62</f>
        <v>P</v>
      </c>
      <c r="D53" s="21">
        <f>Rydberg!D62</f>
        <v>101325</v>
      </c>
      <c r="E53" s="8">
        <v>6</v>
      </c>
      <c r="F53" s="21">
        <f>D53/F$11</f>
        <v>34.932635361769442</v>
      </c>
      <c r="G53" s="37" t="str">
        <f t="shared" si="19"/>
        <v>2;XE2372</v>
      </c>
      <c r="H53" s="38">
        <v>1</v>
      </c>
      <c r="I53" s="61">
        <f t="shared" si="32"/>
        <v>2.9110529468141202</v>
      </c>
      <c r="J53" s="39"/>
      <c r="K53" s="40" t="str">
        <f t="shared" si="6"/>
        <v>2</v>
      </c>
      <c r="L53" s="24">
        <f t="shared" si="20"/>
        <v>10.932635361769442</v>
      </c>
      <c r="M53" s="41" t="str">
        <f t="shared" si="7"/>
        <v>X</v>
      </c>
      <c r="N53" s="24">
        <f t="shared" si="21"/>
        <v>11.191624341233307</v>
      </c>
      <c r="O53" s="41" t="str">
        <f t="shared" si="8"/>
        <v>E</v>
      </c>
      <c r="P53" s="24">
        <f t="shared" si="22"/>
        <v>2.2994920947996889</v>
      </c>
      <c r="Q53" s="41" t="str">
        <f t="shared" si="9"/>
        <v>2</v>
      </c>
      <c r="R53" s="24">
        <f t="shared" si="23"/>
        <v>3.5939051375962663</v>
      </c>
      <c r="S53" s="41" t="str">
        <f t="shared" si="10"/>
        <v>3</v>
      </c>
      <c r="T53" s="24">
        <f t="shared" si="24"/>
        <v>7.1268616511551954</v>
      </c>
      <c r="U53" s="41" t="str">
        <f t="shared" si="11"/>
        <v>7</v>
      </c>
      <c r="V53" s="24">
        <f t="shared" si="25"/>
        <v>1.5223398138623452</v>
      </c>
      <c r="W53" s="41" t="str">
        <f t="shared" si="12"/>
        <v>2</v>
      </c>
      <c r="X53" s="24">
        <f t="shared" si="26"/>
        <v>6.2680777663481422</v>
      </c>
      <c r="Y53" s="41" t="str">
        <f t="shared" si="13"/>
        <v/>
      </c>
      <c r="Z53" s="24">
        <f t="shared" si="27"/>
        <v>3.2169331961777061</v>
      </c>
      <c r="AA53" s="41" t="str">
        <f t="shared" si="14"/>
        <v/>
      </c>
      <c r="AB53" s="24">
        <f t="shared" si="28"/>
        <v>2.6031983541324735</v>
      </c>
      <c r="AC53" s="41" t="str">
        <f t="shared" si="15"/>
        <v/>
      </c>
      <c r="AD53" s="24">
        <f t="shared" si="29"/>
        <v>7.2383802495896816</v>
      </c>
      <c r="AE53" s="41" t="str">
        <f t="shared" si="16"/>
        <v/>
      </c>
      <c r="AF53" s="24">
        <f t="shared" si="30"/>
        <v>2.8605629950761795</v>
      </c>
      <c r="AG53" s="41" t="str">
        <f t="shared" si="17"/>
        <v/>
      </c>
      <c r="AH53" s="24">
        <f t="shared" si="31"/>
        <v>10.326755940914154</v>
      </c>
      <c r="AI53" s="41" t="str">
        <f t="shared" si="18"/>
        <v/>
      </c>
    </row>
    <row r="54" spans="1:35" ht="15" customHeight="1" x14ac:dyDescent="0.2">
      <c r="A54" s="581"/>
      <c r="B54" s="3" t="str">
        <f>Rydberg!B63</f>
        <v>Standard gravitational acceleration</v>
      </c>
      <c r="C54" s="3" t="str">
        <f>Rydberg!C63</f>
        <v>m/s^2</v>
      </c>
      <c r="D54" s="21">
        <f>Rydberg!D63</f>
        <v>9.8066499999999994</v>
      </c>
      <c r="E54" s="8">
        <v>7</v>
      </c>
      <c r="F54" s="21">
        <f>D54/(F$3/F$4/F$4)</f>
        <v>0.99965347772193647</v>
      </c>
      <c r="G54" s="37" t="str">
        <f t="shared" si="19"/>
        <v>0;EEE4993</v>
      </c>
      <c r="H54" s="38">
        <v>0</v>
      </c>
      <c r="I54" s="61">
        <f t="shared" si="32"/>
        <v>0.99965347772193647</v>
      </c>
      <c r="J54" s="39"/>
      <c r="K54" s="40" t="str">
        <f t="shared" si="6"/>
        <v>0</v>
      </c>
      <c r="L54" s="24">
        <f t="shared" si="20"/>
        <v>11.995841732663237</v>
      </c>
      <c r="M54" s="41" t="str">
        <f t="shared" si="7"/>
        <v>E</v>
      </c>
      <c r="N54" s="24">
        <f t="shared" si="21"/>
        <v>11.950100791958846</v>
      </c>
      <c r="O54" s="41" t="str">
        <f t="shared" si="8"/>
        <v>E</v>
      </c>
      <c r="P54" s="24">
        <f t="shared" si="22"/>
        <v>11.401209503506152</v>
      </c>
      <c r="Q54" s="41" t="str">
        <f t="shared" si="9"/>
        <v>E</v>
      </c>
      <c r="R54" s="24">
        <f t="shared" si="23"/>
        <v>4.8145140420738244</v>
      </c>
      <c r="S54" s="41" t="str">
        <f t="shared" si="10"/>
        <v>4</v>
      </c>
      <c r="T54" s="24">
        <f t="shared" si="24"/>
        <v>9.7741685048858926</v>
      </c>
      <c r="U54" s="41" t="str">
        <f t="shared" si="11"/>
        <v>9</v>
      </c>
      <c r="V54" s="24">
        <f t="shared" si="25"/>
        <v>9.2900220586307114</v>
      </c>
      <c r="W54" s="41" t="str">
        <f t="shared" si="12"/>
        <v>9</v>
      </c>
      <c r="X54" s="24">
        <f t="shared" si="26"/>
        <v>3.4802647035685368</v>
      </c>
      <c r="Y54" s="41" t="str">
        <f t="shared" si="13"/>
        <v>3</v>
      </c>
      <c r="Z54" s="24">
        <f t="shared" si="27"/>
        <v>5.7631764428224415</v>
      </c>
      <c r="AA54" s="41" t="str">
        <f t="shared" si="14"/>
        <v/>
      </c>
      <c r="AB54" s="24">
        <f t="shared" si="28"/>
        <v>9.1581173138692975</v>
      </c>
      <c r="AC54" s="41" t="str">
        <f t="shared" si="15"/>
        <v/>
      </c>
      <c r="AD54" s="24">
        <f t="shared" si="29"/>
        <v>1.8974077664315701</v>
      </c>
      <c r="AE54" s="41" t="str">
        <f t="shared" si="16"/>
        <v/>
      </c>
      <c r="AF54" s="24">
        <f t="shared" si="30"/>
        <v>10.768893197178841</v>
      </c>
      <c r="AG54" s="41" t="str">
        <f t="shared" si="17"/>
        <v/>
      </c>
      <c r="AH54" s="24">
        <f t="shared" si="31"/>
        <v>9.2267183661460876</v>
      </c>
      <c r="AI54" s="41" t="str">
        <f t="shared" si="18"/>
        <v/>
      </c>
    </row>
    <row r="55" spans="1:35" ht="15" customHeight="1" x14ac:dyDescent="0.2">
      <c r="A55" s="581"/>
      <c r="B55" s="3" t="str">
        <f>Rydberg!B64</f>
        <v>Gravitational radius of the Earth</v>
      </c>
      <c r="C55" s="3" t="str">
        <f>Rydberg!C64</f>
        <v>m</v>
      </c>
      <c r="D55" s="21">
        <f>Rydberg!D64</f>
        <v>4.4350280391176706E-3</v>
      </c>
      <c r="E55" s="8">
        <v>7</v>
      </c>
      <c r="F55" s="21">
        <f>D55/F$3</f>
        <v>1.4999270672443036E-2</v>
      </c>
      <c r="G55" s="37" t="str">
        <f t="shared" si="19"/>
        <v>2;1E036EX</v>
      </c>
      <c r="H55" s="38">
        <v>-2</v>
      </c>
      <c r="I55" s="61">
        <f t="shared" si="32"/>
        <v>2.1598949768317972</v>
      </c>
      <c r="J55" s="39"/>
      <c r="K55" s="40" t="str">
        <f t="shared" si="6"/>
        <v>2</v>
      </c>
      <c r="L55" s="24">
        <f t="shared" si="20"/>
        <v>1.9187397219815665</v>
      </c>
      <c r="M55" s="41" t="str">
        <f t="shared" si="7"/>
        <v>1</v>
      </c>
      <c r="N55" s="24">
        <f t="shared" si="21"/>
        <v>11.024876663778798</v>
      </c>
      <c r="O55" s="41" t="str">
        <f t="shared" si="8"/>
        <v>E</v>
      </c>
      <c r="P55" s="24">
        <f t="shared" si="22"/>
        <v>0.29851996534557657</v>
      </c>
      <c r="Q55" s="41" t="str">
        <f t="shared" si="9"/>
        <v>0</v>
      </c>
      <c r="R55" s="24">
        <f t="shared" si="23"/>
        <v>3.5822395841469188</v>
      </c>
      <c r="S55" s="41" t="str">
        <f t="shared" si="10"/>
        <v>3</v>
      </c>
      <c r="T55" s="24">
        <f t="shared" si="24"/>
        <v>6.9868750097630254</v>
      </c>
      <c r="U55" s="41" t="str">
        <f t="shared" si="11"/>
        <v>6</v>
      </c>
      <c r="V55" s="24">
        <f t="shared" si="25"/>
        <v>11.842500117156305</v>
      </c>
      <c r="W55" s="41" t="str">
        <f t="shared" si="12"/>
        <v>E</v>
      </c>
      <c r="X55" s="24">
        <f t="shared" si="26"/>
        <v>10.110001405875664</v>
      </c>
      <c r="Y55" s="41" t="str">
        <f t="shared" si="13"/>
        <v>X</v>
      </c>
      <c r="Z55" s="24">
        <f t="shared" si="27"/>
        <v>1.3200168705079705</v>
      </c>
      <c r="AA55" s="41" t="str">
        <f t="shared" si="14"/>
        <v/>
      </c>
      <c r="AB55" s="24">
        <f t="shared" si="28"/>
        <v>3.8402024460956454</v>
      </c>
      <c r="AC55" s="41" t="str">
        <f t="shared" si="15"/>
        <v/>
      </c>
      <c r="AD55" s="24">
        <f t="shared" si="29"/>
        <v>10.082429353147745</v>
      </c>
      <c r="AE55" s="41" t="str">
        <f t="shared" si="16"/>
        <v/>
      </c>
      <c r="AF55" s="24">
        <f t="shared" si="30"/>
        <v>0.98915223777294159</v>
      </c>
      <c r="AG55" s="41" t="str">
        <f t="shared" si="17"/>
        <v/>
      </c>
      <c r="AH55" s="24">
        <f t="shared" si="31"/>
        <v>11.869826853275299</v>
      </c>
      <c r="AI55" s="41" t="str">
        <f t="shared" si="18"/>
        <v/>
      </c>
    </row>
    <row r="56" spans="1:35" ht="15" customHeight="1" x14ac:dyDescent="0.2">
      <c r="A56" s="581"/>
      <c r="B56" s="3" t="str">
        <f>Rydberg!B65</f>
        <v>Equatorial radius of the Earth</v>
      </c>
      <c r="C56" s="3" t="str">
        <f>Rydberg!C65</f>
        <v>m</v>
      </c>
      <c r="D56" s="21">
        <f>Rydberg!D65</f>
        <v>6378137</v>
      </c>
      <c r="E56" s="8">
        <v>10</v>
      </c>
      <c r="F56" s="21">
        <f>D56/F$3</f>
        <v>21570867.73863022</v>
      </c>
      <c r="G56" s="37" t="str">
        <f t="shared" si="19"/>
        <v>7;2831838X44</v>
      </c>
      <c r="H56" s="38">
        <v>6</v>
      </c>
      <c r="I56" s="61">
        <f t="shared" si="32"/>
        <v>7.2240399609074331</v>
      </c>
      <c r="J56" s="39"/>
      <c r="K56" s="40" t="str">
        <f t="shared" si="6"/>
        <v>7</v>
      </c>
      <c r="L56" s="24">
        <f t="shared" si="20"/>
        <v>2.6884795308891967</v>
      </c>
      <c r="M56" s="41" t="str">
        <f t="shared" si="7"/>
        <v>2</v>
      </c>
      <c r="N56" s="24">
        <f t="shared" si="21"/>
        <v>8.26175437067036</v>
      </c>
      <c r="O56" s="41" t="str">
        <f t="shared" si="8"/>
        <v>8</v>
      </c>
      <c r="P56" s="24">
        <f t="shared" si="22"/>
        <v>3.14105244804432</v>
      </c>
      <c r="Q56" s="41" t="str">
        <f t="shared" si="9"/>
        <v>3</v>
      </c>
      <c r="R56" s="24">
        <f t="shared" si="23"/>
        <v>1.6926293765318405</v>
      </c>
      <c r="S56" s="41" t="str">
        <f t="shared" si="10"/>
        <v>1</v>
      </c>
      <c r="T56" s="24">
        <f t="shared" si="24"/>
        <v>8.3115525183820864</v>
      </c>
      <c r="U56" s="41" t="str">
        <f t="shared" si="11"/>
        <v>8</v>
      </c>
      <c r="V56" s="24">
        <f t="shared" si="25"/>
        <v>3.738630220585037</v>
      </c>
      <c r="W56" s="41" t="str">
        <f t="shared" si="12"/>
        <v>3</v>
      </c>
      <c r="X56" s="24">
        <f t="shared" si="26"/>
        <v>8.8635626470204443</v>
      </c>
      <c r="Y56" s="41" t="str">
        <f t="shared" si="13"/>
        <v>8</v>
      </c>
      <c r="Z56" s="24">
        <f t="shared" si="27"/>
        <v>10.362751764245331</v>
      </c>
      <c r="AA56" s="41" t="str">
        <f t="shared" si="14"/>
        <v>X</v>
      </c>
      <c r="AB56" s="24">
        <f t="shared" si="28"/>
        <v>4.3530211709439754</v>
      </c>
      <c r="AC56" s="41" t="str">
        <f t="shared" si="15"/>
        <v>4</v>
      </c>
      <c r="AD56" s="24">
        <f t="shared" si="29"/>
        <v>4.2362540513277054</v>
      </c>
      <c r="AE56" s="41" t="str">
        <f t="shared" si="16"/>
        <v>4</v>
      </c>
      <c r="AF56" s="24">
        <f t="shared" si="30"/>
        <v>2.8350486159324646</v>
      </c>
      <c r="AG56" s="41" t="str">
        <f t="shared" si="17"/>
        <v/>
      </c>
      <c r="AH56" s="24">
        <f t="shared" si="31"/>
        <v>10.020583391189575</v>
      </c>
      <c r="AI56" s="41" t="str">
        <f t="shared" si="18"/>
        <v/>
      </c>
    </row>
    <row r="57" spans="1:35" ht="15" customHeight="1" x14ac:dyDescent="0.2">
      <c r="A57" s="581"/>
      <c r="B57" s="3" t="str">
        <f>Rydberg!B66</f>
        <v>Meridian length of the Earth / 4</v>
      </c>
      <c r="C57" s="3" t="str">
        <f>Rydberg!C66</f>
        <v>m</v>
      </c>
      <c r="D57" s="21">
        <f>Rydberg!D66</f>
        <v>10001965.75</v>
      </c>
      <c r="E57" s="8">
        <v>7</v>
      </c>
      <c r="F57" s="21">
        <f>D57/F$3</f>
        <v>33826661.346339755</v>
      </c>
      <c r="G57" s="37" t="str">
        <f t="shared" si="19"/>
        <v>0;E3E3745</v>
      </c>
      <c r="H57" s="38">
        <v>7</v>
      </c>
      <c r="I57" s="61">
        <f t="shared" si="32"/>
        <v>0.94404003689514504</v>
      </c>
      <c r="J57" s="39"/>
      <c r="K57" s="40" t="str">
        <f t="shared" si="6"/>
        <v>0</v>
      </c>
      <c r="L57" s="24">
        <f t="shared" si="20"/>
        <v>11.328480442741741</v>
      </c>
      <c r="M57" s="41" t="str">
        <f t="shared" si="7"/>
        <v>E</v>
      </c>
      <c r="N57" s="24">
        <f t="shared" si="21"/>
        <v>3.9417653129008912</v>
      </c>
      <c r="O57" s="41" t="str">
        <f t="shared" si="8"/>
        <v>3</v>
      </c>
      <c r="P57" s="24">
        <f t="shared" si="22"/>
        <v>11.301183754810694</v>
      </c>
      <c r="Q57" s="41" t="str">
        <f t="shared" si="9"/>
        <v>E</v>
      </c>
      <c r="R57" s="24">
        <f t="shared" si="23"/>
        <v>3.6142050577283271</v>
      </c>
      <c r="S57" s="41" t="str">
        <f t="shared" si="10"/>
        <v>3</v>
      </c>
      <c r="T57" s="24">
        <f t="shared" si="24"/>
        <v>7.3704606927399254</v>
      </c>
      <c r="U57" s="41" t="str">
        <f t="shared" si="11"/>
        <v>7</v>
      </c>
      <c r="V57" s="24">
        <f t="shared" si="25"/>
        <v>4.4455283128791052</v>
      </c>
      <c r="W57" s="41" t="str">
        <f t="shared" si="12"/>
        <v>4</v>
      </c>
      <c r="X57" s="24">
        <f t="shared" si="26"/>
        <v>5.3463397545492626</v>
      </c>
      <c r="Y57" s="41" t="str">
        <f t="shared" si="13"/>
        <v>5</v>
      </c>
      <c r="Z57" s="24">
        <f t="shared" si="27"/>
        <v>4.156077054591151</v>
      </c>
      <c r="AA57" s="41" t="str">
        <f t="shared" si="14"/>
        <v/>
      </c>
      <c r="AB57" s="24">
        <f t="shared" si="28"/>
        <v>1.8729246550938115</v>
      </c>
      <c r="AC57" s="41" t="str">
        <f t="shared" si="15"/>
        <v/>
      </c>
      <c r="AD57" s="24">
        <f t="shared" si="29"/>
        <v>10.475095861125737</v>
      </c>
      <c r="AE57" s="41" t="str">
        <f t="shared" si="16"/>
        <v/>
      </c>
      <c r="AF57" s="24">
        <f t="shared" si="30"/>
        <v>5.7011503335088491</v>
      </c>
      <c r="AG57" s="41" t="str">
        <f t="shared" si="17"/>
        <v/>
      </c>
      <c r="AH57" s="24">
        <f t="shared" si="31"/>
        <v>8.4138040021061897</v>
      </c>
      <c r="AI57" s="41" t="str">
        <f t="shared" si="18"/>
        <v/>
      </c>
    </row>
    <row r="58" spans="1:35" ht="15" customHeight="1" x14ac:dyDescent="0.2">
      <c r="A58" s="581"/>
      <c r="B58" s="3" t="str">
        <f>Rydberg!B67</f>
        <v>Gravitational radius of the Sun</v>
      </c>
      <c r="C58" s="3" t="str">
        <f>Rydberg!C67</f>
        <v>m</v>
      </c>
      <c r="D58" s="21">
        <f>Rydberg!D67</f>
        <v>1476.6250385063113</v>
      </c>
      <c r="E58" s="8">
        <v>8</v>
      </c>
      <c r="F58" s="21">
        <f>D58/F$3</f>
        <v>4993.9478260139913</v>
      </c>
      <c r="G58" s="37" t="str">
        <f t="shared" si="19"/>
        <v>2;X81E45X1</v>
      </c>
      <c r="H58" s="38">
        <v>3</v>
      </c>
      <c r="I58" s="61">
        <f t="shared" si="32"/>
        <v>2.8900161030173561</v>
      </c>
      <c r="J58" s="39"/>
      <c r="K58" s="40" t="str">
        <f t="shared" si="6"/>
        <v>2</v>
      </c>
      <c r="L58" s="24">
        <f t="shared" si="20"/>
        <v>10.680193236208273</v>
      </c>
      <c r="M58" s="41" t="str">
        <f t="shared" si="7"/>
        <v>X</v>
      </c>
      <c r="N58" s="24">
        <f t="shared" si="21"/>
        <v>8.1623188344992812</v>
      </c>
      <c r="O58" s="41" t="str">
        <f t="shared" si="8"/>
        <v>8</v>
      </c>
      <c r="P58" s="24">
        <f t="shared" si="22"/>
        <v>1.9478260139913743</v>
      </c>
      <c r="Q58" s="41" t="str">
        <f t="shared" si="9"/>
        <v>1</v>
      </c>
      <c r="R58" s="24">
        <f t="shared" si="23"/>
        <v>11.373912167896492</v>
      </c>
      <c r="S58" s="41" t="str">
        <f t="shared" si="10"/>
        <v>E</v>
      </c>
      <c r="T58" s="24">
        <f t="shared" si="24"/>
        <v>4.4869460147579048</v>
      </c>
      <c r="U58" s="41" t="str">
        <f t="shared" si="11"/>
        <v>4</v>
      </c>
      <c r="V58" s="24">
        <f t="shared" si="25"/>
        <v>5.8433521770948573</v>
      </c>
      <c r="W58" s="41" t="str">
        <f t="shared" si="12"/>
        <v>5</v>
      </c>
      <c r="X58" s="24">
        <f t="shared" si="26"/>
        <v>10.120226125138288</v>
      </c>
      <c r="Y58" s="41" t="str">
        <f t="shared" si="13"/>
        <v>X</v>
      </c>
      <c r="Z58" s="24">
        <f t="shared" si="27"/>
        <v>1.4427135016594548</v>
      </c>
      <c r="AA58" s="41" t="str">
        <f t="shared" si="14"/>
        <v>1</v>
      </c>
      <c r="AB58" s="24">
        <f t="shared" si="28"/>
        <v>5.3125620199134573</v>
      </c>
      <c r="AC58" s="41" t="str">
        <f t="shared" si="15"/>
        <v/>
      </c>
      <c r="AD58" s="24">
        <f t="shared" si="29"/>
        <v>3.750744238961488</v>
      </c>
      <c r="AE58" s="41" t="str">
        <f t="shared" si="16"/>
        <v/>
      </c>
      <c r="AF58" s="24">
        <f t="shared" si="30"/>
        <v>9.0089308675378561</v>
      </c>
      <c r="AG58" s="41" t="str">
        <f t="shared" si="17"/>
        <v/>
      </c>
      <c r="AH58" s="24">
        <f t="shared" si="31"/>
        <v>0.10717041045427322</v>
      </c>
      <c r="AI58" s="41" t="str">
        <f t="shared" si="18"/>
        <v/>
      </c>
    </row>
    <row r="59" spans="1:35" ht="15" customHeight="1" x14ac:dyDescent="0.2">
      <c r="A59" s="581"/>
      <c r="B59" s="5" t="str">
        <f>Rydberg!B68</f>
        <v>Astronomical unit</v>
      </c>
      <c r="C59" s="5" t="str">
        <f>Rydberg!C68</f>
        <v>m</v>
      </c>
      <c r="D59" s="21">
        <f>Rydberg!D68</f>
        <v>149597870000</v>
      </c>
      <c r="E59" s="30">
        <v>9</v>
      </c>
      <c r="F59" s="29">
        <f>D59/F$3</f>
        <v>505940193468.84485</v>
      </c>
      <c r="G59" s="37" t="str">
        <f t="shared" si="19"/>
        <v>8;207X41E99</v>
      </c>
      <c r="H59" s="43">
        <v>10</v>
      </c>
      <c r="I59" s="62">
        <f t="shared" si="32"/>
        <v>8.1712165853587102</v>
      </c>
      <c r="J59" s="39"/>
      <c r="K59" s="40" t="str">
        <f t="shared" si="6"/>
        <v>8</v>
      </c>
      <c r="L59" s="24">
        <f t="shared" si="20"/>
        <v>2.0545990243045225</v>
      </c>
      <c r="M59" s="41" t="str">
        <f t="shared" si="7"/>
        <v>2</v>
      </c>
      <c r="N59" s="24">
        <f t="shared" si="21"/>
        <v>0.65518829165426951</v>
      </c>
      <c r="O59" s="41" t="str">
        <f t="shared" si="8"/>
        <v>0</v>
      </c>
      <c r="P59" s="24">
        <f t="shared" si="22"/>
        <v>7.8622594998512341</v>
      </c>
      <c r="Q59" s="41" t="str">
        <f t="shared" si="9"/>
        <v>7</v>
      </c>
      <c r="R59" s="24">
        <f t="shared" si="23"/>
        <v>10.347113998214809</v>
      </c>
      <c r="S59" s="41" t="str">
        <f t="shared" si="10"/>
        <v>X</v>
      </c>
      <c r="T59" s="24">
        <f t="shared" si="24"/>
        <v>4.1653679785777058</v>
      </c>
      <c r="U59" s="41" t="str">
        <f t="shared" si="11"/>
        <v>4</v>
      </c>
      <c r="V59" s="24">
        <f t="shared" si="25"/>
        <v>1.9844157429324696</v>
      </c>
      <c r="W59" s="41" t="str">
        <f t="shared" si="12"/>
        <v>1</v>
      </c>
      <c r="X59" s="24">
        <f t="shared" si="26"/>
        <v>11.812988915189635</v>
      </c>
      <c r="Y59" s="41" t="str">
        <f t="shared" si="13"/>
        <v>E</v>
      </c>
      <c r="Z59" s="24">
        <f t="shared" si="27"/>
        <v>9.7558669822756201</v>
      </c>
      <c r="AA59" s="41" t="str">
        <f t="shared" si="14"/>
        <v>9</v>
      </c>
      <c r="AB59" s="24">
        <f t="shared" si="28"/>
        <v>9.0704037873074412</v>
      </c>
      <c r="AC59" s="41" t="str">
        <f t="shared" si="15"/>
        <v>9</v>
      </c>
      <c r="AD59" s="24">
        <f t="shared" si="29"/>
        <v>0.84484544768929482</v>
      </c>
      <c r="AE59" s="41" t="str">
        <f t="shared" si="16"/>
        <v/>
      </c>
      <c r="AF59" s="24">
        <f t="shared" si="30"/>
        <v>10.138145372271538</v>
      </c>
      <c r="AG59" s="41" t="str">
        <f t="shared" si="17"/>
        <v/>
      </c>
      <c r="AH59" s="24">
        <f t="shared" si="31"/>
        <v>1.6577444672584534</v>
      </c>
      <c r="AI59" s="41" t="str">
        <f t="shared" si="18"/>
        <v/>
      </c>
    </row>
    <row r="60" spans="1:35" ht="15" customHeight="1" x14ac:dyDescent="0.2">
      <c r="A60" s="581"/>
      <c r="B60" s="5" t="str">
        <f>Rydberg!B69</f>
        <v>Astronomical unit / c0</v>
      </c>
      <c r="C60" s="5" t="str">
        <f>Rydberg!C69</f>
        <v>s</v>
      </c>
      <c r="D60" s="29">
        <f>Rydberg!D69</f>
        <v>499.00478150120773</v>
      </c>
      <c r="E60" s="30">
        <v>9</v>
      </c>
      <c r="F60" s="29">
        <f>D60/F$4</f>
        <v>2874.2675414469568</v>
      </c>
      <c r="G60" s="37" t="str">
        <f t="shared" si="19"/>
        <v>1;7E632638X</v>
      </c>
      <c r="H60" s="43">
        <v>3</v>
      </c>
      <c r="I60" s="62">
        <f t="shared" si="32"/>
        <v>1.6633492716706926</v>
      </c>
      <c r="J60" s="39"/>
      <c r="K60" s="40" t="str">
        <f t="shared" si="6"/>
        <v>1</v>
      </c>
      <c r="L60" s="24">
        <f t="shared" si="20"/>
        <v>7.9601912600483109</v>
      </c>
      <c r="M60" s="41" t="str">
        <f t="shared" si="7"/>
        <v>7</v>
      </c>
      <c r="N60" s="24">
        <f t="shared" si="21"/>
        <v>11.522295120579731</v>
      </c>
      <c r="O60" s="41" t="str">
        <f t="shared" si="8"/>
        <v>E</v>
      </c>
      <c r="P60" s="24">
        <f t="shared" si="22"/>
        <v>6.2675414469567698</v>
      </c>
      <c r="Q60" s="41" t="str">
        <f t="shared" si="9"/>
        <v>6</v>
      </c>
      <c r="R60" s="24">
        <f t="shared" si="23"/>
        <v>3.2104973634812382</v>
      </c>
      <c r="S60" s="41" t="str">
        <f t="shared" si="10"/>
        <v>3</v>
      </c>
      <c r="T60" s="24">
        <f t="shared" si="24"/>
        <v>2.5259683617748578</v>
      </c>
      <c r="U60" s="41" t="str">
        <f t="shared" si="11"/>
        <v>2</v>
      </c>
      <c r="V60" s="24">
        <f t="shared" si="25"/>
        <v>6.3116203412982941</v>
      </c>
      <c r="W60" s="41" t="str">
        <f t="shared" si="12"/>
        <v>6</v>
      </c>
      <c r="X60" s="24">
        <f t="shared" si="26"/>
        <v>3.7394440955795289</v>
      </c>
      <c r="Y60" s="41" t="str">
        <f t="shared" si="13"/>
        <v>3</v>
      </c>
      <c r="Z60" s="24">
        <f t="shared" si="27"/>
        <v>8.8733291469543474</v>
      </c>
      <c r="AA60" s="41" t="str">
        <f t="shared" si="14"/>
        <v>8</v>
      </c>
      <c r="AB60" s="24">
        <f t="shared" si="28"/>
        <v>10.479949763452169</v>
      </c>
      <c r="AC60" s="41" t="str">
        <f t="shared" si="15"/>
        <v>X</v>
      </c>
      <c r="AD60" s="24">
        <f t="shared" si="29"/>
        <v>5.7593971614260226</v>
      </c>
      <c r="AE60" s="41" t="str">
        <f t="shared" si="16"/>
        <v/>
      </c>
      <c r="AF60" s="24">
        <f t="shared" si="30"/>
        <v>9.1127659371122718</v>
      </c>
      <c r="AG60" s="41" t="str">
        <f t="shared" si="17"/>
        <v/>
      </c>
      <c r="AH60" s="24">
        <f t="shared" si="31"/>
        <v>1.3531912453472614</v>
      </c>
      <c r="AI60" s="41" t="str">
        <f t="shared" si="18"/>
        <v/>
      </c>
    </row>
    <row r="61" spans="1:35" ht="15" customHeight="1" thickBot="1" x14ac:dyDescent="0.25">
      <c r="A61" s="582"/>
      <c r="B61" s="5" t="s">
        <v>117</v>
      </c>
      <c r="C61" s="5" t="str">
        <f>Rydberg!C70</f>
        <v>-</v>
      </c>
      <c r="D61" s="29">
        <f>Rydberg!D70*Clock!F$4/F$4</f>
        <v>22.45521516755435</v>
      </c>
      <c r="E61" s="30">
        <v>9</v>
      </c>
      <c r="F61" s="29">
        <f>D61</f>
        <v>22.45521516755435</v>
      </c>
      <c r="G61" s="37" t="str">
        <f t="shared" si="19"/>
        <v>1;X55674126</v>
      </c>
      <c r="H61" s="43">
        <v>1</v>
      </c>
      <c r="I61" s="62">
        <f t="shared" si="32"/>
        <v>1.8712679306295292</v>
      </c>
      <c r="J61" s="44"/>
      <c r="K61" s="40" t="str">
        <f t="shared" si="6"/>
        <v>1</v>
      </c>
      <c r="L61" s="24">
        <f t="shared" si="20"/>
        <v>10.45521516755435</v>
      </c>
      <c r="M61" s="41" t="str">
        <f t="shared" si="7"/>
        <v>X</v>
      </c>
      <c r="N61" s="24">
        <f t="shared" si="21"/>
        <v>5.4625820106521985</v>
      </c>
      <c r="O61" s="41" t="str">
        <f t="shared" si="8"/>
        <v>5</v>
      </c>
      <c r="P61" s="24">
        <f t="shared" si="22"/>
        <v>5.5509841278263821</v>
      </c>
      <c r="Q61" s="41" t="str">
        <f t="shared" si="9"/>
        <v>5</v>
      </c>
      <c r="R61" s="24">
        <f t="shared" si="23"/>
        <v>6.6118095339165848</v>
      </c>
      <c r="S61" s="41" t="str">
        <f t="shared" si="10"/>
        <v>6</v>
      </c>
      <c r="T61" s="24">
        <f t="shared" si="24"/>
        <v>7.3417144069990172</v>
      </c>
      <c r="U61" s="41" t="str">
        <f t="shared" si="11"/>
        <v>7</v>
      </c>
      <c r="V61" s="24">
        <f t="shared" si="25"/>
        <v>4.1005728839882067</v>
      </c>
      <c r="W61" s="41" t="str">
        <f t="shared" si="12"/>
        <v>4</v>
      </c>
      <c r="X61" s="24">
        <f t="shared" si="26"/>
        <v>1.2068746078584809</v>
      </c>
      <c r="Y61" s="41" t="str">
        <f t="shared" si="13"/>
        <v>1</v>
      </c>
      <c r="Z61" s="24">
        <f t="shared" si="27"/>
        <v>2.4824952943017706</v>
      </c>
      <c r="AA61" s="41" t="str">
        <f t="shared" si="14"/>
        <v>2</v>
      </c>
      <c r="AB61" s="24">
        <f t="shared" si="28"/>
        <v>5.7899435316212475</v>
      </c>
      <c r="AC61" s="41" t="str">
        <f t="shared" si="15"/>
        <v>6</v>
      </c>
      <c r="AD61" s="24">
        <f t="shared" si="29"/>
        <v>9.4793223794549704</v>
      </c>
      <c r="AE61" s="41" t="str">
        <f t="shared" si="16"/>
        <v/>
      </c>
      <c r="AF61" s="24">
        <f t="shared" si="30"/>
        <v>5.7518685534596443</v>
      </c>
      <c r="AG61" s="41" t="str">
        <f t="shared" si="17"/>
        <v/>
      </c>
      <c r="AH61" s="24">
        <f t="shared" si="31"/>
        <v>9.0224226415157318</v>
      </c>
      <c r="AI61" s="41" t="str">
        <f t="shared" si="18"/>
        <v/>
      </c>
    </row>
    <row r="62" spans="1:35" ht="12" customHeight="1" x14ac:dyDescent="0.2">
      <c r="A62" s="577" t="s">
        <v>49</v>
      </c>
      <c r="B62" s="17" t="s">
        <v>42</v>
      </c>
      <c r="C62" s="17"/>
      <c r="D62" s="17"/>
      <c r="E62" s="18" t="s">
        <v>54</v>
      </c>
      <c r="F62" s="17" t="s">
        <v>43</v>
      </c>
      <c r="G62" s="17" t="s">
        <v>92</v>
      </c>
      <c r="H62" s="18" t="s">
        <v>44</v>
      </c>
      <c r="I62" s="56" t="s">
        <v>46</v>
      </c>
      <c r="J62" s="20"/>
    </row>
    <row r="63" spans="1:35" ht="11.25" customHeight="1" x14ac:dyDescent="0.2">
      <c r="A63" s="578"/>
      <c r="B63" s="8" t="s">
        <v>40</v>
      </c>
      <c r="C63" s="8"/>
      <c r="D63" s="21"/>
      <c r="E63" s="8">
        <v>9</v>
      </c>
      <c r="F63" s="21">
        <f>$D$28</f>
        <v>7.2973525643E-3</v>
      </c>
      <c r="G63" s="37" t="str">
        <f t="shared" ref="G63:G64" si="33">K63&amp;";"&amp;M63&amp;O63&amp;Q63&amp;S63&amp;U63&amp;W63&amp;Y63&amp;AA63&amp;AC63&amp;AE63&amp;AG63&amp;AI63</f>
        <v>1;073994047</v>
      </c>
      <c r="H63" s="38">
        <v>-2</v>
      </c>
      <c r="I63" s="61">
        <f t="shared" ref="I63:I79" si="34">F63/POWER(12,H63)</f>
        <v>1.0508187692592001</v>
      </c>
      <c r="J63" s="39"/>
      <c r="K63" s="40" t="str">
        <f t="shared" ref="K63:K79" si="35">IF($E63&gt;=K$27,MID($H$27,IF($E63&gt;K$27,INT(I63),ROUND(I63,0))+1,1),"")</f>
        <v>1</v>
      </c>
      <c r="L63" s="24">
        <f>(I63-INT(I63))*12</f>
        <v>0.60982523111040177</v>
      </c>
      <c r="M63" s="41" t="str">
        <f t="shared" ref="M63:M79" si="36">IF($E63&gt;=M$27,MID($H$27,IF($E63&gt;M$27,INT(L63),ROUND(L63,0))+1,1),"")</f>
        <v>0</v>
      </c>
      <c r="N63" s="24">
        <f>(L63-INT(L63))*12</f>
        <v>7.3179027733248212</v>
      </c>
      <c r="O63" s="41" t="str">
        <f t="shared" ref="O63:O79" si="37">IF($E63&gt;=O$27,MID($H$27,IF($E63&gt;O$27,INT(N63),ROUND(N63,0))+1,1),"")</f>
        <v>7</v>
      </c>
      <c r="P63" s="24">
        <f>(N63-INT(N63))*12</f>
        <v>3.8148332798978544</v>
      </c>
      <c r="Q63" s="41" t="str">
        <f t="shared" ref="Q63:Q79" si="38">IF($E63&gt;=Q$27,MID($H$27,IF($E63&gt;Q$27,INT(P63),ROUND(P63,0))+1,1),"")</f>
        <v>3</v>
      </c>
      <c r="R63" s="24">
        <f>(P63-INT(P63))*12</f>
        <v>9.7779993587742524</v>
      </c>
      <c r="S63" s="41" t="str">
        <f t="shared" ref="S63:S79" si="39">IF($E63&gt;=S$27,MID($H$27,IF($E63&gt;S$27,INT(R63),ROUND(R63,0))+1,1),"")</f>
        <v>9</v>
      </c>
      <c r="T63" s="24">
        <f>(R63-INT(R63))*12</f>
        <v>9.335992305291029</v>
      </c>
      <c r="U63" s="41" t="str">
        <f t="shared" ref="U63:U79" si="40">IF($E63&gt;=U$27,MID($H$27,IF($E63&gt;U$27,INT(T63),ROUND(T63,0))+1,1),"")</f>
        <v>9</v>
      </c>
      <c r="V63" s="24">
        <f>(T63-INT(T63))*12</f>
        <v>4.0319076634923476</v>
      </c>
      <c r="W63" s="41" t="str">
        <f t="shared" ref="W63:W79" si="41">IF($E63&gt;=W$27,MID($H$27,IF($E63&gt;W$27,INT(V63),ROUND(V63,0))+1,1),"")</f>
        <v>4</v>
      </c>
      <c r="X63" s="24">
        <f>(V63-INT(V63))*12</f>
        <v>0.38289196190817165</v>
      </c>
      <c r="Y63" s="41" t="str">
        <f t="shared" ref="Y63:Y79" si="42">IF($E63&gt;=Y$27,MID($H$27,IF($E63&gt;Y$27,INT(X63),ROUND(X63,0))+1,1),"")</f>
        <v>0</v>
      </c>
      <c r="Z63" s="24">
        <f>(X63-INT(X63))*12</f>
        <v>4.5947035428980598</v>
      </c>
      <c r="AA63" s="41" t="str">
        <f t="shared" ref="AA63:AA79" si="43">IF($E63&gt;=AA$27,MID($H$27,IF($E63&gt;AA$27,INT(Z63),ROUND(Z63,0))+1,1),"")</f>
        <v>4</v>
      </c>
      <c r="AB63" s="24">
        <f>(Z63-INT(Z63))*12</f>
        <v>7.1364425147767179</v>
      </c>
      <c r="AC63" s="41" t="str">
        <f t="shared" ref="AC63:AC79" si="44">IF($E63&gt;=AC$27,MID($H$27,IF($E63&gt;AC$27,INT(AB63),ROUND(AB63,0))+1,1),"")</f>
        <v>7</v>
      </c>
      <c r="AD63" s="24">
        <f>(AB63-INT(AB63))*12</f>
        <v>1.6373101773206145</v>
      </c>
      <c r="AE63" s="41" t="str">
        <f t="shared" ref="AE63:AE79" si="45">IF($E63&gt;=AE$27,MID($H$27,IF($E63&gt;AE$27,INT(AD63),ROUND(AD63,0))+1,1),"")</f>
        <v/>
      </c>
      <c r="AF63" s="24">
        <f>(AD63-INT(AD63))*12</f>
        <v>7.6477221278473735</v>
      </c>
      <c r="AG63" s="41" t="str">
        <f t="shared" ref="AG63:AG79" si="46">IF($E63&gt;=AG$27,MID($H$27,IF($E63&gt;AG$27,INT(AF63),ROUND(AF63,0))+1,1),"")</f>
        <v/>
      </c>
      <c r="AH63" s="24">
        <f>(AF63-INT(AF63))*12</f>
        <v>7.7726655341684818</v>
      </c>
      <c r="AI63" s="41" t="str">
        <f t="shared" ref="AI63:AI79" si="47">IF($E63&gt;=AI$27,MID($H$27,IF($E63&gt;AI$27,INT(AH63),ROUND(AH63,0))+1,1),"")</f>
        <v/>
      </c>
    </row>
    <row r="64" spans="1:35" ht="13.5" customHeight="1" x14ac:dyDescent="0.2">
      <c r="A64" s="578"/>
      <c r="B64" s="30" t="s">
        <v>34</v>
      </c>
      <c r="C64" s="30"/>
      <c r="D64" s="29"/>
      <c r="E64" s="8">
        <v>9</v>
      </c>
      <c r="F64" s="21">
        <f>1/$D$28</f>
        <v>137.03599917759013</v>
      </c>
      <c r="G64" s="37" t="str">
        <f t="shared" si="33"/>
        <v>0;E5052258</v>
      </c>
      <c r="H64" s="38">
        <v>2</v>
      </c>
      <c r="I64" s="61">
        <f t="shared" si="34"/>
        <v>0.95163888317770917</v>
      </c>
      <c r="J64" s="39"/>
      <c r="K64" s="40" t="str">
        <f t="shared" si="35"/>
        <v>0</v>
      </c>
      <c r="L64" s="24">
        <f t="shared" ref="L64:L79" si="48">(I64-INT(I64))*12</f>
        <v>11.41966659813251</v>
      </c>
      <c r="M64" s="41" t="str">
        <f t="shared" si="36"/>
        <v>E</v>
      </c>
      <c r="N64" s="24">
        <f t="shared" ref="N64:N79" si="49">(L64-INT(L64))*12</f>
        <v>5.0359991775901207</v>
      </c>
      <c r="O64" s="41" t="str">
        <f t="shared" si="37"/>
        <v>5</v>
      </c>
      <c r="P64" s="24">
        <f t="shared" ref="P64:P79" si="50">(N64-INT(N64))*12</f>
        <v>0.43199013108144868</v>
      </c>
      <c r="Q64" s="41" t="str">
        <f t="shared" si="38"/>
        <v>0</v>
      </c>
      <c r="R64" s="24">
        <f t="shared" ref="R64:R79" si="51">(P64-INT(P64))*12</f>
        <v>5.1838815729773842</v>
      </c>
      <c r="S64" s="41" t="str">
        <f t="shared" si="39"/>
        <v>5</v>
      </c>
      <c r="T64" s="24">
        <f t="shared" ref="T64:T79" si="52">(R64-INT(R64))*12</f>
        <v>2.20657887572861</v>
      </c>
      <c r="U64" s="41" t="str">
        <f t="shared" si="40"/>
        <v>2</v>
      </c>
      <c r="V64" s="24">
        <f t="shared" ref="V64:V79" si="53">(T64-INT(T64))*12</f>
        <v>2.47894650874332</v>
      </c>
      <c r="W64" s="41" t="str">
        <f t="shared" si="41"/>
        <v>2</v>
      </c>
      <c r="X64" s="24">
        <f t="shared" ref="X64:X79" si="54">(V64-INT(V64))*12</f>
        <v>5.7473581049198401</v>
      </c>
      <c r="Y64" s="41" t="str">
        <f t="shared" si="42"/>
        <v>5</v>
      </c>
      <c r="Z64" s="24">
        <f t="shared" ref="Z64:Z79" si="55">(X64-INT(X64))*12</f>
        <v>8.9682972590380814</v>
      </c>
      <c r="AA64" s="41" t="str">
        <f t="shared" si="43"/>
        <v>8</v>
      </c>
      <c r="AB64" s="24">
        <f t="shared" ref="AB64:AB79" si="56">(Z64-INT(Z64))*12</f>
        <v>11.619567108456977</v>
      </c>
      <c r="AC64" s="41" t="str">
        <f t="shared" si="44"/>
        <v/>
      </c>
      <c r="AD64" s="24">
        <f t="shared" ref="AD64:AD79" si="57">(AB64-INT(AB64))*12</f>
        <v>7.4348053014837205</v>
      </c>
      <c r="AE64" s="41" t="str">
        <f t="shared" si="45"/>
        <v/>
      </c>
      <c r="AF64" s="24">
        <f t="shared" ref="AF64:AF79" si="58">(AD64-INT(AD64))*12</f>
        <v>5.2176636178046465</v>
      </c>
      <c r="AG64" s="41" t="str">
        <f t="shared" si="46"/>
        <v/>
      </c>
      <c r="AH64" s="24">
        <f t="shared" ref="AH64:AH79" si="59">(AF64-INT(AF64))*12</f>
        <v>2.6119634136557579</v>
      </c>
      <c r="AI64" s="41" t="str">
        <f t="shared" si="47"/>
        <v/>
      </c>
    </row>
    <row r="65" spans="1:35" ht="13.5" customHeight="1" x14ac:dyDescent="0.2">
      <c r="A65" s="578"/>
      <c r="B65" s="45"/>
      <c r="C65" s="45"/>
      <c r="D65" s="46"/>
      <c r="E65" s="8">
        <v>9</v>
      </c>
      <c r="F65" s="21">
        <f>1/$D$28</f>
        <v>137.03599917759013</v>
      </c>
      <c r="G65" s="37" t="str">
        <f>"B5;"&amp;M65&amp;O65&amp;Q65&amp;S65&amp;U65&amp;W65&amp;Y65&amp;AA65&amp;AC65&amp;AE65&amp;AG65&amp;AI65</f>
        <v>B5;052258E75</v>
      </c>
      <c r="H65" s="38">
        <v>0</v>
      </c>
      <c r="I65" s="61">
        <f t="shared" si="34"/>
        <v>137.03599917759013</v>
      </c>
      <c r="J65" s="39"/>
      <c r="K65" s="40" t="str">
        <f t="shared" si="35"/>
        <v/>
      </c>
      <c r="L65" s="24">
        <f t="shared" si="48"/>
        <v>0.43199013108153395</v>
      </c>
      <c r="M65" s="41" t="str">
        <f t="shared" si="36"/>
        <v>0</v>
      </c>
      <c r="N65" s="24">
        <f t="shared" si="49"/>
        <v>5.1838815729784073</v>
      </c>
      <c r="O65" s="41" t="str">
        <f t="shared" si="37"/>
        <v>5</v>
      </c>
      <c r="P65" s="24">
        <f t="shared" si="50"/>
        <v>2.2065788757408882</v>
      </c>
      <c r="Q65" s="41" t="str">
        <f t="shared" si="38"/>
        <v>2</v>
      </c>
      <c r="R65" s="24">
        <f t="shared" si="51"/>
        <v>2.4789465088906582</v>
      </c>
      <c r="S65" s="41" t="str">
        <f t="shared" si="39"/>
        <v>2</v>
      </c>
      <c r="T65" s="24">
        <f t="shared" si="52"/>
        <v>5.7473581066878978</v>
      </c>
      <c r="U65" s="41" t="str">
        <f t="shared" si="40"/>
        <v>5</v>
      </c>
      <c r="V65" s="24">
        <f t="shared" si="53"/>
        <v>8.9682972802547738</v>
      </c>
      <c r="W65" s="41" t="str">
        <f t="shared" si="41"/>
        <v>8</v>
      </c>
      <c r="X65" s="24">
        <f t="shared" si="54"/>
        <v>11.619567363057286</v>
      </c>
      <c r="Y65" s="41" t="str">
        <f t="shared" si="42"/>
        <v>E</v>
      </c>
      <c r="Z65" s="24">
        <f t="shared" si="55"/>
        <v>7.4348083566874266</v>
      </c>
      <c r="AA65" s="41" t="str">
        <f t="shared" si="43"/>
        <v>7</v>
      </c>
      <c r="AB65" s="24">
        <f t="shared" si="56"/>
        <v>5.2177002802491188</v>
      </c>
      <c r="AC65" s="41" t="str">
        <f t="shared" si="44"/>
        <v>5</v>
      </c>
      <c r="AD65" s="24">
        <f t="shared" si="57"/>
        <v>2.6124033629894257</v>
      </c>
      <c r="AE65" s="41" t="str">
        <f t="shared" si="45"/>
        <v/>
      </c>
      <c r="AF65" s="24">
        <f t="shared" si="58"/>
        <v>7.3488403558731079</v>
      </c>
      <c r="AG65" s="41" t="str">
        <f t="shared" si="46"/>
        <v/>
      </c>
      <c r="AH65" s="24">
        <f t="shared" si="59"/>
        <v>4.1860842704772949</v>
      </c>
      <c r="AI65" s="41" t="str">
        <f t="shared" si="47"/>
        <v/>
      </c>
    </row>
    <row r="66" spans="1:35" ht="13.5" customHeight="1" x14ac:dyDescent="0.2">
      <c r="A66" s="578"/>
      <c r="B66" s="8" t="s">
        <v>39</v>
      </c>
      <c r="C66" s="8"/>
      <c r="D66" s="21"/>
      <c r="E66" s="8">
        <v>9</v>
      </c>
      <c r="F66" s="21">
        <f t="shared" ref="F66" si="60">SQRT($D$28)</f>
        <v>8.5424543102670447E-2</v>
      </c>
      <c r="G66" s="37" t="str">
        <f t="shared" ref="G66:G69" si="61">K66&amp;";"&amp;M66&amp;O66&amp;Q66&amp;S66&amp;U66&amp;W66&amp;Y66&amp;AA66&amp;AC66&amp;AE66&amp;AG66&amp;AI66</f>
        <v>1;0374439E1</v>
      </c>
      <c r="H66" s="38">
        <v>-1</v>
      </c>
      <c r="I66" s="61">
        <f t="shared" si="34"/>
        <v>1.0250945172320454</v>
      </c>
      <c r="J66" s="39"/>
      <c r="K66" s="40" t="str">
        <f t="shared" si="35"/>
        <v>1</v>
      </c>
      <c r="L66" s="24">
        <f t="shared" si="48"/>
        <v>0.30113420678454439</v>
      </c>
      <c r="M66" s="41" t="str">
        <f t="shared" si="36"/>
        <v>0</v>
      </c>
      <c r="N66" s="24">
        <f t="shared" si="49"/>
        <v>3.6136104814145327</v>
      </c>
      <c r="O66" s="41" t="str">
        <f t="shared" si="37"/>
        <v>3</v>
      </c>
      <c r="P66" s="24">
        <f t="shared" si="50"/>
        <v>7.3633257769743921</v>
      </c>
      <c r="Q66" s="41" t="str">
        <f t="shared" si="38"/>
        <v>7</v>
      </c>
      <c r="R66" s="24">
        <f t="shared" si="51"/>
        <v>4.3599093236927047</v>
      </c>
      <c r="S66" s="41" t="str">
        <f t="shared" si="39"/>
        <v>4</v>
      </c>
      <c r="T66" s="24">
        <f t="shared" si="52"/>
        <v>4.3189118843124561</v>
      </c>
      <c r="U66" s="41" t="str">
        <f t="shared" si="40"/>
        <v>4</v>
      </c>
      <c r="V66" s="24">
        <f t="shared" si="53"/>
        <v>3.8269426117494731</v>
      </c>
      <c r="W66" s="41" t="str">
        <f t="shared" si="41"/>
        <v>3</v>
      </c>
      <c r="X66" s="24">
        <f t="shared" si="54"/>
        <v>9.9233113409936777</v>
      </c>
      <c r="Y66" s="41" t="str">
        <f t="shared" si="42"/>
        <v>9</v>
      </c>
      <c r="Z66" s="24">
        <f t="shared" si="55"/>
        <v>11.079736091924133</v>
      </c>
      <c r="AA66" s="41" t="str">
        <f t="shared" si="43"/>
        <v>E</v>
      </c>
      <c r="AB66" s="24">
        <f t="shared" si="56"/>
        <v>0.95683310308959335</v>
      </c>
      <c r="AC66" s="41" t="str">
        <f t="shared" si="44"/>
        <v>1</v>
      </c>
      <c r="AD66" s="24">
        <f t="shared" si="57"/>
        <v>11.48199723707512</v>
      </c>
      <c r="AE66" s="41" t="str">
        <f t="shared" si="45"/>
        <v/>
      </c>
      <c r="AF66" s="24">
        <f t="shared" si="58"/>
        <v>5.7839668449014425</v>
      </c>
      <c r="AG66" s="41" t="str">
        <f t="shared" si="46"/>
        <v/>
      </c>
      <c r="AH66" s="24">
        <f t="shared" si="59"/>
        <v>9.4076021388173103</v>
      </c>
      <c r="AI66" s="41" t="str">
        <f t="shared" si="47"/>
        <v/>
      </c>
    </row>
    <row r="67" spans="1:35" ht="13.5" customHeight="1" x14ac:dyDescent="0.2">
      <c r="A67" s="578"/>
      <c r="B67" s="8" t="s">
        <v>35</v>
      </c>
      <c r="C67" s="8"/>
      <c r="D67" s="21"/>
      <c r="E67" s="8">
        <v>9</v>
      </c>
      <c r="F67" s="21">
        <f>1/SQRT($D$28)</f>
        <v>11.706237618363557</v>
      </c>
      <c r="G67" s="37" t="str">
        <f t="shared" si="61"/>
        <v>0;E85846629</v>
      </c>
      <c r="H67" s="38">
        <v>1</v>
      </c>
      <c r="I67" s="61">
        <f t="shared" si="34"/>
        <v>0.97551980153029649</v>
      </c>
      <c r="J67" s="39"/>
      <c r="K67" s="40" t="str">
        <f t="shared" si="35"/>
        <v>0</v>
      </c>
      <c r="L67" s="24">
        <f t="shared" si="48"/>
        <v>11.706237618363557</v>
      </c>
      <c r="M67" s="41" t="str">
        <f t="shared" si="36"/>
        <v>E</v>
      </c>
      <c r="N67" s="24">
        <f t="shared" si="49"/>
        <v>8.4748514203626897</v>
      </c>
      <c r="O67" s="41" t="str">
        <f t="shared" si="37"/>
        <v>8</v>
      </c>
      <c r="P67" s="24">
        <f t="shared" si="50"/>
        <v>5.6982170443522762</v>
      </c>
      <c r="Q67" s="41" t="str">
        <f t="shared" si="38"/>
        <v>5</v>
      </c>
      <c r="R67" s="24">
        <f t="shared" si="51"/>
        <v>8.3786045322273139</v>
      </c>
      <c r="S67" s="41" t="str">
        <f t="shared" si="39"/>
        <v>8</v>
      </c>
      <c r="T67" s="24">
        <f t="shared" si="52"/>
        <v>4.5432543867277673</v>
      </c>
      <c r="U67" s="41" t="str">
        <f t="shared" si="40"/>
        <v>4</v>
      </c>
      <c r="V67" s="24">
        <f t="shared" si="53"/>
        <v>6.5190526407332072</v>
      </c>
      <c r="W67" s="41" t="str">
        <f t="shared" si="41"/>
        <v>6</v>
      </c>
      <c r="X67" s="24">
        <f t="shared" si="54"/>
        <v>6.2286316887984867</v>
      </c>
      <c r="Y67" s="41" t="str">
        <f t="shared" si="42"/>
        <v>6</v>
      </c>
      <c r="Z67" s="24">
        <f t="shared" si="55"/>
        <v>2.7435802655818406</v>
      </c>
      <c r="AA67" s="41" t="str">
        <f t="shared" si="43"/>
        <v>2</v>
      </c>
      <c r="AB67" s="24">
        <f t="shared" si="56"/>
        <v>8.9229631869820878</v>
      </c>
      <c r="AC67" s="41" t="str">
        <f t="shared" si="44"/>
        <v>9</v>
      </c>
      <c r="AD67" s="24">
        <f t="shared" si="57"/>
        <v>11.075558243785053</v>
      </c>
      <c r="AE67" s="41" t="str">
        <f t="shared" si="45"/>
        <v/>
      </c>
      <c r="AF67" s="24">
        <f t="shared" si="58"/>
        <v>0.9066989254206419</v>
      </c>
      <c r="AG67" s="41" t="str">
        <f t="shared" si="46"/>
        <v/>
      </c>
      <c r="AH67" s="24">
        <f t="shared" si="59"/>
        <v>10.880387105047703</v>
      </c>
      <c r="AI67" s="41" t="str">
        <f t="shared" si="47"/>
        <v/>
      </c>
    </row>
    <row r="68" spans="1:35" ht="13.5" customHeight="1" x14ac:dyDescent="0.2">
      <c r="A68" s="578"/>
      <c r="B68" s="8" t="s">
        <v>36</v>
      </c>
      <c r="C68" s="8"/>
      <c r="D68" s="21"/>
      <c r="E68" s="8">
        <v>12</v>
      </c>
      <c r="F68" s="21">
        <f>4*PI()</f>
        <v>12.566370614359172</v>
      </c>
      <c r="G68" s="37" t="str">
        <f t="shared" si="61"/>
        <v>1;0696831713E1</v>
      </c>
      <c r="H68" s="38">
        <v>1</v>
      </c>
      <c r="I68" s="61">
        <f t="shared" si="34"/>
        <v>1.0471975511965976</v>
      </c>
      <c r="J68" s="39"/>
      <c r="K68" s="40" t="str">
        <f t="shared" si="35"/>
        <v>1</v>
      </c>
      <c r="L68" s="24">
        <f t="shared" si="48"/>
        <v>0.56637061435917158</v>
      </c>
      <c r="M68" s="41" t="str">
        <f t="shared" si="36"/>
        <v>0</v>
      </c>
      <c r="N68" s="24">
        <f t="shared" si="49"/>
        <v>6.7964473723100589</v>
      </c>
      <c r="O68" s="41" t="str">
        <f t="shared" si="37"/>
        <v>6</v>
      </c>
      <c r="P68" s="24">
        <f t="shared" si="50"/>
        <v>9.5573684677207069</v>
      </c>
      <c r="Q68" s="41" t="str">
        <f t="shared" si="38"/>
        <v>9</v>
      </c>
      <c r="R68" s="24">
        <f t="shared" si="51"/>
        <v>6.688421612648483</v>
      </c>
      <c r="S68" s="41" t="str">
        <f t="shared" si="39"/>
        <v>6</v>
      </c>
      <c r="T68" s="24">
        <f t="shared" si="52"/>
        <v>8.2610593517817961</v>
      </c>
      <c r="U68" s="41" t="str">
        <f t="shared" si="40"/>
        <v>8</v>
      </c>
      <c r="V68" s="24">
        <f t="shared" si="53"/>
        <v>3.1327122213815528</v>
      </c>
      <c r="W68" s="41" t="str">
        <f t="shared" si="41"/>
        <v>3</v>
      </c>
      <c r="X68" s="24">
        <f t="shared" si="54"/>
        <v>1.5925466565786337</v>
      </c>
      <c r="Y68" s="41" t="str">
        <f t="shared" si="42"/>
        <v>1</v>
      </c>
      <c r="Z68" s="24">
        <f t="shared" si="55"/>
        <v>7.1105598789436044</v>
      </c>
      <c r="AA68" s="41" t="str">
        <f t="shared" si="43"/>
        <v>7</v>
      </c>
      <c r="AB68" s="24">
        <f t="shared" si="56"/>
        <v>1.326718547323253</v>
      </c>
      <c r="AC68" s="41" t="str">
        <f t="shared" si="44"/>
        <v>1</v>
      </c>
      <c r="AD68" s="24">
        <f t="shared" si="57"/>
        <v>3.9206225678790361</v>
      </c>
      <c r="AE68" s="41" t="str">
        <f t="shared" si="45"/>
        <v>3</v>
      </c>
      <c r="AF68" s="24">
        <f t="shared" si="58"/>
        <v>11.047470814548433</v>
      </c>
      <c r="AG68" s="41" t="str">
        <f t="shared" si="46"/>
        <v>E</v>
      </c>
      <c r="AH68" s="24">
        <f t="shared" si="59"/>
        <v>0.56964977458119392</v>
      </c>
      <c r="AI68" s="41" t="str">
        <f t="shared" si="47"/>
        <v>1</v>
      </c>
    </row>
    <row r="69" spans="1:35" ht="13.5" customHeight="1" x14ac:dyDescent="0.2">
      <c r="A69" s="578"/>
      <c r="B69" s="30" t="s">
        <v>37</v>
      </c>
      <c r="C69" s="30"/>
      <c r="D69" s="29"/>
      <c r="E69" s="8">
        <v>12</v>
      </c>
      <c r="F69" s="21">
        <f>1/(4*PI())</f>
        <v>7.9577471545947673E-2</v>
      </c>
      <c r="G69" s="37" t="str">
        <f t="shared" si="61"/>
        <v>0;E5615082189E</v>
      </c>
      <c r="H69" s="38">
        <v>-1</v>
      </c>
      <c r="I69" s="61">
        <f t="shared" si="34"/>
        <v>0.95492965855137213</v>
      </c>
      <c r="J69" s="39"/>
      <c r="K69" s="40" t="str">
        <f t="shared" si="35"/>
        <v>0</v>
      </c>
      <c r="L69" s="24">
        <f t="shared" si="48"/>
        <v>11.459155902616466</v>
      </c>
      <c r="M69" s="41" t="str">
        <f t="shared" si="36"/>
        <v>E</v>
      </c>
      <c r="N69" s="24">
        <f t="shared" si="49"/>
        <v>5.5098708313975919</v>
      </c>
      <c r="O69" s="41" t="str">
        <f t="shared" si="37"/>
        <v>5</v>
      </c>
      <c r="P69" s="24">
        <f t="shared" si="50"/>
        <v>6.1184499767711031</v>
      </c>
      <c r="Q69" s="41" t="str">
        <f t="shared" si="38"/>
        <v>6</v>
      </c>
      <c r="R69" s="24">
        <f t="shared" si="51"/>
        <v>1.4213997212532377</v>
      </c>
      <c r="S69" s="41" t="str">
        <f t="shared" si="39"/>
        <v>1</v>
      </c>
      <c r="T69" s="24">
        <f t="shared" si="52"/>
        <v>5.0567966550388519</v>
      </c>
      <c r="U69" s="41" t="str">
        <f t="shared" si="40"/>
        <v>5</v>
      </c>
      <c r="V69" s="24">
        <f t="shared" si="53"/>
        <v>0.68155986046622274</v>
      </c>
      <c r="W69" s="41" t="str">
        <f t="shared" si="41"/>
        <v>0</v>
      </c>
      <c r="X69" s="24">
        <f t="shared" si="54"/>
        <v>8.1787183255946729</v>
      </c>
      <c r="Y69" s="41" t="str">
        <f t="shared" si="42"/>
        <v>8</v>
      </c>
      <c r="Z69" s="24">
        <f t="shared" si="55"/>
        <v>2.1446199071360752</v>
      </c>
      <c r="AA69" s="41" t="str">
        <f t="shared" si="43"/>
        <v>2</v>
      </c>
      <c r="AB69" s="24">
        <f t="shared" si="56"/>
        <v>1.7354388856329024</v>
      </c>
      <c r="AC69" s="41" t="str">
        <f t="shared" si="44"/>
        <v>1</v>
      </c>
      <c r="AD69" s="24">
        <f t="shared" si="57"/>
        <v>8.8252666275948286</v>
      </c>
      <c r="AE69" s="41" t="str">
        <f t="shared" si="45"/>
        <v>8</v>
      </c>
      <c r="AF69" s="24">
        <f t="shared" si="58"/>
        <v>9.9031995311379433</v>
      </c>
      <c r="AG69" s="41" t="str">
        <f t="shared" si="46"/>
        <v>9</v>
      </c>
      <c r="AH69" s="24">
        <f t="shared" si="59"/>
        <v>10.838394373655319</v>
      </c>
      <c r="AI69" s="41" t="str">
        <f t="shared" si="47"/>
        <v>E</v>
      </c>
    </row>
    <row r="70" spans="1:35" ht="13.5" customHeight="1" x14ac:dyDescent="0.2">
      <c r="A70" s="578"/>
      <c r="B70" s="45"/>
      <c r="C70" s="45"/>
      <c r="D70" s="46"/>
      <c r="E70" s="8">
        <v>9</v>
      </c>
      <c r="F70" s="21">
        <f>1/(4*PI())</f>
        <v>7.9577471545947673E-2</v>
      </c>
      <c r="G70" s="37" t="str">
        <f>"B5:"&amp;M70&amp;O70&amp;Q70&amp;S70&amp;U70&amp;W70&amp;Y70&amp;AA70&amp;AC70&amp;AE70&amp;AG70&amp;AI70</f>
        <v>B5:61508218X</v>
      </c>
      <c r="H70" s="38">
        <v>-3</v>
      </c>
      <c r="I70" s="61">
        <f t="shared" si="34"/>
        <v>137.50987083139759</v>
      </c>
      <c r="J70" s="39"/>
      <c r="K70" s="40" t="str">
        <f t="shared" si="35"/>
        <v/>
      </c>
      <c r="L70" s="24">
        <f t="shared" si="48"/>
        <v>6.1184499767711031</v>
      </c>
      <c r="M70" s="41" t="str">
        <f t="shared" si="36"/>
        <v>6</v>
      </c>
      <c r="N70" s="24">
        <f t="shared" si="49"/>
        <v>1.4213997212532377</v>
      </c>
      <c r="O70" s="41" t="str">
        <f t="shared" si="37"/>
        <v>1</v>
      </c>
      <c r="P70" s="24">
        <f t="shared" si="50"/>
        <v>5.0567966550388519</v>
      </c>
      <c r="Q70" s="41" t="str">
        <f t="shared" si="38"/>
        <v>5</v>
      </c>
      <c r="R70" s="24">
        <f t="shared" si="51"/>
        <v>0.68155986046622274</v>
      </c>
      <c r="S70" s="41" t="str">
        <f t="shared" si="39"/>
        <v>0</v>
      </c>
      <c r="T70" s="24">
        <f t="shared" si="52"/>
        <v>8.1787183255946729</v>
      </c>
      <c r="U70" s="41" t="str">
        <f t="shared" si="40"/>
        <v>8</v>
      </c>
      <c r="V70" s="24">
        <f t="shared" si="53"/>
        <v>2.1446199071360752</v>
      </c>
      <c r="W70" s="41" t="str">
        <f t="shared" si="41"/>
        <v>2</v>
      </c>
      <c r="X70" s="24">
        <f t="shared" si="54"/>
        <v>1.7354388856329024</v>
      </c>
      <c r="Y70" s="41" t="str">
        <f t="shared" si="42"/>
        <v>1</v>
      </c>
      <c r="Z70" s="24">
        <f t="shared" si="55"/>
        <v>8.8252666275948286</v>
      </c>
      <c r="AA70" s="41" t="str">
        <f t="shared" si="43"/>
        <v>8</v>
      </c>
      <c r="AB70" s="24">
        <f t="shared" si="56"/>
        <v>9.9031995311379433</v>
      </c>
      <c r="AC70" s="41" t="str">
        <f t="shared" si="44"/>
        <v>X</v>
      </c>
      <c r="AD70" s="24">
        <f t="shared" si="57"/>
        <v>10.838394373655319</v>
      </c>
      <c r="AE70" s="41" t="str">
        <f t="shared" si="45"/>
        <v/>
      </c>
      <c r="AF70" s="24">
        <f t="shared" si="58"/>
        <v>10.060732483863831</v>
      </c>
      <c r="AG70" s="41" t="str">
        <f t="shared" si="46"/>
        <v/>
      </c>
      <c r="AH70" s="24">
        <f t="shared" si="59"/>
        <v>0.7287898063659668</v>
      </c>
      <c r="AI70" s="41" t="str">
        <f t="shared" si="47"/>
        <v/>
      </c>
    </row>
    <row r="71" spans="1:35" ht="13.5" customHeight="1" x14ac:dyDescent="0.2">
      <c r="A71" s="578"/>
      <c r="B71" s="8" t="s">
        <v>32</v>
      </c>
      <c r="C71" s="8"/>
      <c r="D71" s="21"/>
      <c r="E71" s="8">
        <v>9</v>
      </c>
      <c r="F71" s="21">
        <f>4*PI()/$D$28</f>
        <v>1722.0451531746162</v>
      </c>
      <c r="G71" s="37" t="str">
        <f t="shared" ref="G71:G79" si="62">K71&amp;";"&amp;M71&amp;O71&amp;Q71&amp;S71&amp;U71&amp;W71&amp;Y71&amp;AA71&amp;AC71&amp;AE71&amp;AG71&amp;AI71</f>
        <v>0;EE6066037</v>
      </c>
      <c r="H71" s="38">
        <v>3</v>
      </c>
      <c r="I71" s="61">
        <f t="shared" si="34"/>
        <v>0.99655390808716215</v>
      </c>
      <c r="J71" s="39"/>
      <c r="K71" s="40" t="str">
        <f t="shared" si="35"/>
        <v>0</v>
      </c>
      <c r="L71" s="24">
        <f t="shared" si="48"/>
        <v>11.958646897045945</v>
      </c>
      <c r="M71" s="41" t="str">
        <f t="shared" si="36"/>
        <v>E</v>
      </c>
      <c r="N71" s="24">
        <f t="shared" si="49"/>
        <v>11.50376276455134</v>
      </c>
      <c r="O71" s="41" t="str">
        <f t="shared" si="37"/>
        <v>E</v>
      </c>
      <c r="P71" s="24">
        <f t="shared" si="50"/>
        <v>6.0451531746160754</v>
      </c>
      <c r="Q71" s="41" t="str">
        <f t="shared" si="38"/>
        <v>6</v>
      </c>
      <c r="R71" s="24">
        <f t="shared" si="51"/>
        <v>0.54183809539290451</v>
      </c>
      <c r="S71" s="41" t="str">
        <f t="shared" si="39"/>
        <v>0</v>
      </c>
      <c r="T71" s="24">
        <f t="shared" si="52"/>
        <v>6.5020571447148541</v>
      </c>
      <c r="U71" s="41" t="str">
        <f t="shared" si="40"/>
        <v>6</v>
      </c>
      <c r="V71" s="24">
        <f t="shared" si="53"/>
        <v>6.0246857365782489</v>
      </c>
      <c r="W71" s="41" t="str">
        <f t="shared" si="41"/>
        <v>6</v>
      </c>
      <c r="X71" s="24">
        <f t="shared" si="54"/>
        <v>0.29622883893898688</v>
      </c>
      <c r="Y71" s="41" t="str">
        <f t="shared" si="42"/>
        <v>0</v>
      </c>
      <c r="Z71" s="24">
        <f t="shared" si="55"/>
        <v>3.5547460672678426</v>
      </c>
      <c r="AA71" s="41" t="str">
        <f t="shared" si="43"/>
        <v>3</v>
      </c>
      <c r="AB71" s="24">
        <f t="shared" si="56"/>
        <v>6.6569528072141111</v>
      </c>
      <c r="AC71" s="41" t="str">
        <f t="shared" si="44"/>
        <v>7</v>
      </c>
      <c r="AD71" s="24">
        <f t="shared" si="57"/>
        <v>7.8834336865693331</v>
      </c>
      <c r="AE71" s="41" t="str">
        <f t="shared" si="45"/>
        <v/>
      </c>
      <c r="AF71" s="24">
        <f t="shared" si="58"/>
        <v>10.601204238831997</v>
      </c>
      <c r="AG71" s="41" t="str">
        <f t="shared" si="46"/>
        <v/>
      </c>
      <c r="AH71" s="24">
        <f t="shared" si="59"/>
        <v>7.214450865983963</v>
      </c>
      <c r="AI71" s="41" t="str">
        <f t="shared" si="47"/>
        <v/>
      </c>
    </row>
    <row r="72" spans="1:35" ht="13.5" customHeight="1" x14ac:dyDescent="0.2">
      <c r="A72" s="578"/>
      <c r="B72" s="8" t="s">
        <v>38</v>
      </c>
      <c r="C72" s="8"/>
      <c r="D72" s="21"/>
      <c r="E72" s="8">
        <v>9</v>
      </c>
      <c r="F72" s="21">
        <f>$D$28/(4*PI())</f>
        <v>5.8070486604633147E-4</v>
      </c>
      <c r="G72" s="37" t="str">
        <f t="shared" si="62"/>
        <v>1;005E85684</v>
      </c>
      <c r="H72" s="38">
        <v>-3</v>
      </c>
      <c r="I72" s="61">
        <f t="shared" si="34"/>
        <v>1.0034580085280609</v>
      </c>
      <c r="J72" s="39"/>
      <c r="K72" s="40" t="str">
        <f t="shared" si="35"/>
        <v>1</v>
      </c>
      <c r="L72" s="24">
        <f t="shared" si="48"/>
        <v>4.1496102336730623E-2</v>
      </c>
      <c r="M72" s="41" t="str">
        <f t="shared" si="36"/>
        <v>0</v>
      </c>
      <c r="N72" s="24">
        <f t="shared" si="49"/>
        <v>0.49795322804076747</v>
      </c>
      <c r="O72" s="41" t="str">
        <f t="shared" si="37"/>
        <v>0</v>
      </c>
      <c r="P72" s="24">
        <f t="shared" si="50"/>
        <v>5.9754387364892096</v>
      </c>
      <c r="Q72" s="41" t="str">
        <f t="shared" si="38"/>
        <v>5</v>
      </c>
      <c r="R72" s="24">
        <f t="shared" si="51"/>
        <v>11.705264837870516</v>
      </c>
      <c r="S72" s="41" t="str">
        <f t="shared" si="39"/>
        <v>E</v>
      </c>
      <c r="T72" s="24">
        <f t="shared" si="52"/>
        <v>8.463178054446189</v>
      </c>
      <c r="U72" s="41" t="str">
        <f t="shared" si="40"/>
        <v>8</v>
      </c>
      <c r="V72" s="24">
        <f t="shared" si="53"/>
        <v>5.5581366533542678</v>
      </c>
      <c r="W72" s="41" t="str">
        <f t="shared" si="41"/>
        <v>5</v>
      </c>
      <c r="X72" s="24">
        <f t="shared" si="54"/>
        <v>6.6976398402512132</v>
      </c>
      <c r="Y72" s="41" t="str">
        <f t="shared" si="42"/>
        <v>6</v>
      </c>
      <c r="Z72" s="24">
        <f t="shared" si="55"/>
        <v>8.3716780830145581</v>
      </c>
      <c r="AA72" s="41" t="str">
        <f t="shared" si="43"/>
        <v>8</v>
      </c>
      <c r="AB72" s="24">
        <f t="shared" si="56"/>
        <v>4.4601369961746968</v>
      </c>
      <c r="AC72" s="41" t="str">
        <f t="shared" si="44"/>
        <v>4</v>
      </c>
      <c r="AD72" s="24">
        <f t="shared" si="57"/>
        <v>5.521643954096362</v>
      </c>
      <c r="AE72" s="41" t="str">
        <f t="shared" si="45"/>
        <v/>
      </c>
      <c r="AF72" s="24">
        <f t="shared" si="58"/>
        <v>6.2597274491563439</v>
      </c>
      <c r="AG72" s="41" t="str">
        <f t="shared" si="46"/>
        <v/>
      </c>
      <c r="AH72" s="24">
        <f t="shared" si="59"/>
        <v>3.1167293898761272</v>
      </c>
      <c r="AI72" s="41" t="str">
        <f t="shared" si="47"/>
        <v/>
      </c>
    </row>
    <row r="73" spans="1:35" ht="13.5" customHeight="1" x14ac:dyDescent="0.2">
      <c r="A73" s="578"/>
      <c r="B73" s="8" t="s">
        <v>33</v>
      </c>
      <c r="C73" s="8"/>
      <c r="D73" s="21"/>
      <c r="E73" s="8">
        <v>9</v>
      </c>
      <c r="F73" s="21">
        <f>4*PI()/($D$28*$D$28)</f>
        <v>235982.17819420979</v>
      </c>
      <c r="G73" s="37" t="str">
        <f t="shared" si="62"/>
        <v>0;E4692217E</v>
      </c>
      <c r="H73" s="38">
        <v>5</v>
      </c>
      <c r="I73" s="61">
        <f t="shared" si="34"/>
        <v>0.94835944811844852</v>
      </c>
      <c r="J73" s="39"/>
      <c r="K73" s="40" t="str">
        <f t="shared" si="35"/>
        <v>0</v>
      </c>
      <c r="L73" s="24">
        <f t="shared" si="48"/>
        <v>11.380313377421382</v>
      </c>
      <c r="M73" s="41" t="str">
        <f t="shared" si="36"/>
        <v>E</v>
      </c>
      <c r="N73" s="24">
        <f t="shared" si="49"/>
        <v>4.5637605290565872</v>
      </c>
      <c r="O73" s="41" t="str">
        <f t="shared" si="37"/>
        <v>4</v>
      </c>
      <c r="P73" s="24">
        <f t="shared" si="50"/>
        <v>6.7651263486790469</v>
      </c>
      <c r="Q73" s="41" t="str">
        <f t="shared" si="38"/>
        <v>6</v>
      </c>
      <c r="R73" s="24">
        <f t="shared" si="51"/>
        <v>9.1815161841485633</v>
      </c>
      <c r="S73" s="41" t="str">
        <f t="shared" si="39"/>
        <v>9</v>
      </c>
      <c r="T73" s="24">
        <f t="shared" si="52"/>
        <v>2.1781942097827596</v>
      </c>
      <c r="U73" s="41" t="str">
        <f t="shared" si="40"/>
        <v>2</v>
      </c>
      <c r="V73" s="24">
        <f t="shared" si="53"/>
        <v>2.1383305173931149</v>
      </c>
      <c r="W73" s="41" t="str">
        <f t="shared" si="41"/>
        <v>2</v>
      </c>
      <c r="X73" s="24">
        <f t="shared" si="54"/>
        <v>1.6599662087173783</v>
      </c>
      <c r="Y73" s="41" t="str">
        <f t="shared" si="42"/>
        <v>1</v>
      </c>
      <c r="Z73" s="24">
        <f t="shared" si="55"/>
        <v>7.9195945046085399</v>
      </c>
      <c r="AA73" s="41" t="str">
        <f t="shared" si="43"/>
        <v>7</v>
      </c>
      <c r="AB73" s="24">
        <f t="shared" si="56"/>
        <v>11.035134055302478</v>
      </c>
      <c r="AC73" s="41" t="str">
        <f t="shared" si="44"/>
        <v>E</v>
      </c>
      <c r="AD73" s="24">
        <f t="shared" si="57"/>
        <v>0.42160866362974048</v>
      </c>
      <c r="AE73" s="41" t="str">
        <f t="shared" si="45"/>
        <v/>
      </c>
      <c r="AF73" s="24">
        <f t="shared" si="58"/>
        <v>5.0593039635568857</v>
      </c>
      <c r="AG73" s="41" t="str">
        <f t="shared" si="46"/>
        <v/>
      </c>
      <c r="AH73" s="24">
        <f t="shared" si="59"/>
        <v>0.71164756268262863</v>
      </c>
      <c r="AI73" s="41" t="str">
        <f t="shared" si="47"/>
        <v/>
      </c>
    </row>
    <row r="74" spans="1:35" ht="14.25" customHeight="1" x14ac:dyDescent="0.2">
      <c r="A74" s="578"/>
      <c r="B74" s="30" t="s">
        <v>41</v>
      </c>
      <c r="C74" s="30"/>
      <c r="D74" s="29"/>
      <c r="E74" s="30">
        <v>9</v>
      </c>
      <c r="F74" s="29">
        <f>($D$28*$D$28)/(4*PI())</f>
        <v>4.2376081433446851E-6</v>
      </c>
      <c r="G74" s="108" t="str">
        <f t="shared" si="62"/>
        <v>1;07X1163X5</v>
      </c>
      <c r="H74" s="43">
        <v>-5</v>
      </c>
      <c r="I74" s="62">
        <f t="shared" si="34"/>
        <v>1.0544525095247446</v>
      </c>
      <c r="J74" s="44"/>
      <c r="K74" s="40" t="str">
        <f t="shared" si="35"/>
        <v>1</v>
      </c>
      <c r="L74" s="24">
        <f t="shared" si="48"/>
        <v>0.65343011429693476</v>
      </c>
      <c r="M74" s="41" t="str">
        <f t="shared" si="36"/>
        <v>0</v>
      </c>
      <c r="N74" s="24">
        <f t="shared" si="49"/>
        <v>7.8411613715632171</v>
      </c>
      <c r="O74" s="41" t="str">
        <f t="shared" si="37"/>
        <v>7</v>
      </c>
      <c r="P74" s="24">
        <f t="shared" si="50"/>
        <v>10.093936458758606</v>
      </c>
      <c r="Q74" s="41" t="str">
        <f t="shared" si="38"/>
        <v>X</v>
      </c>
      <c r="R74" s="24">
        <f t="shared" si="51"/>
        <v>1.1272375051032668</v>
      </c>
      <c r="S74" s="41" t="str">
        <f t="shared" si="39"/>
        <v>1</v>
      </c>
      <c r="T74" s="24">
        <f t="shared" si="52"/>
        <v>1.5268500612392018</v>
      </c>
      <c r="U74" s="41" t="str">
        <f t="shared" si="40"/>
        <v>1</v>
      </c>
      <c r="V74" s="24">
        <f t="shared" si="53"/>
        <v>6.322200734870421</v>
      </c>
      <c r="W74" s="41" t="str">
        <f t="shared" si="41"/>
        <v>6</v>
      </c>
      <c r="X74" s="24">
        <f t="shared" si="54"/>
        <v>3.866408818445052</v>
      </c>
      <c r="Y74" s="41" t="str">
        <f t="shared" si="42"/>
        <v>3</v>
      </c>
      <c r="Z74" s="24">
        <f t="shared" si="55"/>
        <v>10.396905821340624</v>
      </c>
      <c r="AA74" s="41" t="str">
        <f t="shared" si="43"/>
        <v>X</v>
      </c>
      <c r="AB74" s="24">
        <f t="shared" si="56"/>
        <v>4.7628698560874909</v>
      </c>
      <c r="AC74" s="41" t="str">
        <f t="shared" si="44"/>
        <v>5</v>
      </c>
      <c r="AD74" s="24">
        <f t="shared" si="57"/>
        <v>9.154438273049891</v>
      </c>
      <c r="AE74" s="41" t="str">
        <f t="shared" si="45"/>
        <v/>
      </c>
      <c r="AF74" s="24">
        <f t="shared" si="58"/>
        <v>1.8532592765986919</v>
      </c>
      <c r="AG74" s="41" t="str">
        <f t="shared" si="46"/>
        <v/>
      </c>
      <c r="AH74" s="24">
        <f t="shared" si="59"/>
        <v>10.239111319184303</v>
      </c>
      <c r="AI74" s="41" t="str">
        <f t="shared" si="47"/>
        <v/>
      </c>
    </row>
    <row r="75" spans="1:35" ht="14.25" customHeight="1" x14ac:dyDescent="0.2">
      <c r="A75" s="578"/>
      <c r="B75" s="30"/>
      <c r="C75" s="30"/>
      <c r="D75" s="29"/>
      <c r="E75" s="30"/>
      <c r="F75" s="29"/>
      <c r="G75" s="108"/>
      <c r="H75" s="43"/>
      <c r="I75" s="62"/>
      <c r="J75" s="44"/>
      <c r="K75" s="40"/>
      <c r="L75" s="24"/>
      <c r="M75" s="41"/>
      <c r="N75" s="24"/>
      <c r="O75" s="41"/>
      <c r="P75" s="24"/>
      <c r="Q75" s="41"/>
      <c r="R75" s="24"/>
      <c r="S75" s="41"/>
      <c r="T75" s="24"/>
      <c r="U75" s="41"/>
      <c r="V75" s="24"/>
      <c r="W75" s="41"/>
      <c r="X75" s="24"/>
      <c r="Y75" s="41"/>
      <c r="Z75" s="24"/>
      <c r="AA75" s="41"/>
      <c r="AB75" s="24"/>
      <c r="AC75" s="41"/>
      <c r="AD75" s="24"/>
      <c r="AE75" s="41"/>
      <c r="AF75" s="24"/>
      <c r="AG75" s="41"/>
      <c r="AH75" s="24"/>
      <c r="AI75" s="41"/>
    </row>
    <row r="76" spans="1:35" ht="14.25" customHeight="1" x14ac:dyDescent="0.2">
      <c r="A76" s="578"/>
      <c r="B76" s="30"/>
      <c r="C76" s="30"/>
      <c r="D76" s="29"/>
      <c r="E76" s="30"/>
      <c r="F76" s="29"/>
      <c r="G76" s="108"/>
      <c r="H76" s="43"/>
      <c r="I76" s="62"/>
      <c r="J76" s="44"/>
      <c r="K76" s="40"/>
      <c r="L76" s="24"/>
      <c r="M76" s="41"/>
      <c r="N76" s="24"/>
      <c r="O76" s="41"/>
      <c r="P76" s="24"/>
      <c r="Q76" s="41"/>
      <c r="R76" s="24"/>
      <c r="S76" s="41"/>
      <c r="T76" s="24"/>
      <c r="U76" s="41"/>
      <c r="V76" s="24"/>
      <c r="W76" s="41"/>
      <c r="X76" s="24"/>
      <c r="Y76" s="41"/>
      <c r="Z76" s="24"/>
      <c r="AA76" s="41"/>
      <c r="AB76" s="24"/>
      <c r="AC76" s="41"/>
      <c r="AD76" s="24"/>
      <c r="AE76" s="41"/>
      <c r="AF76" s="24"/>
      <c r="AG76" s="41"/>
      <c r="AH76" s="24"/>
      <c r="AI76" s="41"/>
    </row>
    <row r="77" spans="1:35" ht="14.25" customHeight="1" x14ac:dyDescent="0.2">
      <c r="A77" s="578"/>
      <c r="B77" s="30" t="s">
        <v>339</v>
      </c>
      <c r="C77" s="30"/>
      <c r="D77" s="29"/>
      <c r="E77" s="30">
        <v>12</v>
      </c>
      <c r="F77" s="29">
        <f>POWER(2,43)</f>
        <v>8796093022208</v>
      </c>
      <c r="G77" s="108" t="str">
        <f t="shared" si="62"/>
        <v>0;EX08X990X0X8</v>
      </c>
      <c r="H77" s="43">
        <v>12</v>
      </c>
      <c r="I77" s="62">
        <f t="shared" si="34"/>
        <v>0.98654036854514426</v>
      </c>
      <c r="J77" s="44"/>
      <c r="K77" s="40" t="str">
        <f t="shared" si="35"/>
        <v>0</v>
      </c>
      <c r="L77" s="24">
        <f t="shared" si="48"/>
        <v>11.838484422541731</v>
      </c>
      <c r="M77" s="41" t="str">
        <f t="shared" si="36"/>
        <v>E</v>
      </c>
      <c r="N77" s="24">
        <f t="shared" si="49"/>
        <v>10.061813070500769</v>
      </c>
      <c r="O77" s="41" t="str">
        <f t="shared" si="37"/>
        <v>X</v>
      </c>
      <c r="P77" s="24">
        <f t="shared" si="50"/>
        <v>0.74175684600922409</v>
      </c>
      <c r="Q77" s="41" t="str">
        <f t="shared" si="38"/>
        <v>0</v>
      </c>
      <c r="R77" s="24">
        <f t="shared" si="51"/>
        <v>8.9010821521106891</v>
      </c>
      <c r="S77" s="41" t="str">
        <f t="shared" si="39"/>
        <v>8</v>
      </c>
      <c r="T77" s="24">
        <f t="shared" si="52"/>
        <v>10.812985825328269</v>
      </c>
      <c r="U77" s="41" t="str">
        <f t="shared" si="40"/>
        <v>X</v>
      </c>
      <c r="V77" s="24">
        <f t="shared" si="53"/>
        <v>9.7558299039392296</v>
      </c>
      <c r="W77" s="41" t="str">
        <f t="shared" si="41"/>
        <v>9</v>
      </c>
      <c r="X77" s="24">
        <f t="shared" si="54"/>
        <v>9.0699588472707546</v>
      </c>
      <c r="Y77" s="41" t="str">
        <f t="shared" si="42"/>
        <v>9</v>
      </c>
      <c r="Z77" s="24">
        <f t="shared" si="55"/>
        <v>0.83950616724905558</v>
      </c>
      <c r="AA77" s="41" t="str">
        <f t="shared" si="43"/>
        <v>0</v>
      </c>
      <c r="AB77" s="24">
        <f t="shared" si="56"/>
        <v>10.074074006988667</v>
      </c>
      <c r="AC77" s="41" t="str">
        <f t="shared" si="44"/>
        <v>X</v>
      </c>
      <c r="AD77" s="24">
        <f t="shared" si="57"/>
        <v>0.88888808386400342</v>
      </c>
      <c r="AE77" s="41" t="str">
        <f t="shared" si="45"/>
        <v>0</v>
      </c>
      <c r="AF77" s="24">
        <f t="shared" si="58"/>
        <v>10.666657006368041</v>
      </c>
      <c r="AG77" s="41" t="str">
        <f t="shared" si="46"/>
        <v>X</v>
      </c>
      <c r="AH77" s="24">
        <f t="shared" si="59"/>
        <v>7.9998840764164925</v>
      </c>
      <c r="AI77" s="41" t="str">
        <f t="shared" si="47"/>
        <v>8</v>
      </c>
    </row>
    <row r="78" spans="1:35" ht="14.25" customHeight="1" x14ac:dyDescent="0.2">
      <c r="A78" s="578"/>
      <c r="B78" s="30" t="s">
        <v>645</v>
      </c>
      <c r="C78" s="30"/>
      <c r="D78" s="29"/>
      <c r="E78" s="30">
        <v>12</v>
      </c>
      <c r="F78" s="29">
        <f>POWER(12,16)/POWER(2,48)</f>
        <v>656.84083557128906</v>
      </c>
      <c r="G78" s="108" t="str">
        <f t="shared" si="62"/>
        <v>4;68X10E696900</v>
      </c>
      <c r="H78" s="43">
        <v>2</v>
      </c>
      <c r="I78" s="62">
        <f t="shared" si="34"/>
        <v>4.5613946914672852</v>
      </c>
      <c r="J78" s="44"/>
      <c r="K78" s="40" t="str">
        <f t="shared" si="35"/>
        <v>4</v>
      </c>
      <c r="L78" s="24">
        <f t="shared" si="48"/>
        <v>6.7367362976074219</v>
      </c>
      <c r="M78" s="41" t="str">
        <f t="shared" si="36"/>
        <v>6</v>
      </c>
      <c r="N78" s="24">
        <f t="shared" si="49"/>
        <v>8.8408355712890625</v>
      </c>
      <c r="O78" s="41" t="str">
        <f t="shared" si="37"/>
        <v>8</v>
      </c>
      <c r="P78" s="24">
        <f t="shared" si="50"/>
        <v>10.09002685546875</v>
      </c>
      <c r="Q78" s="41" t="str">
        <f t="shared" si="38"/>
        <v>X</v>
      </c>
      <c r="R78" s="24">
        <f t="shared" si="51"/>
        <v>1.080322265625</v>
      </c>
      <c r="S78" s="41" t="str">
        <f t="shared" si="39"/>
        <v>1</v>
      </c>
      <c r="T78" s="24">
        <f t="shared" si="52"/>
        <v>0.9638671875</v>
      </c>
      <c r="U78" s="41" t="str">
        <f t="shared" si="40"/>
        <v>0</v>
      </c>
      <c r="V78" s="24">
        <f t="shared" si="53"/>
        <v>11.56640625</v>
      </c>
      <c r="W78" s="41" t="str">
        <f t="shared" si="41"/>
        <v>E</v>
      </c>
      <c r="X78" s="24">
        <f t="shared" si="54"/>
        <v>6.796875</v>
      </c>
      <c r="Y78" s="41" t="str">
        <f t="shared" si="42"/>
        <v>6</v>
      </c>
      <c r="Z78" s="24">
        <f t="shared" si="55"/>
        <v>9.5625</v>
      </c>
      <c r="AA78" s="41" t="str">
        <f t="shared" si="43"/>
        <v>9</v>
      </c>
      <c r="AB78" s="24">
        <f t="shared" si="56"/>
        <v>6.75</v>
      </c>
      <c r="AC78" s="41" t="str">
        <f t="shared" si="44"/>
        <v>6</v>
      </c>
      <c r="AD78" s="24">
        <f t="shared" si="57"/>
        <v>9</v>
      </c>
      <c r="AE78" s="41" t="str">
        <f t="shared" si="45"/>
        <v>9</v>
      </c>
      <c r="AF78" s="24">
        <f t="shared" si="58"/>
        <v>0</v>
      </c>
      <c r="AG78" s="41" t="str">
        <f t="shared" si="46"/>
        <v>0</v>
      </c>
      <c r="AH78" s="24">
        <f t="shared" si="59"/>
        <v>0</v>
      </c>
      <c r="AI78" s="41" t="str">
        <f t="shared" si="47"/>
        <v>0</v>
      </c>
    </row>
    <row r="79" spans="1:35" ht="14.25" customHeight="1" thickBot="1" x14ac:dyDescent="0.25">
      <c r="A79" s="579"/>
      <c r="B79" s="33" t="s">
        <v>340</v>
      </c>
      <c r="C79" s="33"/>
      <c r="D79" s="32"/>
      <c r="E79" s="33">
        <v>12</v>
      </c>
      <c r="F79" s="32">
        <f>POWER(2,-17)*(2*PI())</f>
        <v>4.7936899621426287E-5</v>
      </c>
      <c r="G79" s="47" t="str">
        <f t="shared" si="62"/>
        <v>0;EE17EX582521</v>
      </c>
      <c r="H79" s="48">
        <v>-4</v>
      </c>
      <c r="I79" s="63">
        <f t="shared" si="34"/>
        <v>0.99401955054989555</v>
      </c>
      <c r="J79" s="49"/>
      <c r="K79" s="40" t="str">
        <f t="shared" si="35"/>
        <v>0</v>
      </c>
      <c r="L79" s="24">
        <f t="shared" si="48"/>
        <v>11.928234606598746</v>
      </c>
      <c r="M79" s="41" t="str">
        <f t="shared" si="36"/>
        <v>E</v>
      </c>
      <c r="N79" s="24">
        <f t="shared" si="49"/>
        <v>11.138815279184954</v>
      </c>
      <c r="O79" s="41" t="str">
        <f t="shared" si="37"/>
        <v>E</v>
      </c>
      <c r="P79" s="24">
        <f t="shared" si="50"/>
        <v>1.6657833502194421</v>
      </c>
      <c r="Q79" s="41" t="str">
        <f t="shared" si="38"/>
        <v>1</v>
      </c>
      <c r="R79" s="24">
        <f t="shared" si="51"/>
        <v>7.9894002026333055</v>
      </c>
      <c r="S79" s="41" t="str">
        <f t="shared" si="39"/>
        <v>7</v>
      </c>
      <c r="T79" s="24">
        <f t="shared" si="52"/>
        <v>11.872802431599666</v>
      </c>
      <c r="U79" s="41" t="str">
        <f t="shared" si="40"/>
        <v>E</v>
      </c>
      <c r="V79" s="24">
        <f t="shared" si="53"/>
        <v>10.473629179195996</v>
      </c>
      <c r="W79" s="41" t="str">
        <f t="shared" si="41"/>
        <v>X</v>
      </c>
      <c r="X79" s="24">
        <f t="shared" si="54"/>
        <v>5.6835501503519481</v>
      </c>
      <c r="Y79" s="41" t="str">
        <f t="shared" si="42"/>
        <v>5</v>
      </c>
      <c r="Z79" s="24">
        <f t="shared" si="55"/>
        <v>8.2026018042233773</v>
      </c>
      <c r="AA79" s="41" t="str">
        <f t="shared" si="43"/>
        <v>8</v>
      </c>
      <c r="AB79" s="24">
        <f t="shared" si="56"/>
        <v>2.4312216506805271</v>
      </c>
      <c r="AC79" s="41" t="str">
        <f t="shared" si="44"/>
        <v>2</v>
      </c>
      <c r="AD79" s="24">
        <f t="shared" si="57"/>
        <v>5.1746598081663251</v>
      </c>
      <c r="AE79" s="41" t="str">
        <f t="shared" si="45"/>
        <v>5</v>
      </c>
      <c r="AF79" s="24">
        <f t="shared" si="58"/>
        <v>2.0959176979959011</v>
      </c>
      <c r="AG79" s="41" t="str">
        <f t="shared" si="46"/>
        <v>2</v>
      </c>
      <c r="AH79" s="24">
        <f t="shared" si="59"/>
        <v>1.1510123759508133</v>
      </c>
      <c r="AI79" s="41" t="str">
        <f t="shared" si="47"/>
        <v>1</v>
      </c>
    </row>
    <row r="80" spans="1:35" x14ac:dyDescent="0.2">
      <c r="I80" s="79"/>
      <c r="J80" s="79"/>
      <c r="K80" s="79"/>
    </row>
    <row r="81" spans="1:35" ht="15" customHeight="1" x14ac:dyDescent="0.2">
      <c r="B81" s="3" t="s">
        <v>264</v>
      </c>
      <c r="C81" s="3" t="str">
        <f>Rydberg!C34</f>
        <v>Ω_1/m</v>
      </c>
      <c r="D81" s="21">
        <f>Rydberg!D34*D82</f>
        <v>10967758.340274228</v>
      </c>
      <c r="E81" s="8">
        <v>12</v>
      </c>
      <c r="F81" s="21">
        <f>D81/(1/F$3)</f>
        <v>3242978.7306091846</v>
      </c>
      <c r="G81" s="37" t="str">
        <f t="shared" ref="G81" si="63">K81&amp;";"&amp;M81&amp;O81&amp;Q81&amp;S81&amp;U81&amp;W81&amp;Y81&amp;AA81&amp;AC81&amp;AE81&amp;AG81&amp;AI81</f>
        <v>1;1048828925XE</v>
      </c>
      <c r="H81" s="38">
        <v>6</v>
      </c>
      <c r="I81" s="61">
        <f>F81/POWER(12,H81)</f>
        <v>1.0860670152985363</v>
      </c>
      <c r="J81" s="39"/>
      <c r="K81" s="40" t="str">
        <f t="shared" ref="K81" si="64">IF($E81&gt;=K$27,MID($H$27,IF($E81&gt;K$27,INT(I81),ROUND(I81,0))+1,1),"")</f>
        <v>1</v>
      </c>
      <c r="L81" s="24">
        <f t="shared" ref="L81" si="65">(I81-INT(I81))*12</f>
        <v>1.032804183582436</v>
      </c>
      <c r="M81" s="41" t="str">
        <f t="shared" ref="M81" si="66">IF($E81&gt;=M$27,MID($H$27,IF($E81&gt;M$27,INT(L81),ROUND(L81,0))+1,1),"")</f>
        <v>1</v>
      </c>
      <c r="N81" s="24">
        <f t="shared" ref="N81" si="67">(L81-INT(L81))*12</f>
        <v>0.3936502029892317</v>
      </c>
      <c r="O81" s="41" t="str">
        <f t="shared" ref="O81" si="68">IF($E81&gt;=O$27,MID($H$27,IF($E81&gt;O$27,INT(N81),ROUND(N81,0))+1,1),"")</f>
        <v>0</v>
      </c>
      <c r="P81" s="24">
        <f t="shared" ref="P81" si="69">(N81-INT(N81))*12</f>
        <v>4.7238024358707804</v>
      </c>
      <c r="Q81" s="41" t="str">
        <f t="shared" ref="Q81" si="70">IF($E81&gt;=Q$27,MID($H$27,IF($E81&gt;Q$27,INT(P81),ROUND(P81,0))+1,1),"")</f>
        <v>4</v>
      </c>
      <c r="R81" s="24">
        <f t="shared" ref="R81" si="71">(P81-INT(P81))*12</f>
        <v>8.685629230449365</v>
      </c>
      <c r="S81" s="41" t="str">
        <f t="shared" ref="S81" si="72">IF($E81&gt;=S$27,MID($H$27,IF($E81&gt;S$27,INT(R81),ROUND(R81,0))+1,1),"")</f>
        <v>8</v>
      </c>
      <c r="T81" s="24">
        <f t="shared" ref="T81" si="73">(R81-INT(R81))*12</f>
        <v>8.2275507653923796</v>
      </c>
      <c r="U81" s="41" t="str">
        <f t="shared" ref="U81" si="74">IF($E81&gt;=U$27,MID($H$27,IF($E81&gt;U$27,INT(T81),ROUND(T81,0))+1,1),"")</f>
        <v>8</v>
      </c>
      <c r="V81" s="24">
        <f t="shared" ref="V81" si="75">(T81-INT(T81))*12</f>
        <v>2.7306091847085554</v>
      </c>
      <c r="W81" s="41" t="str">
        <f t="shared" ref="W81" si="76">IF($E81&gt;=W$27,MID($H$27,IF($E81&gt;W$27,INT(V81),ROUND(V81,0))+1,1),"")</f>
        <v>2</v>
      </c>
      <c r="X81" s="24">
        <f t="shared" ref="X81" si="77">(V81-INT(V81))*12</f>
        <v>8.7673102165026648</v>
      </c>
      <c r="Y81" s="41" t="str">
        <f t="shared" ref="Y81" si="78">IF($E81&gt;=Y$27,MID($H$27,IF($E81&gt;Y$27,INT(X81),ROUND(X81,0))+1,1),"")</f>
        <v>8</v>
      </c>
      <c r="Z81" s="24">
        <f t="shared" ref="Z81" si="79">(X81-INT(X81))*12</f>
        <v>9.2077225980319781</v>
      </c>
      <c r="AA81" s="41" t="str">
        <f t="shared" ref="AA81" si="80">IF($E81&gt;=AA$27,MID($H$27,IF($E81&gt;AA$27,INT(Z81),ROUND(Z81,0))+1,1),"")</f>
        <v>9</v>
      </c>
      <c r="AB81" s="24">
        <f t="shared" ref="AB81" si="81">(Z81-INT(Z81))*12</f>
        <v>2.4926711763837375</v>
      </c>
      <c r="AC81" s="41" t="str">
        <f t="shared" ref="AC81" si="82">IF($E81&gt;=AC$27,MID($H$27,IF($E81&gt;AC$27,INT(AB81),ROUND(AB81,0))+1,1),"")</f>
        <v>2</v>
      </c>
      <c r="AD81" s="24">
        <f t="shared" ref="AD81" si="83">(AB81-INT(AB81))*12</f>
        <v>5.9120541166048497</v>
      </c>
      <c r="AE81" s="41" t="str">
        <f t="shared" ref="AE81" si="84">IF($E81&gt;=AE$27,MID($H$27,IF($E81&gt;AE$27,INT(AD81),ROUND(AD81,0))+1,1),"")</f>
        <v>5</v>
      </c>
      <c r="AF81" s="24">
        <f t="shared" ref="AF81" si="85">(AD81-INT(AD81))*12</f>
        <v>10.944649399258196</v>
      </c>
      <c r="AG81" s="41" t="str">
        <f t="shared" ref="AG81" si="86">IF($E81&gt;=AG$27,MID($H$27,IF($E81&gt;AG$27,INT(AF81),ROUND(AF81,0))+1,1),"")</f>
        <v>X</v>
      </c>
      <c r="AH81" s="24">
        <f t="shared" ref="AH81" si="87">(AF81-INT(AF81))*12</f>
        <v>11.335792791098356</v>
      </c>
      <c r="AI81" s="41" t="str">
        <f t="shared" ref="AI81" si="88">IF($E81&gt;=AI$27,MID($H$27,IF($E81&gt;AI$27,INT(AH81),ROUND(AH81,0))+1,1),"")</f>
        <v>E</v>
      </c>
    </row>
    <row r="82" spans="1:35" x14ac:dyDescent="0.2">
      <c r="B82" s="137" t="s">
        <v>265</v>
      </c>
      <c r="D82" s="14">
        <f>1/(1+0.00054461702177)</f>
        <v>0.99945567942448077</v>
      </c>
    </row>
    <row r="84" spans="1:35" x14ac:dyDescent="0.2">
      <c r="B84" s="14" t="s">
        <v>1076</v>
      </c>
      <c r="I84" s="288"/>
    </row>
    <row r="85" spans="1:35" x14ac:dyDescent="0.2">
      <c r="B85" s="107" t="s">
        <v>1105</v>
      </c>
      <c r="C85" s="30" t="s">
        <v>1109</v>
      </c>
      <c r="D85" s="30">
        <f>solar_luminosity!C9</f>
        <v>2.5750450803308646E-6</v>
      </c>
      <c r="E85" s="30">
        <v>6</v>
      </c>
      <c r="F85" s="29">
        <f>D85/F$25</f>
        <v>1.908550798530231E-7</v>
      </c>
      <c r="G85" s="37" t="str">
        <f t="shared" ref="G85:G88" si="89">K85&amp;";"&amp;M85&amp;O85&amp;Q85&amp;S85&amp;U85&amp;W85&amp;Y85&amp;AA85&amp;AC85&amp;AE85&amp;AG85&amp;AI85</f>
        <v>6;X092E1</v>
      </c>
      <c r="H85" s="38">
        <v>-7</v>
      </c>
      <c r="I85" s="61">
        <f t="shared" ref="I85:I88" si="90">F85/POWER(12,H85)</f>
        <v>6.8386825771181927</v>
      </c>
      <c r="J85" s="39"/>
      <c r="K85" s="40" t="str">
        <f t="shared" ref="K85:K88" si="91">IF($E85&gt;=K$27,MID($H$27,IF($E85&gt;K$27,INT(I85),ROUND(I85,0))+1,1),"")</f>
        <v>6</v>
      </c>
      <c r="L85" s="24">
        <f t="shared" ref="L85:L88" si="92">(I85-INT(I85))*12</f>
        <v>10.064190925418313</v>
      </c>
      <c r="M85" s="41" t="str">
        <f t="shared" ref="M85:M88" si="93">IF($E85&gt;=M$27,MID($H$27,IF($E85&gt;M$27,INT(L85),ROUND(L85,0))+1,1),"")</f>
        <v>X</v>
      </c>
      <c r="N85" s="24">
        <f t="shared" ref="N85:N88" si="94">(L85-INT(L85))*12</f>
        <v>0.7702911050197514</v>
      </c>
      <c r="O85" s="41" t="str">
        <f t="shared" ref="O85:O88" si="95">IF($E85&gt;=O$27,MID($H$27,IF($E85&gt;O$27,INT(N85),ROUND(N85,0))+1,1),"")</f>
        <v>0</v>
      </c>
      <c r="P85" s="24">
        <f t="shared" ref="P85:P88" si="96">(N85-INT(N85))*12</f>
        <v>9.2434932602370168</v>
      </c>
      <c r="Q85" s="41" t="str">
        <f t="shared" ref="Q85:Q88" si="97">IF($E85&gt;=Q$27,MID($H$27,IF($E85&gt;Q$27,INT(P85),ROUND(P85,0))+1,1),"")</f>
        <v>9</v>
      </c>
      <c r="R85" s="24">
        <f t="shared" ref="R85:R88" si="98">(P85-INT(P85))*12</f>
        <v>2.9219191228442014</v>
      </c>
      <c r="S85" s="41" t="str">
        <f t="shared" ref="S85:S88" si="99">IF($E85&gt;=S$27,MID($H$27,IF($E85&gt;S$27,INT(R85),ROUND(R85,0))+1,1),"")</f>
        <v>2</v>
      </c>
      <c r="T85" s="24">
        <f t="shared" ref="T85:T88" si="100">(R85-INT(R85))*12</f>
        <v>11.063029474130417</v>
      </c>
      <c r="U85" s="41" t="str">
        <f t="shared" ref="U85:U88" si="101">IF($E85&gt;=U$27,MID($H$27,IF($E85&gt;U$27,INT(T85),ROUND(T85,0))+1,1),"")</f>
        <v>E</v>
      </c>
      <c r="V85" s="24">
        <f t="shared" ref="V85:V88" si="102">(T85-INT(T85))*12</f>
        <v>0.75635368956500315</v>
      </c>
      <c r="W85" s="41" t="str">
        <f t="shared" ref="W85:W88" si="103">IF($E85&gt;=W$27,MID($H$27,IF($E85&gt;W$27,INT(V85),ROUND(V85,0))+1,1),"")</f>
        <v>1</v>
      </c>
      <c r="X85" s="24">
        <f t="shared" ref="X85:X88" si="104">(V85-INT(V85))*12</f>
        <v>9.0762442747800378</v>
      </c>
      <c r="Y85" s="41" t="str">
        <f t="shared" ref="Y85:Y88" si="105">IF($E85&gt;=Y$27,MID($H$27,IF($E85&gt;Y$27,INT(X85),ROUND(X85,0))+1,1),"")</f>
        <v/>
      </c>
      <c r="Z85" s="24">
        <f t="shared" ref="Z85:Z88" si="106">(X85-INT(X85))*12</f>
        <v>0.91493129736045375</v>
      </c>
      <c r="AA85" s="41" t="str">
        <f t="shared" ref="AA85:AA88" si="107">IF($E85&gt;=AA$27,MID($H$27,IF($E85&gt;AA$27,INT(Z85),ROUND(Z85,0))+1,1),"")</f>
        <v/>
      </c>
      <c r="AB85" s="24">
        <f t="shared" ref="AB85:AB88" si="108">(Z85-INT(Z85))*12</f>
        <v>10.979175568325445</v>
      </c>
      <c r="AC85" s="41" t="str">
        <f t="shared" ref="AC85:AC88" si="109">IF($E85&gt;=AC$27,MID($H$27,IF($E85&gt;AC$27,INT(AB85),ROUND(AB85,0))+1,1),"")</f>
        <v/>
      </c>
      <c r="AD85" s="24">
        <f t="shared" ref="AD85:AD88" si="110">(AB85-INT(AB85))*12</f>
        <v>11.750106819905341</v>
      </c>
      <c r="AE85" s="41" t="str">
        <f t="shared" ref="AE85:AE88" si="111">IF($E85&gt;=AE$27,MID($H$27,IF($E85&gt;AE$27,INT(AD85),ROUND(AD85,0))+1,1),"")</f>
        <v/>
      </c>
      <c r="AF85" s="24">
        <f t="shared" ref="AF85:AF88" si="112">(AD85-INT(AD85))*12</f>
        <v>9.0012818388640881</v>
      </c>
      <c r="AG85" s="41" t="str">
        <f t="shared" ref="AG85:AG88" si="113">IF($E85&gt;=AG$27,MID($H$27,IF($E85&gt;AG$27,INT(AF85),ROUND(AF85,0))+1,1),"")</f>
        <v/>
      </c>
      <c r="AH85" s="24">
        <f t="shared" ref="AH85:AH88" si="114">(AF85-INT(AF85))*12</f>
        <v>1.5382066369056702E-2</v>
      </c>
      <c r="AI85" s="41" t="str">
        <f t="shared" ref="AI85:AI88" si="115">IF($E85&gt;=AI$27,MID($H$27,IF($E85&gt;AI$27,INT(AH85),ROUND(AH85,0))+1,1),"")</f>
        <v/>
      </c>
    </row>
    <row r="86" spans="1:35" x14ac:dyDescent="0.2">
      <c r="B86" s="107" t="s">
        <v>1106</v>
      </c>
      <c r="C86" s="30" t="s">
        <v>1110</v>
      </c>
      <c r="D86" s="30">
        <f>solar_luminosity!C14</f>
        <v>7.8136058826780172E-9</v>
      </c>
      <c r="E86" s="30">
        <v>6</v>
      </c>
      <c r="F86" s="29">
        <f t="shared" ref="F86:F88" si="116">D86/F$25</f>
        <v>5.7912243403791321E-10</v>
      </c>
      <c r="G86" s="37" t="str">
        <f t="shared" si="89"/>
        <v>2;EX361</v>
      </c>
      <c r="H86" s="38">
        <v>-9</v>
      </c>
      <c r="I86" s="61">
        <f t="shared" si="90"/>
        <v>2.9881445565512408</v>
      </c>
      <c r="J86" s="39"/>
      <c r="K86" s="40" t="str">
        <f t="shared" si="91"/>
        <v>2</v>
      </c>
      <c r="L86" s="24">
        <f t="shared" si="92"/>
        <v>11.857734678614889</v>
      </c>
      <c r="M86" s="41" t="str">
        <f t="shared" si="93"/>
        <v>E</v>
      </c>
      <c r="N86" s="24">
        <f t="shared" si="94"/>
        <v>10.292816143378673</v>
      </c>
      <c r="O86" s="41" t="str">
        <f t="shared" si="95"/>
        <v>X</v>
      </c>
      <c r="P86" s="24">
        <f t="shared" si="96"/>
        <v>3.5137937205440721</v>
      </c>
      <c r="Q86" s="41" t="str">
        <f t="shared" si="97"/>
        <v>3</v>
      </c>
      <c r="R86" s="24">
        <f t="shared" si="98"/>
        <v>6.1655246465288656</v>
      </c>
      <c r="S86" s="41" t="str">
        <f t="shared" si="99"/>
        <v>6</v>
      </c>
      <c r="T86" s="24">
        <f t="shared" si="100"/>
        <v>1.9862957583463867</v>
      </c>
      <c r="U86" s="41" t="str">
        <f t="shared" si="101"/>
        <v>1</v>
      </c>
      <c r="V86" s="24">
        <f t="shared" si="102"/>
        <v>11.835549100156641</v>
      </c>
      <c r="W86" s="41" t="str">
        <f t="shared" si="103"/>
        <v/>
      </c>
      <c r="X86" s="24">
        <f t="shared" si="104"/>
        <v>10.026589201879688</v>
      </c>
      <c r="Y86" s="41" t="str">
        <f t="shared" si="105"/>
        <v/>
      </c>
      <c r="Z86" s="24">
        <f t="shared" si="106"/>
        <v>0.31907042255625129</v>
      </c>
      <c r="AA86" s="41" t="str">
        <f t="shared" si="107"/>
        <v/>
      </c>
      <c r="AB86" s="24">
        <f t="shared" si="108"/>
        <v>3.8288450706750154</v>
      </c>
      <c r="AC86" s="41" t="str">
        <f t="shared" si="109"/>
        <v/>
      </c>
      <c r="AD86" s="24">
        <f t="shared" si="110"/>
        <v>9.9461408481001854</v>
      </c>
      <c r="AE86" s="41" t="str">
        <f t="shared" si="111"/>
        <v/>
      </c>
      <c r="AF86" s="24">
        <f t="shared" si="112"/>
        <v>11.353690177202225</v>
      </c>
      <c r="AG86" s="41" t="str">
        <f t="shared" si="113"/>
        <v/>
      </c>
      <c r="AH86" s="24">
        <f t="shared" si="114"/>
        <v>4.2442821264266968</v>
      </c>
      <c r="AI86" s="41" t="str">
        <f t="shared" si="115"/>
        <v/>
      </c>
    </row>
    <row r="87" spans="1:35" x14ac:dyDescent="0.2">
      <c r="A87" s="384"/>
      <c r="B87" s="107" t="s">
        <v>1107</v>
      </c>
      <c r="C87" s="8"/>
      <c r="D87" s="8">
        <f>solar_luminosity!C12</f>
        <v>1.0251439109782231E-8</v>
      </c>
      <c r="E87" s="8">
        <v>6</v>
      </c>
      <c r="F87" s="21">
        <f t="shared" si="116"/>
        <v>7.598077582604878E-10</v>
      </c>
      <c r="G87" s="37" t="str">
        <f t="shared" si="89"/>
        <v>3;E06633</v>
      </c>
      <c r="H87" s="38">
        <v>-9</v>
      </c>
      <c r="I87" s="61">
        <f t="shared" si="90"/>
        <v>3.920441142369631</v>
      </c>
      <c r="J87" s="39"/>
      <c r="K87" s="40" t="str">
        <f t="shared" si="91"/>
        <v>3</v>
      </c>
      <c r="L87" s="24">
        <f t="shared" si="92"/>
        <v>11.045293708435572</v>
      </c>
      <c r="M87" s="41" t="str">
        <f t="shared" si="93"/>
        <v>E</v>
      </c>
      <c r="N87" s="24">
        <f t="shared" si="94"/>
        <v>0.54352450122686946</v>
      </c>
      <c r="O87" s="41" t="str">
        <f t="shared" si="95"/>
        <v>0</v>
      </c>
      <c r="P87" s="24">
        <f t="shared" si="96"/>
        <v>6.5222940147224335</v>
      </c>
      <c r="Q87" s="41" t="str">
        <f t="shared" si="97"/>
        <v>6</v>
      </c>
      <c r="R87" s="24">
        <f t="shared" si="98"/>
        <v>6.2675281766692024</v>
      </c>
      <c r="S87" s="41" t="str">
        <f t="shared" si="99"/>
        <v>6</v>
      </c>
      <c r="T87" s="24">
        <f t="shared" si="100"/>
        <v>3.2103381200304284</v>
      </c>
      <c r="U87" s="41" t="str">
        <f t="shared" si="101"/>
        <v>3</v>
      </c>
      <c r="V87" s="24">
        <f t="shared" si="102"/>
        <v>2.5240574403651408</v>
      </c>
      <c r="W87" s="41" t="str">
        <f t="shared" si="103"/>
        <v>3</v>
      </c>
      <c r="X87" s="24">
        <f t="shared" si="104"/>
        <v>6.2886892843816895</v>
      </c>
      <c r="Y87" s="41" t="str">
        <f t="shared" si="105"/>
        <v/>
      </c>
      <c r="Z87" s="24">
        <f t="shared" si="106"/>
        <v>3.464271412580274</v>
      </c>
      <c r="AA87" s="41" t="str">
        <f t="shared" si="107"/>
        <v/>
      </c>
      <c r="AB87" s="24">
        <f t="shared" si="108"/>
        <v>5.5712569509632885</v>
      </c>
      <c r="AC87" s="41" t="str">
        <f t="shared" si="109"/>
        <v/>
      </c>
      <c r="AD87" s="24">
        <f t="shared" si="110"/>
        <v>6.8550834115594625</v>
      </c>
      <c r="AE87" s="41" t="str">
        <f t="shared" si="111"/>
        <v/>
      </c>
      <c r="AF87" s="24">
        <f t="shared" si="112"/>
        <v>10.261000938713551</v>
      </c>
      <c r="AG87" s="41" t="str">
        <f t="shared" si="113"/>
        <v/>
      </c>
      <c r="AH87" s="24">
        <f t="shared" si="114"/>
        <v>3.1320112645626068</v>
      </c>
      <c r="AI87" s="41" t="str">
        <f t="shared" si="115"/>
        <v/>
      </c>
    </row>
    <row r="88" spans="1:35" x14ac:dyDescent="0.2">
      <c r="B88" s="107" t="s">
        <v>1108</v>
      </c>
      <c r="C88" s="385"/>
      <c r="D88" s="385">
        <f>solar_luminosity!C11</f>
        <v>2.5750450803308634E-8</v>
      </c>
      <c r="E88" s="385">
        <v>6</v>
      </c>
      <c r="F88" s="386">
        <f t="shared" si="116"/>
        <v>1.9085507985302302E-9</v>
      </c>
      <c r="G88" s="108" t="str">
        <f t="shared" si="89"/>
        <v>9;X209E7</v>
      </c>
      <c r="H88" s="38">
        <v>-9</v>
      </c>
      <c r="I88" s="61">
        <f t="shared" si="90"/>
        <v>9.8477029110501935</v>
      </c>
      <c r="J88" s="39"/>
      <c r="K88" s="40" t="str">
        <f t="shared" si="91"/>
        <v>9</v>
      </c>
      <c r="L88" s="24">
        <f t="shared" si="92"/>
        <v>10.172434932602322</v>
      </c>
      <c r="M88" s="41" t="str">
        <f t="shared" si="93"/>
        <v>X</v>
      </c>
      <c r="N88" s="24">
        <f t="shared" si="94"/>
        <v>2.0692191912278588</v>
      </c>
      <c r="O88" s="41" t="str">
        <f t="shared" si="95"/>
        <v>2</v>
      </c>
      <c r="P88" s="24">
        <f t="shared" si="96"/>
        <v>0.83063029473430561</v>
      </c>
      <c r="Q88" s="41" t="str">
        <f t="shared" si="97"/>
        <v>0</v>
      </c>
      <c r="R88" s="24">
        <f t="shared" si="98"/>
        <v>9.9675635368116673</v>
      </c>
      <c r="S88" s="41" t="str">
        <f t="shared" si="99"/>
        <v>9</v>
      </c>
      <c r="T88" s="24">
        <f t="shared" si="100"/>
        <v>11.610762441740007</v>
      </c>
      <c r="U88" s="41" t="str">
        <f t="shared" si="101"/>
        <v>E</v>
      </c>
      <c r="V88" s="24">
        <f t="shared" si="102"/>
        <v>7.3291493008800899</v>
      </c>
      <c r="W88" s="41" t="str">
        <f t="shared" si="103"/>
        <v>7</v>
      </c>
      <c r="X88" s="24">
        <f t="shared" si="104"/>
        <v>3.9497916105610784</v>
      </c>
      <c r="Y88" s="41" t="str">
        <f t="shared" si="105"/>
        <v/>
      </c>
      <c r="Z88" s="24">
        <f t="shared" si="106"/>
        <v>11.397499326732941</v>
      </c>
      <c r="AA88" s="41" t="str">
        <f t="shared" si="107"/>
        <v/>
      </c>
      <c r="AB88" s="24">
        <f t="shared" si="108"/>
        <v>4.7699919207952917</v>
      </c>
      <c r="AC88" s="41" t="str">
        <f t="shared" si="109"/>
        <v/>
      </c>
      <c r="AD88" s="24">
        <f t="shared" si="110"/>
        <v>9.2399030495434999</v>
      </c>
      <c r="AE88" s="41" t="str">
        <f t="shared" si="111"/>
        <v/>
      </c>
      <c r="AF88" s="24">
        <f t="shared" si="112"/>
        <v>2.8788365945219994</v>
      </c>
      <c r="AG88" s="41" t="str">
        <f t="shared" si="113"/>
        <v/>
      </c>
      <c r="AH88" s="24">
        <f t="shared" si="114"/>
        <v>10.546039134263992</v>
      </c>
      <c r="AI88" s="41" t="str">
        <f t="shared" si="115"/>
        <v/>
      </c>
    </row>
    <row r="89" spans="1:35" x14ac:dyDescent="0.2">
      <c r="B89" s="126" t="s">
        <v>1079</v>
      </c>
      <c r="C89" s="8"/>
      <c r="D89" s="8"/>
      <c r="E89" s="8">
        <v>6</v>
      </c>
      <c r="F89" s="21">
        <f>F85/F86</f>
        <v>329.55912020588113</v>
      </c>
      <c r="G89" s="37" t="str">
        <f t="shared" ref="G89" si="117">K89&amp;";"&amp;M89&amp;O89&amp;Q89&amp;S89&amp;U89&amp;W89&amp;Y89&amp;AA89&amp;AC89&amp;AE89&amp;AG89&amp;AI89</f>
        <v>2;356862</v>
      </c>
      <c r="H89" s="38">
        <v>2</v>
      </c>
      <c r="I89" s="61">
        <f t="shared" ref="I89" si="118">F89/POWER(12,H89)</f>
        <v>2.2886050014297301</v>
      </c>
      <c r="J89" s="39"/>
      <c r="K89" s="40" t="str">
        <f t="shared" ref="K89" si="119">IF($E89&gt;=K$27,MID($H$27,IF($E89&gt;K$27,INT(I89),ROUND(I89,0))+1,1),"")</f>
        <v>2</v>
      </c>
      <c r="L89" s="24">
        <f t="shared" ref="L89" si="120">(I89-INT(I89))*12</f>
        <v>3.4632600171567614</v>
      </c>
      <c r="M89" s="41" t="str">
        <f t="shared" ref="M89" si="121">IF($E89&gt;=M$27,MID($H$27,IF($E89&gt;M$27,INT(L89),ROUND(L89,0))+1,1),"")</f>
        <v>3</v>
      </c>
      <c r="N89" s="24">
        <f t="shared" ref="N89" si="122">(L89-INT(L89))*12</f>
        <v>5.5591202058811362</v>
      </c>
      <c r="O89" s="41" t="str">
        <f t="shared" ref="O89" si="123">IF($E89&gt;=O$27,MID($H$27,IF($E89&gt;O$27,INT(N89),ROUND(N89,0))+1,1),"")</f>
        <v>5</v>
      </c>
      <c r="P89" s="24">
        <f t="shared" ref="P89" si="124">(N89-INT(N89))*12</f>
        <v>6.7094424705736344</v>
      </c>
      <c r="Q89" s="41" t="str">
        <f t="shared" ref="Q89" si="125">IF($E89&gt;=Q$27,MID($H$27,IF($E89&gt;Q$27,INT(P89),ROUND(P89,0))+1,1),"")</f>
        <v>6</v>
      </c>
      <c r="R89" s="24">
        <f t="shared" ref="R89" si="126">(P89-INT(P89))*12</f>
        <v>8.5133096468836129</v>
      </c>
      <c r="S89" s="41" t="str">
        <f t="shared" ref="S89" si="127">IF($E89&gt;=S$27,MID($H$27,IF($E89&gt;S$27,INT(R89),ROUND(R89,0))+1,1),"")</f>
        <v>8</v>
      </c>
      <c r="T89" s="24">
        <f t="shared" ref="T89" si="128">(R89-INT(R89))*12</f>
        <v>6.159715762603355</v>
      </c>
      <c r="U89" s="41" t="str">
        <f t="shared" ref="U89" si="129">IF($E89&gt;=U$27,MID($H$27,IF($E89&gt;U$27,INT(T89),ROUND(T89,0))+1,1),"")</f>
        <v>6</v>
      </c>
      <c r="V89" s="24">
        <f t="shared" ref="V89" si="130">(T89-INT(T89))*12</f>
        <v>1.9165891512402595</v>
      </c>
      <c r="W89" s="41" t="str">
        <f t="shared" ref="W89" si="131">IF($E89&gt;=W$27,MID($H$27,IF($E89&gt;W$27,INT(V89),ROUND(V89,0))+1,1),"")</f>
        <v>2</v>
      </c>
      <c r="X89" s="24">
        <f t="shared" ref="X89" si="132">(V89-INT(V89))*12</f>
        <v>10.999069814883114</v>
      </c>
      <c r="Y89" s="41" t="str">
        <f t="shared" ref="Y89" si="133">IF($E89&gt;=Y$27,MID($H$27,IF($E89&gt;Y$27,INT(X89),ROUND(X89,0))+1,1),"")</f>
        <v/>
      </c>
      <c r="Z89" s="24">
        <f t="shared" ref="Z89" si="134">(X89-INT(X89))*12</f>
        <v>11.988837778597372</v>
      </c>
      <c r="AA89" s="41" t="str">
        <f t="shared" ref="AA89" si="135">IF($E89&gt;=AA$27,MID($H$27,IF($E89&gt;AA$27,INT(Z89),ROUND(Z89,0))+1,1),"")</f>
        <v/>
      </c>
      <c r="AB89" s="24">
        <f t="shared" ref="AB89" si="136">(Z89-INT(Z89))*12</f>
        <v>11.86605334316846</v>
      </c>
      <c r="AC89" s="41" t="str">
        <f t="shared" ref="AC89" si="137">IF($E89&gt;=AC$27,MID($H$27,IF($E89&gt;AC$27,INT(AB89),ROUND(AB89,0))+1,1),"")</f>
        <v/>
      </c>
      <c r="AD89" s="24">
        <f t="shared" ref="AD89" si="138">(AB89-INT(AB89))*12</f>
        <v>10.392640118021518</v>
      </c>
      <c r="AE89" s="41" t="str">
        <f t="shared" ref="AE89" si="139">IF($E89&gt;=AE$27,MID($H$27,IF($E89&gt;AE$27,INT(AD89),ROUND(AD89,0))+1,1),"")</f>
        <v/>
      </c>
      <c r="AF89" s="24">
        <f t="shared" ref="AF89" si="140">(AD89-INT(AD89))*12</f>
        <v>4.7116814162582159</v>
      </c>
      <c r="AG89" s="41" t="str">
        <f t="shared" ref="AG89" si="141">IF($E89&gt;=AG$27,MID($H$27,IF($E89&gt;AG$27,INT(AF89),ROUND(AF89,0))+1,1),"")</f>
        <v/>
      </c>
      <c r="AH89" s="24">
        <f t="shared" ref="AH89" si="142">(AF89-INT(AF89))*12</f>
        <v>8.5401769950985909</v>
      </c>
      <c r="AI89" s="41" t="str">
        <f t="shared" ref="AI89" si="143">IF($E89&gt;=AI$27,MID($H$27,IF($E89&gt;AI$27,INT(AH89),ROUND(AH89,0))+1,1),"")</f>
        <v/>
      </c>
    </row>
  </sheetData>
  <mergeCells count="5">
    <mergeCell ref="A62:A79"/>
    <mergeCell ref="K1:P1"/>
    <mergeCell ref="A27:A61"/>
    <mergeCell ref="H27:I27"/>
    <mergeCell ref="A1:A26"/>
  </mergeCells>
  <phoneticPr fontId="1"/>
  <printOptions horizontalCentered="1"/>
  <pageMargins left="0.70866141732283472" right="0.70866141732283472" top="0.74803149606299213" bottom="0.74803149606299213" header="0.31496062992125984" footer="0.31496062992125984"/>
  <pageSetup paperSize="9" scale="71" orientation="portrait" r:id="rId1"/>
  <headerFooter>
    <oddHeader>&amp;A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I89"/>
  <sheetViews>
    <sheetView workbookViewId="0">
      <selection activeCell="J2" sqref="J2"/>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4.6328125" style="14" customWidth="1"/>
    <col min="7" max="7" width="13.6328125" style="14" customWidth="1"/>
    <col min="8" max="8" width="3.6328125" style="14" customWidth="1"/>
    <col min="9" max="9" width="9.6328125" style="14" customWidth="1"/>
    <col min="10" max="10" width="14.6328125" style="14" customWidth="1"/>
    <col min="11" max="11" width="3.1796875" style="14" customWidth="1"/>
    <col min="12" max="12" width="8.6328125" style="14" customWidth="1"/>
    <col min="13" max="13" width="3.1796875" style="14" customWidth="1"/>
    <col min="14" max="14" width="9"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10.26953125" style="14" customWidth="1"/>
    <col min="37" max="37" width="10.1796875" style="14" customWidth="1"/>
    <col min="38" max="16384" width="9" style="14"/>
  </cols>
  <sheetData>
    <row r="1" spans="1:35" ht="11.25" customHeight="1" x14ac:dyDescent="0.2">
      <c r="A1" s="580" t="s">
        <v>26</v>
      </c>
      <c r="B1" s="17" t="s">
        <v>42</v>
      </c>
      <c r="C1" s="18" t="str">
        <f>Rydberg!C1</f>
        <v>Unit Symbol</v>
      </c>
      <c r="D1" s="17" t="s">
        <v>43</v>
      </c>
      <c r="E1" s="18" t="s">
        <v>44</v>
      </c>
      <c r="F1" s="17" t="s">
        <v>55</v>
      </c>
      <c r="G1" s="17" t="s">
        <v>203</v>
      </c>
      <c r="H1" s="19"/>
      <c r="I1" s="56" t="s">
        <v>46</v>
      </c>
      <c r="J1" s="20"/>
      <c r="K1" s="591"/>
      <c r="L1" s="592"/>
      <c r="M1" s="592"/>
      <c r="N1" s="592"/>
      <c r="O1" s="592"/>
      <c r="P1" s="592"/>
    </row>
    <row r="2" spans="1:35" ht="13.5" customHeight="1" x14ac:dyDescent="0.2">
      <c r="A2" s="581"/>
      <c r="B2" s="2" t="str">
        <f>Rydberg!B2</f>
        <v>Local Time</v>
      </c>
      <c r="C2" s="2"/>
      <c r="D2" s="21"/>
      <c r="E2" s="8"/>
      <c r="F2" s="8"/>
      <c r="G2" s="8"/>
      <c r="H2" s="8"/>
      <c r="I2" s="57"/>
      <c r="J2" s="22"/>
      <c r="K2" s="264"/>
      <c r="L2" s="263"/>
      <c r="M2" s="24"/>
      <c r="N2" s="262"/>
      <c r="O2" s="24"/>
      <c r="P2" s="80"/>
      <c r="Q2" s="24"/>
      <c r="R2" s="24"/>
      <c r="S2" s="24"/>
      <c r="T2" s="24"/>
      <c r="U2" s="24"/>
      <c r="V2" s="24"/>
      <c r="W2" s="24"/>
      <c r="X2" s="24"/>
      <c r="Y2" s="24"/>
      <c r="Z2" s="24"/>
      <c r="AA2" s="24"/>
      <c r="AB2" s="24"/>
      <c r="AC2" s="24"/>
      <c r="AD2" s="24"/>
      <c r="AE2" s="24"/>
      <c r="AF2" s="24"/>
      <c r="AG2" s="24"/>
      <c r="AH2" s="24"/>
      <c r="AI2" s="24"/>
    </row>
    <row r="3" spans="1:35" ht="13.5" customHeight="1" x14ac:dyDescent="0.2">
      <c r="A3" s="581"/>
      <c r="B3" s="2" t="str">
        <f>Rydberg!B3</f>
        <v>Length</v>
      </c>
      <c r="C3" s="7" t="s">
        <v>1392</v>
      </c>
      <c r="D3" s="28"/>
      <c r="E3" s="8"/>
      <c r="F3" s="21">
        <f>D31 * F4 / POWER(12,8)</f>
        <v>0.24209078396996714</v>
      </c>
      <c r="G3" s="26"/>
      <c r="H3" s="8">
        <v>-3</v>
      </c>
      <c r="I3" s="58">
        <f>F3/POWER(10,H3)</f>
        <v>242.09078396996713</v>
      </c>
      <c r="J3" s="118" t="str">
        <f>Rydberg!L3</f>
        <v>mm</v>
      </c>
      <c r="K3" s="23"/>
      <c r="L3" s="82">
        <f>-LOG(F3)/(LOG(12)-LOG(10))</f>
        <v>7.7798945321877229</v>
      </c>
      <c r="M3" s="24"/>
      <c r="N3" s="83">
        <f>POWER(12,L3)*F3/POWER(10,L3)</f>
        <v>0.99999999999999767</v>
      </c>
      <c r="O3" s="24"/>
      <c r="P3" s="80"/>
      <c r="Q3" s="24"/>
      <c r="R3" s="24">
        <v>11.641059550698177</v>
      </c>
      <c r="S3" s="24"/>
      <c r="T3" s="24"/>
      <c r="U3" s="24"/>
      <c r="V3" s="24"/>
      <c r="W3" s="24"/>
      <c r="X3" s="24"/>
      <c r="Y3" s="24"/>
      <c r="Z3" s="24"/>
      <c r="AA3" s="24"/>
      <c r="AB3" s="24"/>
      <c r="AC3" s="24"/>
      <c r="AD3" s="24"/>
      <c r="AE3" s="24"/>
      <c r="AF3" s="24"/>
      <c r="AG3" s="24"/>
      <c r="AH3" s="24"/>
      <c r="AI3" s="24"/>
    </row>
    <row r="4" spans="1:35" ht="13.5" customHeight="1" x14ac:dyDescent="0.2">
      <c r="A4" s="581"/>
      <c r="B4" s="2" t="str">
        <f>Rydberg!B4</f>
        <v>Time</v>
      </c>
      <c r="C4" s="7" t="s">
        <v>1391</v>
      </c>
      <c r="D4" s="28"/>
      <c r="E4" s="8"/>
      <c r="F4" s="21">
        <f>3191886105/9192631770</f>
        <v>0.34722223024495191</v>
      </c>
      <c r="G4" s="253"/>
      <c r="H4" s="8">
        <v>-3</v>
      </c>
      <c r="I4" s="58">
        <f t="shared" ref="I4:I26" si="0">F4/POWER(10,H4)</f>
        <v>347.2222302449519</v>
      </c>
      <c r="J4" s="118" t="str">
        <f>Rydberg!L4</f>
        <v>ms</v>
      </c>
      <c r="K4" s="23"/>
      <c r="L4" s="82">
        <f t="shared" ref="L4:L26" si="1">-LOG(F4)/(LOG(12)-LOG(10))</f>
        <v>5.8017838901947467</v>
      </c>
      <c r="M4" s="24"/>
      <c r="N4" s="83">
        <f t="shared" ref="N4:N26" si="2">POWER(12,L4)*F4/POWER(10,L4)</f>
        <v>0.99999999999999944</v>
      </c>
      <c r="O4" s="24"/>
      <c r="P4" s="24"/>
      <c r="Q4" s="24"/>
      <c r="R4" s="24"/>
      <c r="S4" s="24"/>
      <c r="T4" s="24"/>
      <c r="U4" s="24"/>
      <c r="V4" s="24"/>
      <c r="W4" s="24"/>
      <c r="X4" s="24"/>
      <c r="Y4" s="24"/>
      <c r="Z4" s="24"/>
      <c r="AA4" s="24"/>
      <c r="AB4" s="24"/>
      <c r="AC4" s="24"/>
      <c r="AD4" s="24"/>
      <c r="AE4" s="24"/>
      <c r="AF4" s="24"/>
      <c r="AG4" s="24"/>
      <c r="AH4" s="24"/>
      <c r="AI4" s="24"/>
    </row>
    <row r="5" spans="1:35" ht="13.5" customHeight="1" x14ac:dyDescent="0.2">
      <c r="A5" s="581"/>
      <c r="B5" s="2" t="str">
        <f>Rydberg!B5</f>
        <v>Energy</v>
      </c>
      <c r="C5" s="2" t="s">
        <v>1397</v>
      </c>
      <c r="D5" s="21"/>
      <c r="E5" s="8"/>
      <c r="F5" s="21">
        <f>D32*23804808*POWER(12,25)/F4</f>
        <v>6.8970674463340593</v>
      </c>
      <c r="G5" s="21"/>
      <c r="H5" s="8">
        <v>0</v>
      </c>
      <c r="I5" s="58">
        <f t="shared" si="0"/>
        <v>6.8970674463340593</v>
      </c>
      <c r="J5" s="118" t="s">
        <v>58</v>
      </c>
      <c r="K5" s="23"/>
      <c r="L5" s="82">
        <f t="shared" si="1"/>
        <v>-10.591705925737065</v>
      </c>
      <c r="M5" s="24"/>
      <c r="N5" s="83">
        <f t="shared" si="2"/>
        <v>1.0000000000000042</v>
      </c>
      <c r="O5" s="24"/>
      <c r="P5" s="24"/>
      <c r="Q5" s="24"/>
      <c r="R5" s="24"/>
      <c r="S5" s="24"/>
      <c r="T5" s="24"/>
      <c r="U5" s="24"/>
      <c r="V5" s="24"/>
      <c r="W5" s="24"/>
      <c r="X5" s="24"/>
      <c r="Y5" s="24"/>
      <c r="Z5" s="24"/>
      <c r="AA5" s="24"/>
      <c r="AB5" s="24"/>
      <c r="AC5" s="24"/>
      <c r="AD5" s="24"/>
      <c r="AE5" s="24"/>
      <c r="AF5" s="24"/>
      <c r="AG5" s="24"/>
      <c r="AH5" s="24"/>
      <c r="AI5" s="24"/>
    </row>
    <row r="6" spans="1:35" ht="13.5" customHeight="1" x14ac:dyDescent="0.2">
      <c r="A6" s="581"/>
      <c r="B6" s="2" t="str">
        <f>Rydberg!B6</f>
        <v>Temperature</v>
      </c>
      <c r="C6" s="2" t="s">
        <v>1395</v>
      </c>
      <c r="D6" s="21"/>
      <c r="E6" s="8"/>
      <c r="F6" s="21">
        <f>F5/(D33/21984218*POWER(12,29))</f>
        <v>0.55518289459035275</v>
      </c>
      <c r="G6" s="21"/>
      <c r="H6" s="8">
        <v>0</v>
      </c>
      <c r="I6" s="58">
        <f t="shared" si="0"/>
        <v>0.55518289459035275</v>
      </c>
      <c r="J6" s="118" t="s">
        <v>1393</v>
      </c>
      <c r="K6" s="23"/>
      <c r="L6" s="82">
        <f t="shared" si="1"/>
        <v>3.2275814778425111</v>
      </c>
      <c r="M6" s="24"/>
      <c r="N6" s="83">
        <f t="shared" si="2"/>
        <v>0.99999999999999867</v>
      </c>
      <c r="O6" s="24"/>
      <c r="P6" s="24"/>
      <c r="Q6" s="24"/>
      <c r="R6" s="24"/>
      <c r="S6" s="24"/>
      <c r="T6" s="24"/>
      <c r="U6" s="24"/>
      <c r="V6" s="24"/>
      <c r="W6" s="24"/>
      <c r="X6" s="24"/>
      <c r="Y6" s="24"/>
      <c r="Z6" s="24"/>
      <c r="AA6" s="24"/>
      <c r="AB6" s="24"/>
      <c r="AC6" s="24"/>
      <c r="AD6" s="24"/>
      <c r="AE6" s="24"/>
      <c r="AF6" s="24"/>
      <c r="AG6" s="24"/>
      <c r="AH6" s="24"/>
      <c r="AI6" s="24"/>
    </row>
    <row r="7" spans="1:35" ht="13.5" customHeight="1" x14ac:dyDescent="0.2">
      <c r="A7" s="581"/>
      <c r="B7" s="2" t="str">
        <f>Rydberg!B7</f>
        <v>Amount of substance</v>
      </c>
      <c r="C7" s="2" t="s">
        <v>1396</v>
      </c>
      <c r="D7" s="21"/>
      <c r="E7" s="8"/>
      <c r="F7" s="21">
        <f>F8*1000</f>
        <v>14188.059591008583</v>
      </c>
      <c r="G7" s="21"/>
      <c r="H7" s="8">
        <v>3</v>
      </c>
      <c r="I7" s="58">
        <f t="shared" si="0"/>
        <v>14.188059591008583</v>
      </c>
      <c r="J7" s="118" t="s">
        <v>647</v>
      </c>
      <c r="K7" s="23"/>
      <c r="L7" s="82">
        <f t="shared" si="1"/>
        <v>-52.435686619262995</v>
      </c>
      <c r="M7" s="24"/>
      <c r="N7" s="83">
        <f t="shared" si="2"/>
        <v>1.0000000000000226</v>
      </c>
      <c r="O7" s="24"/>
      <c r="P7" s="24"/>
      <c r="Q7" s="24"/>
      <c r="R7" s="24"/>
      <c r="S7" s="24"/>
      <c r="T7" s="24"/>
      <c r="U7" s="24"/>
      <c r="V7" s="24"/>
      <c r="W7" s="24"/>
      <c r="X7" s="24"/>
      <c r="Y7" s="24"/>
      <c r="Z7" s="24"/>
      <c r="AA7" s="24"/>
      <c r="AB7" s="24"/>
      <c r="AC7" s="24"/>
      <c r="AD7" s="24"/>
      <c r="AE7" s="24"/>
      <c r="AF7" s="24"/>
      <c r="AG7" s="24"/>
      <c r="AH7" s="24"/>
      <c r="AI7" s="24"/>
    </row>
    <row r="8" spans="1:35" ht="13.5" customHeight="1" x14ac:dyDescent="0.2">
      <c r="A8" s="581"/>
      <c r="B8" s="2" t="str">
        <f>Rydberg!B8</f>
        <v>Mass</v>
      </c>
      <c r="C8" s="2" t="s">
        <v>1394</v>
      </c>
      <c r="D8" s="21"/>
      <c r="E8" s="8"/>
      <c r="F8" s="21">
        <f>F5/POWER(F3/F4,2)</f>
        <v>14.188059591008583</v>
      </c>
      <c r="G8" s="21"/>
      <c r="H8" s="8">
        <v>0</v>
      </c>
      <c r="I8" s="58">
        <f t="shared" si="0"/>
        <v>14.188059591008583</v>
      </c>
      <c r="J8" s="118" t="s">
        <v>61</v>
      </c>
      <c r="K8" s="23"/>
      <c r="L8" s="82">
        <f t="shared" si="1"/>
        <v>-14.547927209723015</v>
      </c>
      <c r="M8" s="24"/>
      <c r="N8" s="83">
        <f t="shared" si="2"/>
        <v>1.0000000000000082</v>
      </c>
      <c r="O8" s="24"/>
      <c r="P8" s="24"/>
      <c r="Q8" s="24"/>
      <c r="R8" s="24"/>
      <c r="S8" s="24"/>
      <c r="T8" s="24"/>
      <c r="U8" s="24"/>
      <c r="V8" s="24"/>
      <c r="W8" s="24"/>
      <c r="X8" s="24"/>
      <c r="Y8" s="24"/>
      <c r="Z8" s="24"/>
      <c r="AA8" s="24"/>
      <c r="AB8" s="24"/>
      <c r="AC8" s="24"/>
      <c r="AD8" s="24"/>
      <c r="AE8" s="24"/>
      <c r="AF8" s="24"/>
      <c r="AG8" s="24"/>
      <c r="AH8" s="24"/>
      <c r="AI8" s="24"/>
    </row>
    <row r="9" spans="1:35" ht="13.5" customHeight="1" x14ac:dyDescent="0.2">
      <c r="A9" s="581"/>
      <c r="B9" s="2" t="str">
        <f>Rydberg!B9</f>
        <v>Power</v>
      </c>
      <c r="C9" s="2" t="s">
        <v>684</v>
      </c>
      <c r="D9" s="21"/>
      <c r="E9" s="8"/>
      <c r="F9" s="21">
        <f>F5/F4</f>
        <v>19.863553786485515</v>
      </c>
      <c r="G9" s="21"/>
      <c r="H9" s="8">
        <v>0</v>
      </c>
      <c r="I9" s="58">
        <f t="shared" si="0"/>
        <v>19.863553786485515</v>
      </c>
      <c r="J9" s="118" t="s">
        <v>62</v>
      </c>
      <c r="K9" s="23"/>
      <c r="L9" s="82">
        <f t="shared" si="1"/>
        <v>-16.393489815931812</v>
      </c>
      <c r="M9" s="24"/>
      <c r="N9" s="83">
        <f t="shared" si="2"/>
        <v>1.0000000000000049</v>
      </c>
      <c r="O9" s="24"/>
      <c r="P9" s="24"/>
      <c r="Q9" s="24"/>
      <c r="R9" s="24"/>
      <c r="S9" s="24"/>
      <c r="T9" s="24"/>
      <c r="U9" s="24"/>
      <c r="V9" s="24"/>
      <c r="W9" s="24"/>
      <c r="X9" s="24"/>
      <c r="Y9" s="24"/>
      <c r="Z9" s="24"/>
      <c r="AA9" s="24"/>
      <c r="AB9" s="24"/>
      <c r="AC9" s="24"/>
      <c r="AD9" s="24"/>
      <c r="AE9" s="24"/>
      <c r="AF9" s="24"/>
      <c r="AG9" s="24"/>
      <c r="AH9" s="24"/>
      <c r="AI9" s="24"/>
    </row>
    <row r="10" spans="1:35" ht="13.5" customHeight="1" x14ac:dyDescent="0.2">
      <c r="A10" s="581"/>
      <c r="B10" s="2" t="str">
        <f>Rydberg!B10</f>
        <v>Force</v>
      </c>
      <c r="C10" s="2" t="s">
        <v>1398</v>
      </c>
      <c r="D10" s="21"/>
      <c r="E10" s="8"/>
      <c r="F10" s="21">
        <f>F5/F3</f>
        <v>28.489591108060036</v>
      </c>
      <c r="G10" s="21"/>
      <c r="H10" s="8">
        <v>0</v>
      </c>
      <c r="I10" s="58">
        <f t="shared" si="0"/>
        <v>28.489591108060036</v>
      </c>
      <c r="J10" s="118" t="s">
        <v>63</v>
      </c>
      <c r="K10" s="23"/>
      <c r="L10" s="82">
        <f t="shared" si="1"/>
        <v>-18.371600457924789</v>
      </c>
      <c r="M10" s="24"/>
      <c r="N10" s="83">
        <f t="shared" si="2"/>
        <v>1.0000000000000069</v>
      </c>
      <c r="O10" s="24"/>
      <c r="P10" s="24"/>
      <c r="Q10" s="24"/>
      <c r="R10" s="24"/>
      <c r="S10" s="24"/>
      <c r="T10" s="24"/>
      <c r="U10" s="24"/>
      <c r="V10" s="24"/>
      <c r="W10" s="24"/>
      <c r="X10" s="24"/>
      <c r="Y10" s="24"/>
      <c r="Z10" s="24"/>
      <c r="AA10" s="24"/>
      <c r="AB10" s="24"/>
      <c r="AC10" s="24"/>
      <c r="AD10" s="24"/>
      <c r="AE10" s="24"/>
      <c r="AF10" s="24"/>
      <c r="AG10" s="24"/>
      <c r="AH10" s="24"/>
      <c r="AI10" s="24"/>
    </row>
    <row r="11" spans="1:35" ht="13.5" customHeight="1" x14ac:dyDescent="0.2">
      <c r="A11" s="581"/>
      <c r="B11" s="2" t="str">
        <f>Rydberg!B11</f>
        <v>Pressure</v>
      </c>
      <c r="C11" s="2" t="s">
        <v>1399</v>
      </c>
      <c r="D11" s="21"/>
      <c r="E11" s="8"/>
      <c r="F11" s="21">
        <f>F5/POWER(F3,3)</f>
        <v>486.10456830976614</v>
      </c>
      <c r="G11" s="21"/>
      <c r="H11" s="8">
        <v>0</v>
      </c>
      <c r="I11" s="58">
        <f t="shared" si="0"/>
        <v>486.10456830976614</v>
      </c>
      <c r="J11" s="118" t="s">
        <v>1416</v>
      </c>
      <c r="K11" s="23"/>
      <c r="L11" s="82">
        <f t="shared" si="1"/>
        <v>-33.931389522300236</v>
      </c>
      <c r="M11" s="24"/>
      <c r="N11" s="83">
        <f t="shared" si="2"/>
        <v>1.0000000000000113</v>
      </c>
      <c r="O11" s="24"/>
      <c r="P11" s="24"/>
      <c r="Q11" s="24"/>
      <c r="R11" s="24"/>
      <c r="S11" s="24"/>
      <c r="T11" s="24"/>
      <c r="U11" s="24"/>
      <c r="V11" s="24"/>
      <c r="W11" s="24"/>
      <c r="X11" s="24"/>
      <c r="Y11" s="24"/>
      <c r="Z11" s="24"/>
      <c r="AA11" s="24"/>
      <c r="AB11" s="24"/>
      <c r="AC11" s="24"/>
      <c r="AD11" s="24"/>
      <c r="AE11" s="24"/>
      <c r="AF11" s="24"/>
      <c r="AG11" s="24"/>
      <c r="AH11" s="24"/>
      <c r="AI11" s="24"/>
    </row>
    <row r="12" spans="1:35" ht="13.5" customHeight="1" x14ac:dyDescent="0.2">
      <c r="A12" s="581"/>
      <c r="B12" s="2" t="str">
        <f>Rydberg!B12</f>
        <v>Charge</v>
      </c>
      <c r="C12" s="2" t="s">
        <v>1401</v>
      </c>
      <c r="D12" s="21"/>
      <c r="E12" s="8"/>
      <c r="F12" s="21">
        <f>F13*F4</f>
        <v>7.9729807251316967E-2</v>
      </c>
      <c r="G12" s="21"/>
      <c r="H12" s="8">
        <v>-3</v>
      </c>
      <c r="I12" s="58">
        <f t="shared" si="0"/>
        <v>79.72980725131697</v>
      </c>
      <c r="J12" s="118" t="str">
        <f>Rydberg!L12</f>
        <v>mC</v>
      </c>
      <c r="K12" s="23"/>
      <c r="L12" s="82">
        <f t="shared" si="1"/>
        <v>13.871710040554968</v>
      </c>
      <c r="M12" s="24"/>
      <c r="N12" s="83">
        <f t="shared" si="2"/>
        <v>0.99999999999999645</v>
      </c>
      <c r="O12" s="24"/>
      <c r="P12" s="24"/>
      <c r="Q12" s="24"/>
      <c r="R12" s="24"/>
      <c r="S12" s="24"/>
      <c r="T12" s="24"/>
      <c r="U12" s="24"/>
      <c r="V12" s="24"/>
      <c r="W12" s="24"/>
      <c r="X12" s="24"/>
      <c r="Y12" s="24"/>
      <c r="Z12" s="24"/>
      <c r="AA12" s="24"/>
      <c r="AB12" s="24"/>
      <c r="AC12" s="24"/>
      <c r="AD12" s="24"/>
      <c r="AE12" s="24"/>
      <c r="AF12" s="24"/>
      <c r="AG12" s="24"/>
      <c r="AH12" s="24"/>
      <c r="AI12" s="24"/>
    </row>
    <row r="13" spans="1:35" ht="14.25" customHeight="1" x14ac:dyDescent="0.2">
      <c r="A13" s="581"/>
      <c r="B13" s="2" t="str">
        <f>Rydberg!B13</f>
        <v>Electric current</v>
      </c>
      <c r="C13" s="2" t="s">
        <v>1400</v>
      </c>
      <c r="D13" s="21"/>
      <c r="E13" s="8"/>
      <c r="F13" s="21">
        <f>SQRT(F9/F16)</f>
        <v>0.22962183957827428</v>
      </c>
      <c r="G13" s="21"/>
      <c r="H13" s="8">
        <v>-3</v>
      </c>
      <c r="I13" s="58">
        <f t="shared" si="0"/>
        <v>229.62183957827429</v>
      </c>
      <c r="J13" s="118" t="str">
        <f>Rydberg!L13</f>
        <v>mA</v>
      </c>
      <c r="K13" s="23"/>
      <c r="L13" s="82">
        <f t="shared" si="1"/>
        <v>8.0699261503602226</v>
      </c>
      <c r="M13" s="24"/>
      <c r="N13" s="83">
        <f t="shared" si="2"/>
        <v>0.999999999999997</v>
      </c>
      <c r="O13" s="24"/>
      <c r="P13" s="24"/>
      <c r="Q13" s="24"/>
      <c r="R13" s="24"/>
      <c r="S13" s="24"/>
      <c r="T13" s="24"/>
      <c r="U13" s="24"/>
      <c r="V13" s="24"/>
      <c r="W13" s="24"/>
      <c r="X13" s="24"/>
      <c r="Y13" s="24"/>
      <c r="Z13" s="24"/>
      <c r="AA13" s="24"/>
      <c r="AB13" s="24"/>
      <c r="AC13" s="24"/>
      <c r="AD13" s="24"/>
      <c r="AE13" s="24"/>
      <c r="AF13" s="24"/>
      <c r="AG13" s="24"/>
      <c r="AH13" s="24"/>
      <c r="AI13" s="24"/>
    </row>
    <row r="14" spans="1:35" ht="14.25" customHeight="1" x14ac:dyDescent="0.2">
      <c r="A14" s="581"/>
      <c r="B14" s="2" t="str">
        <f>Rydberg!B14</f>
        <v>Field Strength</v>
      </c>
      <c r="C14" s="2" t="s">
        <v>1402</v>
      </c>
      <c r="D14" s="21"/>
      <c r="E14" s="8"/>
      <c r="F14" s="21">
        <f>F13/F3</f>
        <v>0.94849475809355999</v>
      </c>
      <c r="G14" s="21"/>
      <c r="H14" s="8">
        <v>0</v>
      </c>
      <c r="I14" s="58">
        <f t="shared" si="0"/>
        <v>0.94849475809355999</v>
      </c>
      <c r="J14" s="118" t="s">
        <v>652</v>
      </c>
      <c r="K14" s="23"/>
      <c r="L14" s="82">
        <f t="shared" si="1"/>
        <v>0.29003161817249962</v>
      </c>
      <c r="M14" s="24"/>
      <c r="N14" s="83">
        <f t="shared" si="2"/>
        <v>0.99999999999999989</v>
      </c>
      <c r="O14" s="24"/>
      <c r="P14" s="24"/>
      <c r="Q14" s="24"/>
      <c r="R14" s="24"/>
      <c r="S14" s="24"/>
      <c r="T14" s="24"/>
      <c r="U14" s="24"/>
      <c r="V14" s="24"/>
      <c r="W14" s="24"/>
      <c r="X14" s="24"/>
      <c r="Y14" s="24"/>
      <c r="Z14" s="24"/>
      <c r="AA14" s="24"/>
      <c r="AB14" s="24"/>
      <c r="AC14" s="24"/>
      <c r="AD14" s="24"/>
      <c r="AE14" s="24"/>
      <c r="AF14" s="24"/>
      <c r="AG14" s="24"/>
      <c r="AH14" s="24"/>
      <c r="AI14" s="24"/>
    </row>
    <row r="15" spans="1:35" ht="14.25" customHeight="1" x14ac:dyDescent="0.2">
      <c r="A15" s="581"/>
      <c r="B15" s="2" t="str">
        <f>Rydberg!B15</f>
        <v>Flux density</v>
      </c>
      <c r="C15" s="2" t="s">
        <v>1403</v>
      </c>
      <c r="D15" s="21"/>
      <c r="E15" s="8"/>
      <c r="F15" s="21">
        <f>F12/POWER(F3,2)</f>
        <v>1.360392410979794</v>
      </c>
      <c r="G15" s="21"/>
      <c r="H15" s="8">
        <v>0</v>
      </c>
      <c r="I15" s="58">
        <f t="shared" si="0"/>
        <v>1.360392410979794</v>
      </c>
      <c r="J15" s="118" t="s">
        <v>1417</v>
      </c>
      <c r="K15" s="23"/>
      <c r="L15" s="82">
        <f t="shared" si="1"/>
        <v>-1.6880790238204764</v>
      </c>
      <c r="M15" s="24"/>
      <c r="N15" s="83">
        <f t="shared" si="2"/>
        <v>1.0000000000000004</v>
      </c>
      <c r="O15" s="24"/>
      <c r="P15" s="24"/>
      <c r="Q15" s="24"/>
      <c r="R15" s="24">
        <f>0.0000002*POWER(12,9)</f>
        <v>1031.9560704</v>
      </c>
      <c r="S15" s="24"/>
      <c r="T15" s="24"/>
      <c r="U15" s="24"/>
      <c r="V15" s="24"/>
      <c r="W15" s="24"/>
      <c r="X15" s="24"/>
      <c r="Y15" s="24"/>
      <c r="Z15" s="24"/>
      <c r="AA15" s="24"/>
      <c r="AB15" s="24"/>
      <c r="AC15" s="24"/>
      <c r="AD15" s="24"/>
      <c r="AE15" s="24"/>
      <c r="AF15" s="24"/>
      <c r="AG15" s="24"/>
      <c r="AH15" s="24"/>
      <c r="AI15" s="24"/>
    </row>
    <row r="16" spans="1:35" ht="14.25" customHeight="1" x14ac:dyDescent="0.2">
      <c r="A16" s="581"/>
      <c r="B16" s="2" t="str">
        <f>Rydberg!B16</f>
        <v>Impedance</v>
      </c>
      <c r="C16" s="2" t="s">
        <v>1404</v>
      </c>
      <c r="D16" s="21"/>
      <c r="E16" s="8"/>
      <c r="F16" s="21">
        <f>Rydberg!F16*4*PI()</f>
        <v>376.73031340987598</v>
      </c>
      <c r="G16" s="21"/>
      <c r="H16" s="8">
        <v>0</v>
      </c>
      <c r="I16" s="58">
        <f t="shared" si="0"/>
        <v>376.73031340987598</v>
      </c>
      <c r="J16" s="118" t="s">
        <v>1418</v>
      </c>
      <c r="K16" s="23"/>
      <c r="L16" s="82">
        <f t="shared" si="1"/>
        <v>-32.53334211665225</v>
      </c>
      <c r="M16" s="24"/>
      <c r="N16" s="83">
        <f t="shared" si="2"/>
        <v>1.0000000000000111</v>
      </c>
      <c r="O16" s="24"/>
      <c r="P16" s="24"/>
      <c r="Q16" s="24"/>
      <c r="R16" s="24"/>
      <c r="S16" s="24"/>
      <c r="T16" s="24"/>
      <c r="U16" s="24"/>
      <c r="V16" s="24"/>
      <c r="W16" s="24"/>
      <c r="X16" s="24"/>
      <c r="Y16" s="24"/>
      <c r="Z16" s="24"/>
      <c r="AA16" s="24"/>
      <c r="AB16" s="24"/>
      <c r="AC16" s="24"/>
      <c r="AD16" s="24"/>
      <c r="AE16" s="24"/>
      <c r="AF16" s="24"/>
      <c r="AG16" s="24"/>
      <c r="AH16" s="24"/>
      <c r="AI16" s="24"/>
    </row>
    <row r="17" spans="1:35" ht="14.25" customHeight="1" x14ac:dyDescent="0.2">
      <c r="A17" s="581"/>
      <c r="B17" s="2" t="str">
        <f>Rydberg!B17</f>
        <v>Electric potential difference</v>
      </c>
      <c r="C17" s="2" t="s">
        <v>1405</v>
      </c>
      <c r="D17" s="21"/>
      <c r="E17" s="8"/>
      <c r="F17" s="21">
        <f>F13*F16</f>
        <v>86.505507590075538</v>
      </c>
      <c r="G17" s="21"/>
      <c r="H17" s="8">
        <v>0</v>
      </c>
      <c r="I17" s="58">
        <f t="shared" si="0"/>
        <v>86.505507590075538</v>
      </c>
      <c r="J17" s="118" t="str">
        <f>Rydberg!L17</f>
        <v>V</v>
      </c>
      <c r="K17" s="23"/>
      <c r="L17" s="82">
        <f t="shared" si="1"/>
        <v>-24.463415966292033</v>
      </c>
      <c r="M17" s="24"/>
      <c r="N17" s="83">
        <f t="shared" si="2"/>
        <v>1.0000000000000082</v>
      </c>
      <c r="O17" s="24"/>
      <c r="P17" s="24"/>
      <c r="Q17" s="24"/>
      <c r="R17" s="24"/>
      <c r="S17" s="24"/>
      <c r="T17" s="24"/>
      <c r="U17" s="24"/>
      <c r="V17" s="24"/>
      <c r="W17" s="24"/>
      <c r="X17" s="24"/>
      <c r="Y17" s="24"/>
      <c r="Z17" s="24"/>
      <c r="AA17" s="24"/>
      <c r="AB17" s="24"/>
      <c r="AC17" s="24"/>
      <c r="AD17" s="24"/>
      <c r="AE17" s="24"/>
      <c r="AF17" s="24"/>
      <c r="AG17" s="24"/>
      <c r="AH17" s="24"/>
      <c r="AI17" s="24"/>
    </row>
    <row r="18" spans="1:35" ht="14.25" customHeight="1" x14ac:dyDescent="0.2">
      <c r="A18" s="581"/>
      <c r="B18" s="2" t="str">
        <f>Rydberg!B18</f>
        <v>Electric capacitance</v>
      </c>
      <c r="C18" s="2" t="s">
        <v>689</v>
      </c>
      <c r="D18" s="21"/>
      <c r="E18" s="8"/>
      <c r="F18" s="21">
        <f>F4/F16</f>
        <v>9.216731913664198E-4</v>
      </c>
      <c r="G18" s="21"/>
      <c r="H18" s="8">
        <v>-6</v>
      </c>
      <c r="I18" s="58">
        <f t="shared" si="0"/>
        <v>921.67319136641981</v>
      </c>
      <c r="J18" s="118" t="s">
        <v>1456</v>
      </c>
      <c r="K18" s="115"/>
      <c r="L18" s="116">
        <f t="shared" si="1"/>
        <v>38.335126006846998</v>
      </c>
      <c r="M18" s="76"/>
      <c r="N18" s="117">
        <f t="shared" si="2"/>
        <v>0.99999999999997446</v>
      </c>
      <c r="O18" s="76"/>
      <c r="P18" s="76"/>
      <c r="Q18" s="76"/>
      <c r="R18" s="76"/>
      <c r="S18" s="76"/>
      <c r="T18" s="76"/>
      <c r="U18" s="76"/>
      <c r="V18" s="76"/>
      <c r="W18" s="76"/>
      <c r="X18" s="76"/>
      <c r="Y18" s="76"/>
      <c r="Z18" s="76"/>
      <c r="AA18" s="76"/>
      <c r="AB18" s="76"/>
      <c r="AC18" s="76"/>
      <c r="AD18" s="76"/>
      <c r="AE18" s="76"/>
      <c r="AF18" s="76"/>
      <c r="AG18" s="76"/>
      <c r="AH18" s="76"/>
      <c r="AI18" s="76"/>
    </row>
    <row r="19" spans="1:35" ht="14.25" customHeight="1" x14ac:dyDescent="0.2">
      <c r="A19" s="581"/>
      <c r="B19" s="2" t="str">
        <f>Rydberg!B19</f>
        <v>Magnetic flux</v>
      </c>
      <c r="C19" s="2" t="s">
        <v>1409</v>
      </c>
      <c r="D19" s="21">
        <v>8.7460408999999999E-3</v>
      </c>
      <c r="E19" s="8"/>
      <c r="F19" s="21">
        <f>F17*F4</f>
        <v>30.036635273897645</v>
      </c>
      <c r="G19" s="21"/>
      <c r="H19" s="8">
        <v>0</v>
      </c>
      <c r="I19" s="58">
        <f t="shared" si="0"/>
        <v>30.036635273897645</v>
      </c>
      <c r="J19" s="118" t="str">
        <f>Rydberg!L19</f>
        <v>Wb</v>
      </c>
      <c r="K19" s="115"/>
      <c r="L19" s="116">
        <f t="shared" si="1"/>
        <v>-18.661632076097288</v>
      </c>
      <c r="M19" s="76"/>
      <c r="N19" s="117">
        <f t="shared" si="2"/>
        <v>1.0000000000000073</v>
      </c>
      <c r="O19" s="76"/>
      <c r="P19" s="76"/>
      <c r="Q19" s="76"/>
      <c r="R19" s="76"/>
      <c r="S19" s="76"/>
      <c r="T19" s="76"/>
      <c r="U19" s="76"/>
      <c r="V19" s="76"/>
      <c r="W19" s="76"/>
      <c r="X19" s="76"/>
      <c r="Y19" s="76"/>
      <c r="Z19" s="76"/>
      <c r="AA19" s="76"/>
      <c r="AB19" s="76"/>
      <c r="AC19" s="76"/>
      <c r="AD19" s="76"/>
      <c r="AE19" s="76"/>
      <c r="AF19" s="76"/>
      <c r="AG19" s="76"/>
      <c r="AH19" s="76"/>
      <c r="AI19" s="76"/>
    </row>
    <row r="20" spans="1:35" ht="14.25" customHeight="1" x14ac:dyDescent="0.2">
      <c r="A20" s="581"/>
      <c r="B20" s="2" t="str">
        <f>Rydberg!B20</f>
        <v>Magnetic flux density</v>
      </c>
      <c r="C20" s="2" t="s">
        <v>1406</v>
      </c>
      <c r="D20" s="21">
        <v>0.1492125423</v>
      </c>
      <c r="E20" s="8"/>
      <c r="F20" s="21">
        <f>F19/(F3*F3)</f>
        <v>512.50105934883459</v>
      </c>
      <c r="G20" s="21"/>
      <c r="H20" s="8">
        <v>0</v>
      </c>
      <c r="I20" s="58">
        <f t="shared" si="0"/>
        <v>512.50105934883459</v>
      </c>
      <c r="J20" s="118" t="s">
        <v>222</v>
      </c>
      <c r="K20" s="115"/>
      <c r="L20" s="116">
        <f t="shared" si="1"/>
        <v>-34.221421140472728</v>
      </c>
      <c r="M20" s="76"/>
      <c r="N20" s="117">
        <f t="shared" si="2"/>
        <v>1.0000000000000193</v>
      </c>
      <c r="O20" s="76"/>
      <c r="P20" s="76"/>
      <c r="Q20" s="76"/>
      <c r="R20" s="76"/>
      <c r="S20" s="76"/>
      <c r="T20" s="76"/>
      <c r="U20" s="76"/>
      <c r="V20" s="76"/>
      <c r="W20" s="76"/>
      <c r="X20" s="76"/>
      <c r="Y20" s="76"/>
      <c r="Z20" s="76"/>
      <c r="AA20" s="76"/>
      <c r="AB20" s="76"/>
      <c r="AC20" s="76"/>
      <c r="AD20" s="76"/>
      <c r="AE20" s="76"/>
      <c r="AF20" s="76"/>
      <c r="AG20" s="76"/>
      <c r="AH20" s="76"/>
      <c r="AI20" s="76"/>
    </row>
    <row r="21" spans="1:35" ht="14.25" customHeight="1" x14ac:dyDescent="0.2">
      <c r="A21" s="581"/>
      <c r="B21" s="6" t="str">
        <f>Rydberg!B21</f>
        <v>Inductance</v>
      </c>
      <c r="C21" s="6" t="s">
        <v>1407</v>
      </c>
      <c r="D21" s="29"/>
      <c r="E21" s="30"/>
      <c r="F21" s="29">
        <f>F4*F16</f>
        <v>130.80913962305686</v>
      </c>
      <c r="G21" s="29"/>
      <c r="H21" s="30">
        <v>0</v>
      </c>
      <c r="I21" s="59">
        <f t="shared" si="0"/>
        <v>130.80913962305686</v>
      </c>
      <c r="J21" s="119" t="str">
        <f>Rydberg!L21</f>
        <v>H</v>
      </c>
      <c r="K21" s="115"/>
      <c r="L21" s="116">
        <f t="shared" si="1"/>
        <v>-26.731558226457505</v>
      </c>
      <c r="M21" s="76"/>
      <c r="N21" s="117">
        <f t="shared" si="2"/>
        <v>1.0000000000000033</v>
      </c>
      <c r="O21" s="76"/>
      <c r="P21" s="76"/>
      <c r="Q21" s="76"/>
      <c r="R21" s="76"/>
      <c r="S21" s="76"/>
      <c r="T21" s="76"/>
      <c r="U21" s="76"/>
      <c r="V21" s="76"/>
      <c r="W21" s="76"/>
      <c r="X21" s="76"/>
      <c r="Y21" s="76"/>
      <c r="Z21" s="76"/>
      <c r="AA21" s="76"/>
      <c r="AB21" s="76"/>
      <c r="AC21" s="76"/>
      <c r="AD21" s="76"/>
      <c r="AE21" s="76"/>
      <c r="AF21" s="76"/>
      <c r="AG21" s="76"/>
      <c r="AH21" s="76"/>
      <c r="AI21" s="76"/>
    </row>
    <row r="22" spans="1:35" ht="14.25" customHeight="1" x14ac:dyDescent="0.2">
      <c r="A22" s="581"/>
      <c r="B22" s="2" t="str">
        <f>Rydberg!B22</f>
        <v>Frequency</v>
      </c>
      <c r="C22" s="2" t="s">
        <v>1408</v>
      </c>
      <c r="D22" s="29"/>
      <c r="E22" s="30"/>
      <c r="F22" s="29">
        <f>1/F4</f>
        <v>2.8799999334562725</v>
      </c>
      <c r="G22" s="21"/>
      <c r="H22" s="8">
        <v>0</v>
      </c>
      <c r="I22" s="58">
        <f t="shared" si="0"/>
        <v>2.8799999334562725</v>
      </c>
      <c r="J22" s="118" t="s">
        <v>674</v>
      </c>
      <c r="K22" s="23"/>
      <c r="L22" s="82">
        <f t="shared" si="1"/>
        <v>-5.8017838901947467</v>
      </c>
      <c r="M22" s="24"/>
      <c r="N22" s="83">
        <f t="shared" si="2"/>
        <v>1.0000000000000007</v>
      </c>
      <c r="O22" s="257"/>
      <c r="P22" s="257"/>
      <c r="Q22" s="257"/>
      <c r="R22" s="257"/>
      <c r="S22" s="257"/>
      <c r="T22" s="257"/>
      <c r="U22" s="257"/>
      <c r="V22" s="257"/>
      <c r="W22" s="257"/>
      <c r="X22" s="257"/>
      <c r="Y22" s="257"/>
      <c r="Z22" s="257"/>
      <c r="AA22" s="257"/>
      <c r="AB22" s="257"/>
      <c r="AC22" s="257"/>
      <c r="AD22" s="257"/>
      <c r="AE22" s="257"/>
      <c r="AF22" s="257"/>
      <c r="AG22" s="257"/>
      <c r="AH22" s="257"/>
      <c r="AI22" s="257"/>
    </row>
    <row r="23" spans="1:35" ht="14.25" customHeight="1" x14ac:dyDescent="0.2">
      <c r="A23" s="581"/>
      <c r="B23" s="2" t="s">
        <v>1410</v>
      </c>
      <c r="C23" s="2" t="s">
        <v>1411</v>
      </c>
      <c r="D23" s="21"/>
      <c r="E23" s="8"/>
      <c r="F23" s="21">
        <f>1/F4</f>
        <v>2.8799999334562725</v>
      </c>
      <c r="G23" s="21"/>
      <c r="H23" s="8">
        <v>0</v>
      </c>
      <c r="I23" s="58">
        <f t="shared" si="0"/>
        <v>2.8799999334562725</v>
      </c>
      <c r="J23" s="118" t="s">
        <v>668</v>
      </c>
      <c r="K23" s="23"/>
      <c r="L23" s="82">
        <f t="shared" si="1"/>
        <v>-5.8017838901947467</v>
      </c>
      <c r="M23" s="24"/>
      <c r="N23" s="83">
        <f t="shared" si="2"/>
        <v>1.0000000000000007</v>
      </c>
      <c r="O23" s="24"/>
      <c r="P23" s="258"/>
      <c r="Q23" s="24"/>
      <c r="R23" s="24"/>
      <c r="S23" s="24"/>
      <c r="T23" s="24"/>
      <c r="U23" s="24"/>
      <c r="V23" s="24"/>
      <c r="W23" s="24"/>
      <c r="X23" s="24"/>
      <c r="Y23" s="24"/>
      <c r="Z23" s="24"/>
      <c r="AA23" s="24"/>
      <c r="AB23" s="24"/>
      <c r="AC23" s="24"/>
      <c r="AD23" s="24"/>
      <c r="AE23" s="24"/>
      <c r="AF23" s="24"/>
      <c r="AG23" s="24"/>
      <c r="AH23" s="24"/>
      <c r="AI23" s="24"/>
    </row>
    <row r="24" spans="1:35" ht="14.25" customHeight="1" x14ac:dyDescent="0.2">
      <c r="A24" s="581"/>
      <c r="B24" s="6" t="s">
        <v>1412</v>
      </c>
      <c r="C24" s="2" t="s">
        <v>1413</v>
      </c>
      <c r="D24" s="21"/>
      <c r="E24" s="8"/>
      <c r="F24" s="21">
        <f>F5/F8</f>
        <v>0.48611773879952874</v>
      </c>
      <c r="G24" s="21"/>
      <c r="H24" s="8">
        <v>0</v>
      </c>
      <c r="I24" s="58">
        <f t="shared" si="0"/>
        <v>0.48611773879952874</v>
      </c>
      <c r="J24" s="118" t="s">
        <v>670</v>
      </c>
      <c r="K24" s="23"/>
      <c r="L24" s="82">
        <f t="shared" si="1"/>
        <v>3.9562212839859523</v>
      </c>
      <c r="M24" s="24"/>
      <c r="N24" s="83">
        <f t="shared" si="2"/>
        <v>0.99999999999999956</v>
      </c>
      <c r="O24" s="24"/>
      <c r="P24" s="24"/>
      <c r="Q24" s="24"/>
      <c r="R24" s="24"/>
      <c r="S24" s="24"/>
      <c r="T24" s="24"/>
      <c r="U24" s="24"/>
      <c r="V24" s="24"/>
      <c r="W24" s="24"/>
      <c r="X24" s="24"/>
      <c r="Y24" s="24"/>
      <c r="Z24" s="24"/>
      <c r="AA24" s="24"/>
      <c r="AB24" s="24"/>
      <c r="AC24" s="24"/>
      <c r="AD24" s="24"/>
      <c r="AE24" s="24"/>
      <c r="AF24" s="24"/>
      <c r="AG24" s="24"/>
      <c r="AH24" s="24"/>
      <c r="AI24" s="24"/>
    </row>
    <row r="25" spans="1:35" ht="14.25" customHeight="1" x14ac:dyDescent="0.2">
      <c r="A25" s="581"/>
      <c r="B25" s="6" t="s">
        <v>1414</v>
      </c>
      <c r="C25" s="6" t="s">
        <v>1415</v>
      </c>
      <c r="D25" s="29"/>
      <c r="E25" s="30"/>
      <c r="F25" s="29">
        <f>F5/F8</f>
        <v>0.48611773879952874</v>
      </c>
      <c r="G25" s="29"/>
      <c r="H25" s="30">
        <v>0</v>
      </c>
      <c r="I25" s="59">
        <f t="shared" si="0"/>
        <v>0.48611773879952874</v>
      </c>
      <c r="J25" s="119" t="s">
        <v>671</v>
      </c>
      <c r="K25" s="23"/>
      <c r="L25" s="82">
        <f t="shared" si="1"/>
        <v>3.9562212839859523</v>
      </c>
      <c r="M25" s="24"/>
      <c r="N25" s="83">
        <f t="shared" si="2"/>
        <v>0.99999999999999956</v>
      </c>
      <c r="O25" s="24"/>
      <c r="P25" s="24"/>
      <c r="Q25" s="24"/>
      <c r="R25" s="24"/>
      <c r="S25" s="24"/>
      <c r="T25" s="24"/>
      <c r="U25" s="24"/>
      <c r="V25" s="24"/>
      <c r="W25" s="24"/>
      <c r="X25" s="24"/>
      <c r="Y25" s="24"/>
      <c r="Z25" s="24"/>
      <c r="AA25" s="24"/>
      <c r="AB25" s="24"/>
      <c r="AC25" s="24"/>
      <c r="AD25" s="24"/>
      <c r="AE25" s="24"/>
      <c r="AF25" s="24"/>
      <c r="AG25" s="24"/>
      <c r="AH25" s="24"/>
      <c r="AI25" s="24"/>
    </row>
    <row r="26" spans="1:35" ht="14.25" customHeight="1" thickBot="1" x14ac:dyDescent="0.25">
      <c r="A26" s="582"/>
      <c r="B26" s="4" t="s">
        <v>1072</v>
      </c>
      <c r="C26" s="4"/>
      <c r="D26" s="32"/>
      <c r="E26" s="33"/>
      <c r="F26" s="32">
        <f>F3/F4/F4</f>
        <v>2.0079977057690668</v>
      </c>
      <c r="G26" s="32"/>
      <c r="H26" s="33">
        <v>0</v>
      </c>
      <c r="I26" s="60">
        <f t="shared" si="0"/>
        <v>2.0079977057690668</v>
      </c>
      <c r="J26" s="124" t="s">
        <v>75</v>
      </c>
      <c r="K26" s="23"/>
      <c r="L26" s="82">
        <f t="shared" si="1"/>
        <v>-3.823673248201771</v>
      </c>
      <c r="M26" s="24"/>
      <c r="N26" s="83">
        <f t="shared" si="2"/>
        <v>1.0000000000000022</v>
      </c>
      <c r="O26" s="24"/>
      <c r="P26" s="24"/>
      <c r="Q26" s="24"/>
      <c r="R26" s="24"/>
      <c r="S26" s="24"/>
      <c r="T26" s="24"/>
      <c r="U26" s="24"/>
      <c r="V26" s="24"/>
      <c r="W26" s="24"/>
      <c r="X26" s="24"/>
      <c r="Y26" s="24"/>
      <c r="Z26" s="24"/>
      <c r="AA26" s="24"/>
      <c r="AB26" s="24"/>
      <c r="AC26" s="24"/>
      <c r="AD26" s="24"/>
      <c r="AE26" s="24"/>
      <c r="AF26" s="24"/>
      <c r="AG26" s="24"/>
      <c r="AH26" s="24"/>
      <c r="AI26" s="24"/>
    </row>
    <row r="27" spans="1:35" ht="11.25" customHeight="1" x14ac:dyDescent="0.2">
      <c r="A27" s="580" t="s">
        <v>27</v>
      </c>
      <c r="B27" s="34" t="s">
        <v>42</v>
      </c>
      <c r="C27" s="52" t="str">
        <f>Rydberg!C31</f>
        <v>Unit Symbol</v>
      </c>
      <c r="D27" s="34" t="s">
        <v>43</v>
      </c>
      <c r="E27" s="52" t="s">
        <v>54</v>
      </c>
      <c r="F27" s="34" t="s">
        <v>47</v>
      </c>
      <c r="G27" s="34" t="s">
        <v>92</v>
      </c>
      <c r="H27" s="583" t="str">
        <f>Rydberg!J31</f>
        <v>0123456789XE</v>
      </c>
      <c r="I27" s="584">
        <f>Rydberg!K31</f>
        <v>0</v>
      </c>
      <c r="J27" s="120" t="str">
        <f>Rydberg!L31</f>
        <v>Power</v>
      </c>
      <c r="K27" s="35">
        <v>0</v>
      </c>
      <c r="L27" s="36"/>
      <c r="M27" s="36">
        <f>K27+1</f>
        <v>1</v>
      </c>
      <c r="N27" s="36"/>
      <c r="O27" s="36">
        <f>M27+1</f>
        <v>2</v>
      </c>
      <c r="P27" s="36"/>
      <c r="Q27" s="36">
        <f>O27+1</f>
        <v>3</v>
      </c>
      <c r="R27" s="36"/>
      <c r="S27" s="36">
        <f>Q27+1</f>
        <v>4</v>
      </c>
      <c r="T27" s="36"/>
      <c r="U27" s="36">
        <f>S27+1</f>
        <v>5</v>
      </c>
      <c r="V27" s="36"/>
      <c r="W27" s="36">
        <f>U27+1</f>
        <v>6</v>
      </c>
      <c r="X27" s="36"/>
      <c r="Y27" s="36">
        <f>W27+1</f>
        <v>7</v>
      </c>
      <c r="Z27" s="36"/>
      <c r="AA27" s="36">
        <f>Y27+1</f>
        <v>8</v>
      </c>
      <c r="AB27" s="36"/>
      <c r="AC27" s="36">
        <f>AA27+1</f>
        <v>9</v>
      </c>
      <c r="AD27" s="36"/>
      <c r="AE27" s="36">
        <f>AC27+1</f>
        <v>10</v>
      </c>
      <c r="AF27" s="36"/>
      <c r="AG27" s="36">
        <f>AE27+1</f>
        <v>11</v>
      </c>
      <c r="AH27" s="36"/>
      <c r="AI27" s="36">
        <f>AG27+1</f>
        <v>12</v>
      </c>
    </row>
    <row r="28" spans="1:35" ht="14.25" customHeight="1" x14ac:dyDescent="0.2">
      <c r="A28" s="581"/>
      <c r="B28" s="2" t="str">
        <f>Rydberg!B32</f>
        <v>Fine Structure Constant</v>
      </c>
      <c r="C28" s="2" t="str">
        <f>Rydberg!C32</f>
        <v>-</v>
      </c>
      <c r="D28" s="21">
        <f>Rydberg!D32</f>
        <v>7.2973525643E-3</v>
      </c>
      <c r="E28" s="8">
        <v>9</v>
      </c>
      <c r="F28" s="21">
        <f>D28</f>
        <v>7.2973525643E-3</v>
      </c>
      <c r="G28" s="37" t="str">
        <f>K28&amp;";"&amp;M28&amp;O28&amp;Q28&amp;S28&amp;U28&amp;W28&amp;Y28&amp;AA28&amp;AC28&amp;AE28&amp;AG28&amp;AI28</f>
        <v>1;073994047</v>
      </c>
      <c r="H28" s="38">
        <v>-2</v>
      </c>
      <c r="I28" s="61">
        <f>F28/POWER(12,H28)</f>
        <v>1.0508187692592001</v>
      </c>
      <c r="J28" s="39"/>
      <c r="K28" s="40" t="str">
        <f t="shared" ref="K28:K61" si="3">IF($E28&gt;=K$27,MID($H$27,IF($E28&gt;K$27,INT(I28),ROUND(I28,0))+1,1),"")</f>
        <v>1</v>
      </c>
      <c r="L28" s="24">
        <f>(I28-INT(I28))*12</f>
        <v>0.60982523111040177</v>
      </c>
      <c r="M28" s="41" t="str">
        <f t="shared" ref="M28:M61" si="4">IF($E28&gt;=M$27,MID($H$27,IF($E28&gt;M$27,INT(L28),ROUND(L28,0))+1,1),"")</f>
        <v>0</v>
      </c>
      <c r="N28" s="24">
        <f>(L28-INT(L28))*12</f>
        <v>7.3179027733248212</v>
      </c>
      <c r="O28" s="41" t="str">
        <f t="shared" ref="O28:O61" si="5">IF($E28&gt;=O$27,MID($H$27,IF($E28&gt;O$27,INT(N28),ROUND(N28,0))+1,1),"")</f>
        <v>7</v>
      </c>
      <c r="P28" s="24">
        <f>(N28-INT(N28))*12</f>
        <v>3.8148332798978544</v>
      </c>
      <c r="Q28" s="41" t="str">
        <f t="shared" ref="Q28:Q61" si="6">IF($E28&gt;=Q$27,MID($H$27,IF($E28&gt;Q$27,INT(P28),ROUND(P28,0))+1,1),"")</f>
        <v>3</v>
      </c>
      <c r="R28" s="24">
        <f>(P28-INT(P28))*12</f>
        <v>9.7779993587742524</v>
      </c>
      <c r="S28" s="41" t="str">
        <f t="shared" ref="S28:S61" si="7">IF($E28&gt;=S$27,MID($H$27,IF($E28&gt;S$27,INT(R28),ROUND(R28,0))+1,1),"")</f>
        <v>9</v>
      </c>
      <c r="T28" s="24">
        <f>(R28-INT(R28))*12</f>
        <v>9.335992305291029</v>
      </c>
      <c r="U28" s="41" t="str">
        <f t="shared" ref="U28:U61" si="8">IF($E28&gt;=U$27,MID($H$27,IF($E28&gt;U$27,INT(T28),ROUND(T28,0))+1,1),"")</f>
        <v>9</v>
      </c>
      <c r="V28" s="24">
        <f>(T28-INT(T28))*12</f>
        <v>4.0319076634923476</v>
      </c>
      <c r="W28" s="41" t="str">
        <f t="shared" ref="W28:W61" si="9">IF($E28&gt;=W$27,MID($H$27,IF($E28&gt;W$27,INT(V28),ROUND(V28,0))+1,1),"")</f>
        <v>4</v>
      </c>
      <c r="X28" s="24">
        <f>(V28-INT(V28))*12</f>
        <v>0.38289196190817165</v>
      </c>
      <c r="Y28" s="41" t="str">
        <f t="shared" ref="Y28:Y61" si="10">IF($E28&gt;=Y$27,MID($H$27,IF($E28&gt;Y$27,INT(X28),ROUND(X28,0))+1,1),"")</f>
        <v>0</v>
      </c>
      <c r="Z28" s="24">
        <f>(X28-INT(X28))*12</f>
        <v>4.5947035428980598</v>
      </c>
      <c r="AA28" s="41" t="str">
        <f t="shared" ref="AA28:AA61" si="11">IF($E28&gt;=AA$27,MID($H$27,IF($E28&gt;AA$27,INT(Z28),ROUND(Z28,0))+1,1),"")</f>
        <v>4</v>
      </c>
      <c r="AB28" s="24">
        <f>(Z28-INT(Z28))*12</f>
        <v>7.1364425147767179</v>
      </c>
      <c r="AC28" s="41" t="str">
        <f t="shared" ref="AC28:AC61" si="12">IF($E28&gt;=AC$27,MID($H$27,IF($E28&gt;AC$27,INT(AB28),ROUND(AB28,0))+1,1),"")</f>
        <v>7</v>
      </c>
      <c r="AD28" s="24">
        <f>(AB28-INT(AB28))*12</f>
        <v>1.6373101773206145</v>
      </c>
      <c r="AE28" s="41" t="str">
        <f t="shared" ref="AE28:AE61" si="13">IF($E28&gt;=AE$27,MID($H$27,IF($E28&gt;AE$27,INT(AD28),ROUND(AD28,0))+1,1),"")</f>
        <v/>
      </c>
      <c r="AF28" s="24">
        <f>(AD28-INT(AD28))*12</f>
        <v>7.6477221278473735</v>
      </c>
      <c r="AG28" s="41" t="str">
        <f t="shared" ref="AG28:AG61" si="14">IF($E28&gt;=AG$27,MID($H$27,IF($E28&gt;AG$27,INT(AF28),ROUND(AF28,0))+1,1),"")</f>
        <v/>
      </c>
      <c r="AH28" s="24">
        <f>(AF28-INT(AF28))*12</f>
        <v>7.7726655341684818</v>
      </c>
      <c r="AI28" s="41" t="str">
        <f t="shared" ref="AI28:AI61" si="15">IF($E28&gt;=AI$27,MID($H$27,IF($E28&gt;AI$27,INT(AH28),ROUND(AH28,0))+1,1),"")</f>
        <v/>
      </c>
    </row>
    <row r="29" spans="1:35" ht="15" customHeight="1" x14ac:dyDescent="0.2">
      <c r="A29" s="581"/>
      <c r="B29" s="3" t="str">
        <f>Rydberg!B33</f>
        <v>Avogadro constant</v>
      </c>
      <c r="C29" s="3" t="str">
        <f>Rydberg!C33</f>
        <v>1/mol</v>
      </c>
      <c r="D29" s="21">
        <f>Rydberg!D33</f>
        <v>6.0221407599999999E+23</v>
      </c>
      <c r="E29" s="8">
        <v>7</v>
      </c>
      <c r="F29" s="21">
        <f>D29/(1/F$7)</f>
        <v>8.544249196832171E+27</v>
      </c>
      <c r="G29" s="37" t="str">
        <f t="shared" ref="G29:G61" si="16">K29&amp;";"&amp;M29&amp;O29&amp;Q29&amp;S29&amp;U29&amp;W29&amp;Y29&amp;AA29&amp;AC29&amp;AE29&amp;AG29&amp;AI29</f>
        <v>0;8E58EX6</v>
      </c>
      <c r="H29" s="38">
        <v>26</v>
      </c>
      <c r="I29" s="61">
        <f>F29/POWER(12,H29)+0.000000000001</f>
        <v>0.74638260452219174</v>
      </c>
      <c r="J29" s="39"/>
      <c r="K29" s="40" t="str">
        <f t="shared" si="3"/>
        <v>0</v>
      </c>
      <c r="L29" s="24">
        <f t="shared" ref="L29:L61" si="17">(I29-INT(I29))*12</f>
        <v>8.9565912542663</v>
      </c>
      <c r="M29" s="41" t="str">
        <f t="shared" si="4"/>
        <v>8</v>
      </c>
      <c r="N29" s="24">
        <f t="shared" ref="N29:N61" si="18">(L29-INT(L29))*12</f>
        <v>11.4790950511956</v>
      </c>
      <c r="O29" s="41" t="str">
        <f t="shared" si="5"/>
        <v>E</v>
      </c>
      <c r="P29" s="24">
        <f t="shared" ref="P29:P61" si="19">(N29-INT(N29))*12</f>
        <v>5.7491406143471977</v>
      </c>
      <c r="Q29" s="41" t="str">
        <f t="shared" si="6"/>
        <v>5</v>
      </c>
      <c r="R29" s="24">
        <f t="shared" ref="R29:R61" si="20">(P29-INT(P29))*12</f>
        <v>8.9896873721663724</v>
      </c>
      <c r="S29" s="41" t="str">
        <f t="shared" si="7"/>
        <v>8</v>
      </c>
      <c r="T29" s="24">
        <f t="shared" ref="T29:T61" si="21">(R29-INT(R29))*12</f>
        <v>11.876248465996468</v>
      </c>
      <c r="U29" s="41" t="str">
        <f t="shared" si="8"/>
        <v>E</v>
      </c>
      <c r="V29" s="24">
        <f t="shared" ref="V29:V61" si="22">(T29-INT(T29))*12</f>
        <v>10.514981591957621</v>
      </c>
      <c r="W29" s="41" t="str">
        <f t="shared" si="9"/>
        <v>X</v>
      </c>
      <c r="X29" s="24">
        <f t="shared" ref="X29:X61" si="23">(V29-INT(V29))*12</f>
        <v>6.1797791034914553</v>
      </c>
      <c r="Y29" s="41" t="str">
        <f t="shared" si="10"/>
        <v>6</v>
      </c>
      <c r="Z29" s="24">
        <f t="shared" ref="Z29:Z61" si="24">(X29-INT(X29))*12</f>
        <v>2.1573492418974638</v>
      </c>
      <c r="AA29" s="41" t="str">
        <f t="shared" si="11"/>
        <v/>
      </c>
      <c r="AB29" s="24">
        <f t="shared" ref="AB29:AB61" si="25">(Z29-INT(Z29))*12</f>
        <v>1.8881909027695656</v>
      </c>
      <c r="AC29" s="41" t="str">
        <f t="shared" si="12"/>
        <v/>
      </c>
      <c r="AD29" s="24">
        <f t="shared" ref="AD29:AD61" si="26">(AB29-INT(AB29))*12</f>
        <v>10.658290833234787</v>
      </c>
      <c r="AE29" s="41" t="str">
        <f t="shared" si="13"/>
        <v/>
      </c>
      <c r="AF29" s="24">
        <f t="shared" ref="AF29:AF61" si="27">(AD29-INT(AD29))*12</f>
        <v>7.8994899988174438</v>
      </c>
      <c r="AG29" s="41" t="str">
        <f t="shared" si="14"/>
        <v/>
      </c>
      <c r="AH29" s="24">
        <f t="shared" ref="AH29:AH61" si="28">(AF29-INT(AF29))*12</f>
        <v>10.793879985809326</v>
      </c>
      <c r="AI29" s="41" t="str">
        <f t="shared" si="15"/>
        <v/>
      </c>
    </row>
    <row r="30" spans="1:35" ht="15" customHeight="1" x14ac:dyDescent="0.2">
      <c r="A30" s="581"/>
      <c r="B30" s="3" t="str">
        <f>Rydberg!B34</f>
        <v>Rydberg constant</v>
      </c>
      <c r="C30" s="3" t="str">
        <f>Rydberg!C34</f>
        <v>Ω_1/m</v>
      </c>
      <c r="D30" s="21">
        <f>Rydberg!D34</f>
        <v>10973731.568157</v>
      </c>
      <c r="E30" s="8">
        <v>12</v>
      </c>
      <c r="F30" s="21">
        <f>D30/(1/F$3)</f>
        <v>2656639.2784111053</v>
      </c>
      <c r="G30" s="37" t="str">
        <f t="shared" si="16"/>
        <v>0;X814X7341117</v>
      </c>
      <c r="H30" s="38">
        <v>6</v>
      </c>
      <c r="I30" s="61">
        <f>F30/POWER(12,H30)</f>
        <v>0.88970311910951472</v>
      </c>
      <c r="J30" s="39"/>
      <c r="K30" s="40" t="str">
        <f t="shared" si="3"/>
        <v>0</v>
      </c>
      <c r="L30" s="24">
        <f t="shared" si="17"/>
        <v>10.676437429314177</v>
      </c>
      <c r="M30" s="41" t="str">
        <f t="shared" si="4"/>
        <v>X</v>
      </c>
      <c r="N30" s="24">
        <f t="shared" si="18"/>
        <v>8.1172491517701246</v>
      </c>
      <c r="O30" s="41" t="str">
        <f t="shared" si="5"/>
        <v>8</v>
      </c>
      <c r="P30" s="24">
        <f t="shared" si="19"/>
        <v>1.4069898212414955</v>
      </c>
      <c r="Q30" s="41" t="str">
        <f t="shared" si="6"/>
        <v>1</v>
      </c>
      <c r="R30" s="24">
        <f t="shared" si="20"/>
        <v>4.8838778548979462</v>
      </c>
      <c r="S30" s="41" t="str">
        <f t="shared" si="7"/>
        <v>4</v>
      </c>
      <c r="T30" s="24">
        <f t="shared" si="21"/>
        <v>10.606534258775355</v>
      </c>
      <c r="U30" s="41" t="str">
        <f t="shared" si="8"/>
        <v>X</v>
      </c>
      <c r="V30" s="24">
        <f t="shared" si="22"/>
        <v>7.2784111053042579</v>
      </c>
      <c r="W30" s="41" t="str">
        <f t="shared" si="9"/>
        <v>7</v>
      </c>
      <c r="X30" s="24">
        <f t="shared" si="23"/>
        <v>3.3409332636510953</v>
      </c>
      <c r="Y30" s="41" t="str">
        <f t="shared" si="10"/>
        <v>3</v>
      </c>
      <c r="Z30" s="24">
        <f t="shared" si="24"/>
        <v>4.091199163813144</v>
      </c>
      <c r="AA30" s="41" t="str">
        <f t="shared" si="11"/>
        <v>4</v>
      </c>
      <c r="AB30" s="24">
        <f t="shared" si="25"/>
        <v>1.0943899657577276</v>
      </c>
      <c r="AC30" s="41" t="str">
        <f t="shared" si="12"/>
        <v>1</v>
      </c>
      <c r="AD30" s="24">
        <f t="shared" si="26"/>
        <v>1.1326795890927315</v>
      </c>
      <c r="AE30" s="41" t="str">
        <f t="shared" si="13"/>
        <v>1</v>
      </c>
      <c r="AF30" s="24">
        <f t="shared" si="27"/>
        <v>1.5921550691127777</v>
      </c>
      <c r="AG30" s="41" t="str">
        <f t="shared" si="14"/>
        <v>1</v>
      </c>
      <c r="AH30" s="24">
        <f t="shared" si="28"/>
        <v>7.1058608293533325</v>
      </c>
      <c r="AI30" s="41" t="str">
        <f t="shared" si="15"/>
        <v>7</v>
      </c>
    </row>
    <row r="31" spans="1:35" ht="15" customHeight="1" x14ac:dyDescent="0.2">
      <c r="A31" s="581"/>
      <c r="B31" s="3" t="str">
        <f>Rydberg!B35</f>
        <v>Speed of light in vacuum</v>
      </c>
      <c r="C31" s="3" t="str">
        <f>Rydberg!C35</f>
        <v>m/s</v>
      </c>
      <c r="D31" s="21">
        <f>Rydberg!D35</f>
        <v>299792458</v>
      </c>
      <c r="E31" s="8">
        <v>12</v>
      </c>
      <c r="F31" s="21">
        <f>D31/(F$3/F$4)</f>
        <v>429981696</v>
      </c>
      <c r="G31" s="37" t="str">
        <f t="shared" si="16"/>
        <v>1;000000000000</v>
      </c>
      <c r="H31" s="38">
        <v>8</v>
      </c>
      <c r="I31" s="61">
        <f>F31/POWER(12,H31)</f>
        <v>1</v>
      </c>
      <c r="J31" s="39"/>
      <c r="K31" s="40" t="str">
        <f t="shared" si="3"/>
        <v>1</v>
      </c>
      <c r="L31" s="24">
        <f t="shared" si="17"/>
        <v>0</v>
      </c>
      <c r="M31" s="41" t="str">
        <f t="shared" si="4"/>
        <v>0</v>
      </c>
      <c r="N31" s="24">
        <f t="shared" si="18"/>
        <v>0</v>
      </c>
      <c r="O31" s="41" t="str">
        <f t="shared" si="5"/>
        <v>0</v>
      </c>
      <c r="P31" s="24">
        <f t="shared" si="19"/>
        <v>0</v>
      </c>
      <c r="Q31" s="41" t="str">
        <f t="shared" si="6"/>
        <v>0</v>
      </c>
      <c r="R31" s="24">
        <f t="shared" si="20"/>
        <v>0</v>
      </c>
      <c r="S31" s="41" t="str">
        <f t="shared" si="7"/>
        <v>0</v>
      </c>
      <c r="T31" s="24">
        <f t="shared" si="21"/>
        <v>0</v>
      </c>
      <c r="U31" s="41" t="str">
        <f t="shared" si="8"/>
        <v>0</v>
      </c>
      <c r="V31" s="24">
        <f t="shared" si="22"/>
        <v>0</v>
      </c>
      <c r="W31" s="41" t="str">
        <f t="shared" si="9"/>
        <v>0</v>
      </c>
      <c r="X31" s="24">
        <f t="shared" si="23"/>
        <v>0</v>
      </c>
      <c r="Y31" s="41" t="str">
        <f t="shared" si="10"/>
        <v>0</v>
      </c>
      <c r="Z31" s="24">
        <f t="shared" si="24"/>
        <v>0</v>
      </c>
      <c r="AA31" s="41" t="str">
        <f t="shared" si="11"/>
        <v>0</v>
      </c>
      <c r="AB31" s="24">
        <f t="shared" si="25"/>
        <v>0</v>
      </c>
      <c r="AC31" s="41" t="str">
        <f t="shared" si="12"/>
        <v>0</v>
      </c>
      <c r="AD31" s="24">
        <f t="shared" si="26"/>
        <v>0</v>
      </c>
      <c r="AE31" s="41" t="str">
        <f t="shared" si="13"/>
        <v>0</v>
      </c>
      <c r="AF31" s="24">
        <f t="shared" si="27"/>
        <v>0</v>
      </c>
      <c r="AG31" s="41" t="str">
        <f t="shared" si="14"/>
        <v>0</v>
      </c>
      <c r="AH31" s="24">
        <f t="shared" si="28"/>
        <v>0</v>
      </c>
      <c r="AI31" s="41" t="str">
        <f t="shared" si="15"/>
        <v>0</v>
      </c>
    </row>
    <row r="32" spans="1:35" ht="15" customHeight="1" x14ac:dyDescent="0.2">
      <c r="A32" s="581"/>
      <c r="B32" s="3" t="str">
        <f>Rydberg!B36</f>
        <v>Quantum of action</v>
      </c>
      <c r="C32" s="3" t="str">
        <f>Rydberg!C36</f>
        <v>Js</v>
      </c>
      <c r="D32" s="21">
        <f>Rydberg!D36</f>
        <v>1.0545718176461565E-34</v>
      </c>
      <c r="E32" s="8">
        <v>7</v>
      </c>
      <c r="F32" s="21">
        <f>D32/(F$5*F$4)</f>
        <v>4.4035625115716545E-35</v>
      </c>
      <c r="G32" s="37" t="str">
        <f t="shared" si="16"/>
        <v>1;609064X</v>
      </c>
      <c r="H32" s="38">
        <v>-32</v>
      </c>
      <c r="I32" s="61">
        <f>F32/POWER(12,H32)+0.000000000001</f>
        <v>1.5052340686815793</v>
      </c>
      <c r="J32" s="39"/>
      <c r="K32" s="40" t="str">
        <f t="shared" si="3"/>
        <v>1</v>
      </c>
      <c r="L32" s="24">
        <f t="shared" si="17"/>
        <v>6.0628088241789513</v>
      </c>
      <c r="M32" s="41" t="str">
        <f t="shared" si="4"/>
        <v>6</v>
      </c>
      <c r="N32" s="24">
        <f t="shared" si="18"/>
        <v>0.7537058901474154</v>
      </c>
      <c r="O32" s="41" t="str">
        <f t="shared" si="5"/>
        <v>0</v>
      </c>
      <c r="P32" s="24">
        <f t="shared" si="19"/>
        <v>9.0444706817689848</v>
      </c>
      <c r="Q32" s="41" t="str">
        <f t="shared" si="6"/>
        <v>9</v>
      </c>
      <c r="R32" s="24">
        <f t="shared" si="20"/>
        <v>0.53364818122781799</v>
      </c>
      <c r="S32" s="41" t="str">
        <f t="shared" si="7"/>
        <v>0</v>
      </c>
      <c r="T32" s="24">
        <f t="shared" si="21"/>
        <v>6.4037781747338158</v>
      </c>
      <c r="U32" s="41" t="str">
        <f t="shared" si="8"/>
        <v>6</v>
      </c>
      <c r="V32" s="24">
        <f t="shared" si="22"/>
        <v>4.84533809680579</v>
      </c>
      <c r="W32" s="41" t="str">
        <f t="shared" si="9"/>
        <v>4</v>
      </c>
      <c r="X32" s="24">
        <f t="shared" si="23"/>
        <v>10.14405716166948</v>
      </c>
      <c r="Y32" s="41" t="str">
        <f t="shared" si="10"/>
        <v>X</v>
      </c>
      <c r="Z32" s="24">
        <f t="shared" si="24"/>
        <v>1.7286859400337562</v>
      </c>
      <c r="AA32" s="41" t="str">
        <f t="shared" si="11"/>
        <v/>
      </c>
      <c r="AB32" s="24">
        <f t="shared" si="25"/>
        <v>8.7442312804050744</v>
      </c>
      <c r="AC32" s="41" t="str">
        <f t="shared" si="12"/>
        <v/>
      </c>
      <c r="AD32" s="24">
        <f t="shared" si="26"/>
        <v>8.9307753648608923</v>
      </c>
      <c r="AE32" s="41" t="str">
        <f t="shared" si="13"/>
        <v/>
      </c>
      <c r="AF32" s="24">
        <f t="shared" si="27"/>
        <v>11.169304378330708</v>
      </c>
      <c r="AG32" s="41" t="str">
        <f t="shared" si="14"/>
        <v/>
      </c>
      <c r="AH32" s="24">
        <f t="shared" si="28"/>
        <v>2.0316525399684906</v>
      </c>
      <c r="AI32" s="41" t="str">
        <f t="shared" si="15"/>
        <v/>
      </c>
    </row>
    <row r="33" spans="1:35" ht="15" customHeight="1" x14ac:dyDescent="0.2">
      <c r="A33" s="581"/>
      <c r="B33" s="3" t="str">
        <f>Rydberg!B37</f>
        <v>Boltzmann constant</v>
      </c>
      <c r="C33" s="3" t="str">
        <f>Rydberg!C37</f>
        <v>J/K</v>
      </c>
      <c r="D33" s="21">
        <f>Rydberg!D37</f>
        <v>1.3806490000000001E-23</v>
      </c>
      <c r="E33" s="8">
        <v>6</v>
      </c>
      <c r="F33" s="21">
        <f>D33/(F$5/F$6)</f>
        <v>1.1113603197264571E-24</v>
      </c>
      <c r="G33" s="37" t="str">
        <f t="shared" si="16"/>
        <v>7;442422</v>
      </c>
      <c r="H33" s="38">
        <v>-23</v>
      </c>
      <c r="I33" s="61">
        <f t="shared" ref="I33:I61" si="29">F33/POWER(12,H33)</f>
        <v>7.3624701271004787</v>
      </c>
      <c r="J33" s="39"/>
      <c r="K33" s="40" t="str">
        <f t="shared" si="3"/>
        <v>7</v>
      </c>
      <c r="L33" s="24">
        <f t="shared" si="17"/>
        <v>4.3496415252057439</v>
      </c>
      <c r="M33" s="41" t="str">
        <f t="shared" si="4"/>
        <v>4</v>
      </c>
      <c r="N33" s="24">
        <f t="shared" si="18"/>
        <v>4.1956983024689265</v>
      </c>
      <c r="O33" s="41" t="str">
        <f t="shared" si="5"/>
        <v>4</v>
      </c>
      <c r="P33" s="24">
        <f t="shared" si="19"/>
        <v>2.348379629627118</v>
      </c>
      <c r="Q33" s="41" t="str">
        <f t="shared" si="6"/>
        <v>2</v>
      </c>
      <c r="R33" s="24">
        <f t="shared" si="20"/>
        <v>4.1805555555254159</v>
      </c>
      <c r="S33" s="41" t="str">
        <f t="shared" si="7"/>
        <v>4</v>
      </c>
      <c r="T33" s="24">
        <f t="shared" si="21"/>
        <v>2.1666666663049909</v>
      </c>
      <c r="U33" s="41" t="str">
        <f t="shared" si="8"/>
        <v>2</v>
      </c>
      <c r="V33" s="24">
        <f t="shared" si="22"/>
        <v>1.9999999956598913</v>
      </c>
      <c r="W33" s="41" t="str">
        <f t="shared" si="9"/>
        <v>2</v>
      </c>
      <c r="X33" s="24">
        <f t="shared" si="23"/>
        <v>11.999999947918695</v>
      </c>
      <c r="Y33" s="41" t="str">
        <f t="shared" si="10"/>
        <v/>
      </c>
      <c r="Z33" s="24">
        <f t="shared" si="24"/>
        <v>11.999999375024345</v>
      </c>
      <c r="AA33" s="41" t="str">
        <f t="shared" si="11"/>
        <v/>
      </c>
      <c r="AB33" s="24">
        <f t="shared" si="25"/>
        <v>11.999992500292137</v>
      </c>
      <c r="AC33" s="41" t="str">
        <f t="shared" si="12"/>
        <v/>
      </c>
      <c r="AD33" s="24">
        <f t="shared" si="26"/>
        <v>11.999910003505647</v>
      </c>
      <c r="AE33" s="41" t="str">
        <f t="shared" si="13"/>
        <v/>
      </c>
      <c r="AF33" s="24">
        <f t="shared" si="27"/>
        <v>11.998920042067766</v>
      </c>
      <c r="AG33" s="41" t="str">
        <f t="shared" si="14"/>
        <v/>
      </c>
      <c r="AH33" s="24">
        <f t="shared" si="28"/>
        <v>11.987040504813194</v>
      </c>
      <c r="AI33" s="41" t="str">
        <f t="shared" si="15"/>
        <v/>
      </c>
    </row>
    <row r="34" spans="1:35" ht="15" customHeight="1" x14ac:dyDescent="0.2">
      <c r="A34" s="581"/>
      <c r="B34" s="3" t="str">
        <f>Rydberg!B38</f>
        <v>Gas constant</v>
      </c>
      <c r="C34" s="3" t="str">
        <f>Rydberg!C38</f>
        <v>J/(mol K)</v>
      </c>
      <c r="D34" s="21">
        <f>Rydberg!D38</f>
        <v>8.3144626181532395</v>
      </c>
      <c r="E34" s="8">
        <v>6</v>
      </c>
      <c r="F34" s="21">
        <f>D34/(F$5/F$6/F$7)</f>
        <v>9495.7395192139247</v>
      </c>
      <c r="G34" s="37" t="str">
        <f t="shared" si="16"/>
        <v>5;5E38X6</v>
      </c>
      <c r="H34" s="38">
        <v>3</v>
      </c>
      <c r="I34" s="61">
        <f t="shared" si="29"/>
        <v>5.4952196291747253</v>
      </c>
      <c r="J34" s="39"/>
      <c r="K34" s="40" t="str">
        <f t="shared" si="3"/>
        <v>5</v>
      </c>
      <c r="L34" s="24">
        <f t="shared" si="17"/>
        <v>5.9426355500967034</v>
      </c>
      <c r="M34" s="41" t="str">
        <f t="shared" si="4"/>
        <v>5</v>
      </c>
      <c r="N34" s="24">
        <f t="shared" si="18"/>
        <v>11.311626601160441</v>
      </c>
      <c r="O34" s="41" t="str">
        <f t="shared" si="5"/>
        <v>E</v>
      </c>
      <c r="P34" s="24">
        <f t="shared" si="19"/>
        <v>3.7395192139252913</v>
      </c>
      <c r="Q34" s="41" t="str">
        <f t="shared" si="6"/>
        <v>3</v>
      </c>
      <c r="R34" s="24">
        <f t="shared" si="20"/>
        <v>8.8742305671034956</v>
      </c>
      <c r="S34" s="41" t="str">
        <f t="shared" si="7"/>
        <v>8</v>
      </c>
      <c r="T34" s="24">
        <f t="shared" si="21"/>
        <v>10.490766805241947</v>
      </c>
      <c r="U34" s="41" t="str">
        <f t="shared" si="8"/>
        <v>X</v>
      </c>
      <c r="V34" s="24">
        <f t="shared" si="22"/>
        <v>5.8892016629033606</v>
      </c>
      <c r="W34" s="41" t="str">
        <f t="shared" si="9"/>
        <v>6</v>
      </c>
      <c r="X34" s="24">
        <f t="shared" si="23"/>
        <v>10.670419954840327</v>
      </c>
      <c r="Y34" s="41" t="str">
        <f t="shared" si="10"/>
        <v/>
      </c>
      <c r="Z34" s="24">
        <f t="shared" si="24"/>
        <v>8.0450394580839202</v>
      </c>
      <c r="AA34" s="41" t="str">
        <f t="shared" si="11"/>
        <v/>
      </c>
      <c r="AB34" s="24">
        <f t="shared" si="25"/>
        <v>0.54047349700704217</v>
      </c>
      <c r="AC34" s="41" t="str">
        <f t="shared" si="12"/>
        <v/>
      </c>
      <c r="AD34" s="24">
        <f t="shared" si="26"/>
        <v>6.485681964084506</v>
      </c>
      <c r="AE34" s="41" t="str">
        <f t="shared" si="13"/>
        <v/>
      </c>
      <c r="AF34" s="24">
        <f t="shared" si="27"/>
        <v>5.8281835690140724</v>
      </c>
      <c r="AG34" s="41" t="str">
        <f t="shared" si="14"/>
        <v/>
      </c>
      <c r="AH34" s="24">
        <f t="shared" si="28"/>
        <v>9.938202828168869</v>
      </c>
      <c r="AI34" s="41" t="str">
        <f t="shared" si="15"/>
        <v/>
      </c>
    </row>
    <row r="35" spans="1:35" ht="15" customHeight="1" x14ac:dyDescent="0.2">
      <c r="A35" s="581"/>
      <c r="B35" s="3" t="str">
        <f>Rydberg!B39</f>
        <v>Unified atomic mass unit</v>
      </c>
      <c r="C35" s="3" t="str">
        <f>Rydberg!C39</f>
        <v>kg</v>
      </c>
      <c r="D35" s="21">
        <f>Rydberg!D39</f>
        <v>1.6605390689199999E-27</v>
      </c>
      <c r="E35" s="8">
        <v>7</v>
      </c>
      <c r="F35" s="21">
        <f>D35/F$8</f>
        <v>1.1703778506627752E-28</v>
      </c>
      <c r="G35" s="37" t="str">
        <f t="shared" si="16"/>
        <v>1;40E1EE9</v>
      </c>
      <c r="H35" s="38">
        <v>-26</v>
      </c>
      <c r="I35" s="61">
        <f t="shared" si="29"/>
        <v>1.3397954279669515</v>
      </c>
      <c r="J35" s="39"/>
      <c r="K35" s="40" t="str">
        <f t="shared" si="3"/>
        <v>1</v>
      </c>
      <c r="L35" s="24">
        <f t="shared" si="17"/>
        <v>4.077545135603418</v>
      </c>
      <c r="M35" s="41" t="str">
        <f t="shared" si="4"/>
        <v>4</v>
      </c>
      <c r="N35" s="24">
        <f t="shared" si="18"/>
        <v>0.9305416272410163</v>
      </c>
      <c r="O35" s="41" t="str">
        <f t="shared" si="5"/>
        <v>0</v>
      </c>
      <c r="P35" s="24">
        <f t="shared" si="19"/>
        <v>11.166499526892196</v>
      </c>
      <c r="Q35" s="41" t="str">
        <f t="shared" si="6"/>
        <v>E</v>
      </c>
      <c r="R35" s="24">
        <f t="shared" si="20"/>
        <v>1.9979943227063472</v>
      </c>
      <c r="S35" s="41" t="str">
        <f t="shared" si="7"/>
        <v>1</v>
      </c>
      <c r="T35" s="24">
        <f t="shared" si="21"/>
        <v>11.975931872476167</v>
      </c>
      <c r="U35" s="41" t="str">
        <f t="shared" si="8"/>
        <v>E</v>
      </c>
      <c r="V35" s="24">
        <f t="shared" si="22"/>
        <v>11.711182469714004</v>
      </c>
      <c r="W35" s="41" t="str">
        <f t="shared" si="9"/>
        <v>E</v>
      </c>
      <c r="X35" s="24">
        <f t="shared" si="23"/>
        <v>8.5341896365680441</v>
      </c>
      <c r="Y35" s="41" t="str">
        <f t="shared" si="10"/>
        <v>9</v>
      </c>
      <c r="Z35" s="24">
        <f t="shared" si="24"/>
        <v>6.410275638816529</v>
      </c>
      <c r="AA35" s="41" t="str">
        <f t="shared" si="11"/>
        <v/>
      </c>
      <c r="AB35" s="24">
        <f t="shared" si="25"/>
        <v>4.9233076657983474</v>
      </c>
      <c r="AC35" s="41" t="str">
        <f t="shared" si="12"/>
        <v/>
      </c>
      <c r="AD35" s="24">
        <f t="shared" si="26"/>
        <v>11.079691989580169</v>
      </c>
      <c r="AE35" s="41" t="str">
        <f t="shared" si="13"/>
        <v/>
      </c>
      <c r="AF35" s="24">
        <f t="shared" si="27"/>
        <v>0.95630387496203184</v>
      </c>
      <c r="AG35" s="41" t="str">
        <f t="shared" si="14"/>
        <v/>
      </c>
      <c r="AH35" s="24">
        <f t="shared" si="28"/>
        <v>11.475646499544382</v>
      </c>
      <c r="AI35" s="41" t="str">
        <f t="shared" si="15"/>
        <v/>
      </c>
    </row>
    <row r="36" spans="1:35" ht="15" customHeight="1" x14ac:dyDescent="0.2">
      <c r="A36" s="581"/>
      <c r="B36" s="3" t="str">
        <f>Rydberg!B40</f>
        <v>Bohr Radius</v>
      </c>
      <c r="C36" s="3" t="str">
        <f>Rydberg!C40</f>
        <v>m</v>
      </c>
      <c r="D36" s="21">
        <f>Rydberg!D40</f>
        <v>5.2917721054102549E-11</v>
      </c>
      <c r="E36" s="8">
        <v>9</v>
      </c>
      <c r="F36" s="21">
        <f>D36/F$3</f>
        <v>2.1858626828465853E-10</v>
      </c>
      <c r="G36" s="37" t="str">
        <f t="shared" si="16"/>
        <v>1;164E2E427</v>
      </c>
      <c r="H36" s="38">
        <v>-9</v>
      </c>
      <c r="I36" s="61">
        <f t="shared" si="29"/>
        <v>1.127857132312182</v>
      </c>
      <c r="J36" s="39"/>
      <c r="K36" s="40" t="str">
        <f t="shared" si="3"/>
        <v>1</v>
      </c>
      <c r="L36" s="24">
        <f t="shared" si="17"/>
        <v>1.5342855877461838</v>
      </c>
      <c r="M36" s="41" t="str">
        <f t="shared" si="4"/>
        <v>1</v>
      </c>
      <c r="N36" s="24">
        <f t="shared" si="18"/>
        <v>6.4114270529542061</v>
      </c>
      <c r="O36" s="41" t="str">
        <f t="shared" si="5"/>
        <v>6</v>
      </c>
      <c r="P36" s="24">
        <f t="shared" si="19"/>
        <v>4.9371246354504734</v>
      </c>
      <c r="Q36" s="41" t="str">
        <f t="shared" si="6"/>
        <v>4</v>
      </c>
      <c r="R36" s="24">
        <f t="shared" si="20"/>
        <v>11.245495625405681</v>
      </c>
      <c r="S36" s="41" t="str">
        <f t="shared" si="7"/>
        <v>E</v>
      </c>
      <c r="T36" s="24">
        <f t="shared" si="21"/>
        <v>2.9459475048681725</v>
      </c>
      <c r="U36" s="41" t="str">
        <f t="shared" si="8"/>
        <v>2</v>
      </c>
      <c r="V36" s="24">
        <f t="shared" si="22"/>
        <v>11.35137005841807</v>
      </c>
      <c r="W36" s="41" t="str">
        <f t="shared" si="9"/>
        <v>E</v>
      </c>
      <c r="X36" s="24">
        <f t="shared" si="23"/>
        <v>4.2164407010168361</v>
      </c>
      <c r="Y36" s="41" t="str">
        <f t="shared" si="10"/>
        <v>4</v>
      </c>
      <c r="Z36" s="24">
        <f t="shared" si="24"/>
        <v>2.5972884122020332</v>
      </c>
      <c r="AA36" s="41" t="str">
        <f t="shared" si="11"/>
        <v>2</v>
      </c>
      <c r="AB36" s="24">
        <f t="shared" si="25"/>
        <v>7.1674609464243986</v>
      </c>
      <c r="AC36" s="41" t="str">
        <f t="shared" si="12"/>
        <v>7</v>
      </c>
      <c r="AD36" s="24">
        <f t="shared" si="26"/>
        <v>2.0095313570927829</v>
      </c>
      <c r="AE36" s="41" t="str">
        <f t="shared" si="13"/>
        <v/>
      </c>
      <c r="AF36" s="24">
        <f t="shared" si="27"/>
        <v>0.11437628511339426</v>
      </c>
      <c r="AG36" s="41" t="str">
        <f t="shared" si="14"/>
        <v/>
      </c>
      <c r="AH36" s="24">
        <f t="shared" si="28"/>
        <v>1.3725154213607311</v>
      </c>
      <c r="AI36" s="41" t="str">
        <f t="shared" si="15"/>
        <v/>
      </c>
    </row>
    <row r="37" spans="1:35" ht="15" customHeight="1" x14ac:dyDescent="0.2">
      <c r="A37" s="581"/>
      <c r="B37" s="3" t="str">
        <f>Rydberg!B41</f>
        <v>Elementary electric charge</v>
      </c>
      <c r="C37" s="3" t="str">
        <f>Rydberg!C41</f>
        <v>C</v>
      </c>
      <c r="D37" s="21">
        <f>Rydberg!D41</f>
        <v>1.6021766339999999E-19</v>
      </c>
      <c r="E37" s="8">
        <v>9</v>
      </c>
      <c r="F37" s="21">
        <f>D37/F$12</f>
        <v>2.0095077226886629E-18</v>
      </c>
      <c r="G37" s="37" t="str">
        <f t="shared" si="16"/>
        <v>4;55EE78847</v>
      </c>
      <c r="H37" s="38">
        <v>-17</v>
      </c>
      <c r="I37" s="61">
        <f t="shared" si="29"/>
        <v>4.4583161526377495</v>
      </c>
      <c r="J37" s="39"/>
      <c r="K37" s="40" t="str">
        <f t="shared" si="3"/>
        <v>4</v>
      </c>
      <c r="L37" s="24">
        <f t="shared" si="17"/>
        <v>5.499793831652994</v>
      </c>
      <c r="M37" s="41" t="str">
        <f t="shared" si="4"/>
        <v>5</v>
      </c>
      <c r="N37" s="24">
        <f t="shared" si="18"/>
        <v>5.9975259798359275</v>
      </c>
      <c r="O37" s="41" t="str">
        <f t="shared" si="5"/>
        <v>5</v>
      </c>
      <c r="P37" s="24">
        <f t="shared" si="19"/>
        <v>11.97031175803113</v>
      </c>
      <c r="Q37" s="41" t="str">
        <f t="shared" si="6"/>
        <v>E</v>
      </c>
      <c r="R37" s="24">
        <f t="shared" si="20"/>
        <v>11.64374109637356</v>
      </c>
      <c r="S37" s="41" t="str">
        <f t="shared" si="7"/>
        <v>E</v>
      </c>
      <c r="T37" s="24">
        <f t="shared" si="21"/>
        <v>7.7248931564827217</v>
      </c>
      <c r="U37" s="41" t="str">
        <f t="shared" si="8"/>
        <v>7</v>
      </c>
      <c r="V37" s="24">
        <f t="shared" si="22"/>
        <v>8.6987178777926601</v>
      </c>
      <c r="W37" s="41" t="str">
        <f t="shared" si="9"/>
        <v>8</v>
      </c>
      <c r="X37" s="24">
        <f t="shared" si="23"/>
        <v>8.3846145335119218</v>
      </c>
      <c r="Y37" s="41" t="str">
        <f t="shared" si="10"/>
        <v>8</v>
      </c>
      <c r="Z37" s="24">
        <f t="shared" si="24"/>
        <v>4.6153744021430612</v>
      </c>
      <c r="AA37" s="41" t="str">
        <f t="shared" si="11"/>
        <v>4</v>
      </c>
      <c r="AB37" s="24">
        <f t="shared" si="25"/>
        <v>7.3844928257167339</v>
      </c>
      <c r="AC37" s="41" t="str">
        <f t="shared" si="12"/>
        <v>7</v>
      </c>
      <c r="AD37" s="24">
        <f t="shared" si="26"/>
        <v>4.6139139086008072</v>
      </c>
      <c r="AE37" s="41" t="str">
        <f t="shared" si="13"/>
        <v/>
      </c>
      <c r="AF37" s="24">
        <f t="shared" si="27"/>
        <v>7.3669669032096863</v>
      </c>
      <c r="AG37" s="41" t="str">
        <f t="shared" si="14"/>
        <v/>
      </c>
      <c r="AH37" s="24">
        <f t="shared" si="28"/>
        <v>4.4036028385162354</v>
      </c>
      <c r="AI37" s="41" t="str">
        <f t="shared" si="15"/>
        <v/>
      </c>
    </row>
    <row r="38" spans="1:35" ht="15" customHeight="1" x14ac:dyDescent="0.2">
      <c r="A38" s="581"/>
      <c r="B38" s="3" t="str">
        <f>Rydberg!B42</f>
        <v>Electron mass</v>
      </c>
      <c r="C38" s="3" t="str">
        <f>Rydberg!C42</f>
        <v>kg</v>
      </c>
      <c r="D38" s="21">
        <f>Rydberg!D42</f>
        <v>9.1093837139983745E-31</v>
      </c>
      <c r="E38" s="8">
        <v>7</v>
      </c>
      <c r="F38" s="21">
        <f>D38/F$8</f>
        <v>6.4204577486912134E-32</v>
      </c>
      <c r="G38" s="37" t="str">
        <f t="shared" si="16"/>
        <v>1;32X7X05</v>
      </c>
      <c r="H38" s="38">
        <v>-29</v>
      </c>
      <c r="I38" s="61">
        <f t="shared" si="29"/>
        <v>1.2700538277429076</v>
      </c>
      <c r="J38" s="39"/>
      <c r="K38" s="40" t="str">
        <f t="shared" si="3"/>
        <v>1</v>
      </c>
      <c r="L38" s="24">
        <f t="shared" si="17"/>
        <v>3.2406459329148918</v>
      </c>
      <c r="M38" s="41" t="str">
        <f t="shared" si="4"/>
        <v>3</v>
      </c>
      <c r="N38" s="24">
        <f t="shared" si="18"/>
        <v>2.8877511949787014</v>
      </c>
      <c r="O38" s="41" t="str">
        <f t="shared" si="5"/>
        <v>2</v>
      </c>
      <c r="P38" s="24">
        <f t="shared" si="19"/>
        <v>10.653014339744416</v>
      </c>
      <c r="Q38" s="41" t="str">
        <f t="shared" si="6"/>
        <v>X</v>
      </c>
      <c r="R38" s="24">
        <f t="shared" si="20"/>
        <v>7.8361720769329963</v>
      </c>
      <c r="S38" s="41" t="str">
        <f t="shared" si="7"/>
        <v>7</v>
      </c>
      <c r="T38" s="24">
        <f t="shared" si="21"/>
        <v>10.034064923195956</v>
      </c>
      <c r="U38" s="41" t="str">
        <f t="shared" si="8"/>
        <v>X</v>
      </c>
      <c r="V38" s="24">
        <f t="shared" si="22"/>
        <v>0.40877907835147198</v>
      </c>
      <c r="W38" s="41" t="str">
        <f t="shared" si="9"/>
        <v>0</v>
      </c>
      <c r="X38" s="24">
        <f t="shared" si="23"/>
        <v>4.9053489402176638</v>
      </c>
      <c r="Y38" s="41" t="str">
        <f t="shared" si="10"/>
        <v>5</v>
      </c>
      <c r="Z38" s="24">
        <f t="shared" si="24"/>
        <v>10.864187282611965</v>
      </c>
      <c r="AA38" s="41" t="str">
        <f t="shared" si="11"/>
        <v/>
      </c>
      <c r="AB38" s="24">
        <f t="shared" si="25"/>
        <v>10.370247391343582</v>
      </c>
      <c r="AC38" s="41" t="str">
        <f t="shared" si="12"/>
        <v/>
      </c>
      <c r="AD38" s="24">
        <f t="shared" si="26"/>
        <v>4.4429686961229891</v>
      </c>
      <c r="AE38" s="41" t="str">
        <f t="shared" si="13"/>
        <v/>
      </c>
      <c r="AF38" s="24">
        <f t="shared" si="27"/>
        <v>5.3156243534758687</v>
      </c>
      <c r="AG38" s="41" t="str">
        <f t="shared" si="14"/>
        <v/>
      </c>
      <c r="AH38" s="24">
        <f t="shared" si="28"/>
        <v>3.7874922417104244</v>
      </c>
      <c r="AI38" s="41" t="str">
        <f t="shared" si="15"/>
        <v/>
      </c>
    </row>
    <row r="39" spans="1:35" ht="15" customHeight="1" x14ac:dyDescent="0.2">
      <c r="A39" s="581"/>
      <c r="B39" s="3" t="str">
        <f>Rydberg!B44</f>
        <v>Newtonian constant of gravitation</v>
      </c>
      <c r="C39" s="3" t="str">
        <f>Rydberg!C44</f>
        <v>(m/s)^4/N</v>
      </c>
      <c r="D39" s="21">
        <f>Rydberg!D44</f>
        <v>6.6742999999999994E-11</v>
      </c>
      <c r="E39" s="8">
        <v>4</v>
      </c>
      <c r="F39" s="21">
        <f>D39/(POWER(F$3/F$4,4)/F$10)</f>
        <v>8.0465367961621339E-9</v>
      </c>
      <c r="G39" s="37" t="str">
        <f t="shared" si="16"/>
        <v>3;5628</v>
      </c>
      <c r="H39" s="38">
        <v>-8</v>
      </c>
      <c r="I39" s="61">
        <f t="shared" si="29"/>
        <v>3.4598635385402003</v>
      </c>
      <c r="J39" s="39"/>
      <c r="K39" s="40" t="str">
        <f t="shared" si="3"/>
        <v>3</v>
      </c>
      <c r="L39" s="24">
        <f t="shared" si="17"/>
        <v>5.5183624624824041</v>
      </c>
      <c r="M39" s="41" t="str">
        <f t="shared" si="4"/>
        <v>5</v>
      </c>
      <c r="N39" s="24">
        <f t="shared" si="18"/>
        <v>6.2203495497888497</v>
      </c>
      <c r="O39" s="41" t="str">
        <f t="shared" si="5"/>
        <v>6</v>
      </c>
      <c r="P39" s="24">
        <f t="shared" si="19"/>
        <v>2.6441945974661962</v>
      </c>
      <c r="Q39" s="41" t="str">
        <f t="shared" si="6"/>
        <v>2</v>
      </c>
      <c r="R39" s="24">
        <f t="shared" si="20"/>
        <v>7.7303351695943547</v>
      </c>
      <c r="S39" s="41" t="str">
        <f t="shared" si="7"/>
        <v>8</v>
      </c>
      <c r="T39" s="24">
        <f t="shared" si="21"/>
        <v>8.7640220351322569</v>
      </c>
      <c r="U39" s="41" t="str">
        <f t="shared" si="8"/>
        <v/>
      </c>
      <c r="V39" s="24">
        <f t="shared" si="22"/>
        <v>9.1682644215870823</v>
      </c>
      <c r="W39" s="41" t="str">
        <f t="shared" si="9"/>
        <v/>
      </c>
      <c r="X39" s="24">
        <f t="shared" si="23"/>
        <v>2.0191730590449879</v>
      </c>
      <c r="Y39" s="41" t="str">
        <f t="shared" si="10"/>
        <v/>
      </c>
      <c r="Z39" s="24">
        <f t="shared" si="24"/>
        <v>0.23007670853985474</v>
      </c>
      <c r="AA39" s="41" t="str">
        <f t="shared" si="11"/>
        <v/>
      </c>
      <c r="AB39" s="24">
        <f t="shared" si="25"/>
        <v>2.7609205024782568</v>
      </c>
      <c r="AC39" s="41" t="str">
        <f t="shared" si="12"/>
        <v/>
      </c>
      <c r="AD39" s="24">
        <f t="shared" si="26"/>
        <v>9.1310460297390819</v>
      </c>
      <c r="AE39" s="41" t="str">
        <f t="shared" si="13"/>
        <v/>
      </c>
      <c r="AF39" s="24">
        <f t="shared" si="27"/>
        <v>1.5725523568689823</v>
      </c>
      <c r="AG39" s="41" t="str">
        <f t="shared" si="14"/>
        <v/>
      </c>
      <c r="AH39" s="24">
        <f t="shared" si="28"/>
        <v>6.8706282824277878</v>
      </c>
      <c r="AI39" s="41" t="str">
        <f t="shared" si="15"/>
        <v/>
      </c>
    </row>
    <row r="40" spans="1:35" ht="15" customHeight="1" x14ac:dyDescent="0.2">
      <c r="A40" s="581"/>
      <c r="B40" s="3" t="str">
        <f>Rydberg!B45</f>
        <v>Planck force</v>
      </c>
      <c r="C40" s="3" t="str">
        <f>Rydberg!C45</f>
        <v>N</v>
      </c>
      <c r="D40" s="21">
        <f>Rydberg!D45</f>
        <v>1.2102555643382063E+44</v>
      </c>
      <c r="E40" s="8">
        <v>4</v>
      </c>
      <c r="F40" s="21">
        <f>D40/F$10</f>
        <v>4.2480622475336649E+42</v>
      </c>
      <c r="G40" s="37" t="str">
        <f t="shared" si="16"/>
        <v>3;5754</v>
      </c>
      <c r="H40" s="38">
        <v>39</v>
      </c>
      <c r="I40" s="61">
        <f t="shared" si="29"/>
        <v>3.4683448830652686</v>
      </c>
      <c r="J40" s="39"/>
      <c r="K40" s="40" t="str">
        <f t="shared" si="3"/>
        <v>3</v>
      </c>
      <c r="L40" s="24">
        <f t="shared" si="17"/>
        <v>5.6201385967832227</v>
      </c>
      <c r="M40" s="41" t="str">
        <f t="shared" si="4"/>
        <v>5</v>
      </c>
      <c r="N40" s="24">
        <f t="shared" si="18"/>
        <v>7.4416631613986723</v>
      </c>
      <c r="O40" s="41" t="str">
        <f t="shared" si="5"/>
        <v>7</v>
      </c>
      <c r="P40" s="24">
        <f t="shared" si="19"/>
        <v>5.2999579367840681</v>
      </c>
      <c r="Q40" s="41" t="str">
        <f t="shared" si="6"/>
        <v>5</v>
      </c>
      <c r="R40" s="24">
        <f t="shared" si="20"/>
        <v>3.5994952414088175</v>
      </c>
      <c r="S40" s="41" t="str">
        <f t="shared" si="7"/>
        <v>4</v>
      </c>
      <c r="T40" s="24">
        <f t="shared" si="21"/>
        <v>7.1939428969058099</v>
      </c>
      <c r="U40" s="41" t="str">
        <f t="shared" si="8"/>
        <v/>
      </c>
      <c r="V40" s="24">
        <f t="shared" si="22"/>
        <v>2.3273147628697188</v>
      </c>
      <c r="W40" s="41" t="str">
        <f t="shared" si="9"/>
        <v/>
      </c>
      <c r="X40" s="24">
        <f t="shared" si="23"/>
        <v>3.927777154436626</v>
      </c>
      <c r="Y40" s="41" t="str">
        <f t="shared" si="10"/>
        <v/>
      </c>
      <c r="Z40" s="24">
        <f t="shared" si="24"/>
        <v>11.133325853239512</v>
      </c>
      <c r="AA40" s="41" t="str">
        <f t="shared" si="11"/>
        <v/>
      </c>
      <c r="AB40" s="24">
        <f t="shared" si="25"/>
        <v>1.5999102388741449</v>
      </c>
      <c r="AC40" s="41" t="str">
        <f t="shared" si="12"/>
        <v/>
      </c>
      <c r="AD40" s="24">
        <f t="shared" si="26"/>
        <v>7.1989228664897382</v>
      </c>
      <c r="AE40" s="41" t="str">
        <f t="shared" si="13"/>
        <v/>
      </c>
      <c r="AF40" s="24">
        <f t="shared" si="27"/>
        <v>2.3870743978768587</v>
      </c>
      <c r="AG40" s="41" t="str">
        <f t="shared" si="14"/>
        <v/>
      </c>
      <c r="AH40" s="24">
        <f t="shared" si="28"/>
        <v>4.6448927745223045</v>
      </c>
      <c r="AI40" s="41" t="str">
        <f t="shared" si="15"/>
        <v/>
      </c>
    </row>
    <row r="41" spans="1:35" ht="15" customHeight="1" x14ac:dyDescent="0.2">
      <c r="A41" s="581"/>
      <c r="B41" s="3" t="str">
        <f>Rydberg!B46</f>
        <v>Gravitic meter</v>
      </c>
      <c r="C41" s="3" t="str">
        <f>Rydberg!C46</f>
        <v>m</v>
      </c>
      <c r="D41" s="21">
        <f>Rydberg!D46</f>
        <v>9.5618936743262592E-35</v>
      </c>
      <c r="E41" s="8">
        <v>4</v>
      </c>
      <c r="F41" s="21">
        <f>D41/F$3</f>
        <v>3.9497140360008381E-34</v>
      </c>
      <c r="G41" s="37" t="str">
        <f t="shared" si="16"/>
        <v>1;1602</v>
      </c>
      <c r="H41" s="38">
        <v>-31</v>
      </c>
      <c r="I41" s="61">
        <f t="shared" si="29"/>
        <v>1.1250822701149084</v>
      </c>
      <c r="J41" s="39"/>
      <c r="K41" s="40" t="str">
        <f t="shared" si="3"/>
        <v>1</v>
      </c>
      <c r="L41" s="24">
        <f t="shared" si="17"/>
        <v>1.5009872413789003</v>
      </c>
      <c r="M41" s="41" t="str">
        <f t="shared" si="4"/>
        <v>1</v>
      </c>
      <c r="N41" s="24">
        <f t="shared" si="18"/>
        <v>6.0118468965468033</v>
      </c>
      <c r="O41" s="41" t="str">
        <f t="shared" si="5"/>
        <v>6</v>
      </c>
      <c r="P41" s="24">
        <f t="shared" si="19"/>
        <v>0.14216275856163918</v>
      </c>
      <c r="Q41" s="41" t="str">
        <f t="shared" si="6"/>
        <v>0</v>
      </c>
      <c r="R41" s="24">
        <f t="shared" si="20"/>
        <v>1.7059531027396702</v>
      </c>
      <c r="S41" s="41" t="str">
        <f t="shared" si="7"/>
        <v>2</v>
      </c>
      <c r="T41" s="24">
        <f t="shared" si="21"/>
        <v>8.4714372328760419</v>
      </c>
      <c r="U41" s="41" t="str">
        <f t="shared" si="8"/>
        <v/>
      </c>
      <c r="V41" s="24">
        <f t="shared" si="22"/>
        <v>5.6572467945125027</v>
      </c>
      <c r="W41" s="41" t="str">
        <f t="shared" si="9"/>
        <v/>
      </c>
      <c r="X41" s="24">
        <f t="shared" si="23"/>
        <v>7.8869615341500321</v>
      </c>
      <c r="Y41" s="41" t="str">
        <f t="shared" si="10"/>
        <v/>
      </c>
      <c r="Z41" s="24">
        <f t="shared" si="24"/>
        <v>10.643538409800385</v>
      </c>
      <c r="AA41" s="41" t="str">
        <f t="shared" si="11"/>
        <v/>
      </c>
      <c r="AB41" s="24">
        <f t="shared" si="25"/>
        <v>7.7224609176046215</v>
      </c>
      <c r="AC41" s="41" t="str">
        <f t="shared" si="12"/>
        <v/>
      </c>
      <c r="AD41" s="24">
        <f t="shared" si="26"/>
        <v>8.669531011255458</v>
      </c>
      <c r="AE41" s="41" t="str">
        <f t="shared" si="13"/>
        <v/>
      </c>
      <c r="AF41" s="24">
        <f t="shared" si="27"/>
        <v>8.034372135065496</v>
      </c>
      <c r="AG41" s="41" t="str">
        <f t="shared" si="14"/>
        <v/>
      </c>
      <c r="AH41" s="24">
        <f t="shared" si="28"/>
        <v>0.41246562078595161</v>
      </c>
      <c r="AI41" s="41" t="str">
        <f t="shared" si="15"/>
        <v/>
      </c>
    </row>
    <row r="42" spans="1:35" ht="15" customHeight="1" x14ac:dyDescent="0.2">
      <c r="A42" s="581"/>
      <c r="B42" s="3" t="str">
        <f>Rydberg!B47</f>
        <v>Planck length</v>
      </c>
      <c r="C42" s="3" t="str">
        <f>Rydberg!C47</f>
        <v>m</v>
      </c>
      <c r="D42" s="21">
        <f>Rydberg!D47</f>
        <v>1.6162550244237053E-35</v>
      </c>
      <c r="E42" s="8">
        <v>4</v>
      </c>
      <c r="F42" s="21">
        <f>D42/F$3</f>
        <v>6.6762352449740995E-35</v>
      </c>
      <c r="G42" s="37" t="str">
        <f t="shared" si="16"/>
        <v>2;3475</v>
      </c>
      <c r="H42" s="38">
        <v>-32</v>
      </c>
      <c r="I42" s="61">
        <f t="shared" si="29"/>
        <v>2.2820833620173593</v>
      </c>
      <c r="J42" s="39"/>
      <c r="K42" s="40" t="str">
        <f t="shared" si="3"/>
        <v>2</v>
      </c>
      <c r="L42" s="24">
        <f t="shared" si="17"/>
        <v>3.3850003442083114</v>
      </c>
      <c r="M42" s="41" t="str">
        <f t="shared" si="4"/>
        <v>3</v>
      </c>
      <c r="N42" s="24">
        <f t="shared" si="18"/>
        <v>4.620004130499737</v>
      </c>
      <c r="O42" s="41" t="str">
        <f t="shared" si="5"/>
        <v>4</v>
      </c>
      <c r="P42" s="24">
        <f t="shared" si="19"/>
        <v>7.4400495659968442</v>
      </c>
      <c r="Q42" s="41" t="str">
        <f t="shared" si="6"/>
        <v>7</v>
      </c>
      <c r="R42" s="24">
        <f t="shared" si="20"/>
        <v>5.2805947919621303</v>
      </c>
      <c r="S42" s="41" t="str">
        <f t="shared" si="7"/>
        <v>5</v>
      </c>
      <c r="T42" s="24">
        <f t="shared" si="21"/>
        <v>3.367137503545564</v>
      </c>
      <c r="U42" s="41" t="str">
        <f t="shared" si="8"/>
        <v/>
      </c>
      <c r="V42" s="24">
        <f t="shared" si="22"/>
        <v>4.4056500425467675</v>
      </c>
      <c r="W42" s="41" t="str">
        <f t="shared" si="9"/>
        <v/>
      </c>
      <c r="X42" s="24">
        <f t="shared" si="23"/>
        <v>4.8678005105612101</v>
      </c>
      <c r="Y42" s="41" t="str">
        <f t="shared" si="10"/>
        <v/>
      </c>
      <c r="Z42" s="24">
        <f t="shared" si="24"/>
        <v>10.413606126734521</v>
      </c>
      <c r="AA42" s="41" t="str">
        <f t="shared" si="11"/>
        <v/>
      </c>
      <c r="AB42" s="24">
        <f t="shared" si="25"/>
        <v>4.9632735208142549</v>
      </c>
      <c r="AC42" s="41" t="str">
        <f t="shared" si="12"/>
        <v/>
      </c>
      <c r="AD42" s="24">
        <f t="shared" si="26"/>
        <v>11.559282249771059</v>
      </c>
      <c r="AE42" s="41" t="str">
        <f t="shared" si="13"/>
        <v/>
      </c>
      <c r="AF42" s="24">
        <f t="shared" si="27"/>
        <v>6.7113869972527027</v>
      </c>
      <c r="AG42" s="41" t="str">
        <f t="shared" si="14"/>
        <v/>
      </c>
      <c r="AH42" s="24">
        <f t="shared" si="28"/>
        <v>8.5366439670324326</v>
      </c>
      <c r="AI42" s="41" t="str">
        <f t="shared" si="15"/>
        <v/>
      </c>
    </row>
    <row r="43" spans="1:35" ht="15" customHeight="1" x14ac:dyDescent="0.2">
      <c r="A43" s="581"/>
      <c r="B43" s="3" t="str">
        <f>Rydberg!B48</f>
        <v>Adjusted Planck length</v>
      </c>
      <c r="C43" s="3" t="str">
        <f>Rydberg!C48</f>
        <v>m</v>
      </c>
      <c r="D43" s="21">
        <f>Rydberg!D48</f>
        <v>1.8920265367777891E-34</v>
      </c>
      <c r="E43" s="8">
        <v>4</v>
      </c>
      <c r="F43" s="21">
        <f>D43/F$3</f>
        <v>7.8153596173760442E-34</v>
      </c>
      <c r="G43" s="37" t="str">
        <f t="shared" si="16"/>
        <v>2;286E</v>
      </c>
      <c r="H43" s="38">
        <v>-31</v>
      </c>
      <c r="I43" s="61">
        <f t="shared" si="29"/>
        <v>2.2262175083907656</v>
      </c>
      <c r="J43" s="39"/>
      <c r="K43" s="40" t="str">
        <f t="shared" si="3"/>
        <v>2</v>
      </c>
      <c r="L43" s="24">
        <f t="shared" si="17"/>
        <v>2.7146101006891872</v>
      </c>
      <c r="M43" s="41" t="str">
        <f t="shared" si="4"/>
        <v>2</v>
      </c>
      <c r="N43" s="24">
        <f t="shared" si="18"/>
        <v>8.5753212082702461</v>
      </c>
      <c r="O43" s="41" t="str">
        <f t="shared" si="5"/>
        <v>8</v>
      </c>
      <c r="P43" s="24">
        <f t="shared" si="19"/>
        <v>6.9038544992429536</v>
      </c>
      <c r="Q43" s="41" t="str">
        <f t="shared" si="6"/>
        <v>6</v>
      </c>
      <c r="R43" s="24">
        <f t="shared" si="20"/>
        <v>10.846253990915443</v>
      </c>
      <c r="S43" s="41" t="str">
        <f t="shared" si="7"/>
        <v>E</v>
      </c>
      <c r="T43" s="24">
        <f t="shared" si="21"/>
        <v>10.155047890985315</v>
      </c>
      <c r="U43" s="41" t="str">
        <f t="shared" si="8"/>
        <v/>
      </c>
      <c r="V43" s="24">
        <f t="shared" si="22"/>
        <v>1.8605746918237855</v>
      </c>
      <c r="W43" s="41" t="str">
        <f t="shared" si="9"/>
        <v/>
      </c>
      <c r="X43" s="24">
        <f t="shared" si="23"/>
        <v>10.326896301885427</v>
      </c>
      <c r="Y43" s="41" t="str">
        <f t="shared" si="10"/>
        <v/>
      </c>
      <c r="Z43" s="24">
        <f t="shared" si="24"/>
        <v>3.9227556226251181</v>
      </c>
      <c r="AA43" s="41" t="str">
        <f t="shared" si="11"/>
        <v/>
      </c>
      <c r="AB43" s="24">
        <f t="shared" si="25"/>
        <v>11.073067471501417</v>
      </c>
      <c r="AC43" s="41" t="str">
        <f t="shared" si="12"/>
        <v/>
      </c>
      <c r="AD43" s="24">
        <f t="shared" si="26"/>
        <v>0.8768096580170095</v>
      </c>
      <c r="AE43" s="41" t="str">
        <f t="shared" si="13"/>
        <v/>
      </c>
      <c r="AF43" s="24">
        <f t="shared" si="27"/>
        <v>10.521715896204114</v>
      </c>
      <c r="AG43" s="41" t="str">
        <f t="shared" si="14"/>
        <v/>
      </c>
      <c r="AH43" s="24">
        <f t="shared" si="28"/>
        <v>6.2605907544493675</v>
      </c>
      <c r="AI43" s="41" t="str">
        <f t="shared" si="15"/>
        <v/>
      </c>
    </row>
    <row r="44" spans="1:35" ht="15" customHeight="1" x14ac:dyDescent="0.2">
      <c r="A44" s="581"/>
      <c r="B44" s="3" t="str">
        <f>Rydberg!B49</f>
        <v>Stefan-Boltzmann constant</v>
      </c>
      <c r="C44" s="64" t="str">
        <f>Rydberg!C49</f>
        <v>W/m^2/K^4</v>
      </c>
      <c r="D44" s="21">
        <f>Rydberg!D49</f>
        <v>5.6703744191844301E-8</v>
      </c>
      <c r="E44" s="8">
        <v>6</v>
      </c>
      <c r="F44" s="21">
        <f>D44/(F$9*POWER(F$3,-2)*POWER(F$6,-4))</f>
        <v>1.5894819740516941E-11</v>
      </c>
      <c r="G44" s="37" t="str">
        <f t="shared" si="16"/>
        <v>E;98779</v>
      </c>
      <c r="H44" s="38">
        <v>-11</v>
      </c>
      <c r="I44" s="61">
        <f t="shared" si="29"/>
        <v>11.809984117780951</v>
      </c>
      <c r="J44" s="39"/>
      <c r="K44" s="40" t="str">
        <f t="shared" si="3"/>
        <v>E</v>
      </c>
      <c r="L44" s="24">
        <f t="shared" si="17"/>
        <v>9.719809413371415</v>
      </c>
      <c r="M44" s="41" t="str">
        <f t="shared" si="4"/>
        <v>9</v>
      </c>
      <c r="N44" s="24">
        <f t="shared" si="18"/>
        <v>8.6377129604569802</v>
      </c>
      <c r="O44" s="41" t="str">
        <f t="shared" si="5"/>
        <v>8</v>
      </c>
      <c r="P44" s="24">
        <f t="shared" si="19"/>
        <v>7.6525555254837627</v>
      </c>
      <c r="Q44" s="41" t="str">
        <f t="shared" si="6"/>
        <v>7</v>
      </c>
      <c r="R44" s="24">
        <f t="shared" si="20"/>
        <v>7.8306663058051527</v>
      </c>
      <c r="S44" s="41" t="str">
        <f t="shared" si="7"/>
        <v>7</v>
      </c>
      <c r="T44" s="24">
        <f t="shared" si="21"/>
        <v>9.9679956696618319</v>
      </c>
      <c r="U44" s="41" t="str">
        <f t="shared" si="8"/>
        <v>9</v>
      </c>
      <c r="V44" s="24">
        <f t="shared" si="22"/>
        <v>11.615948035941983</v>
      </c>
      <c r="W44" s="41" t="str">
        <f t="shared" si="9"/>
        <v/>
      </c>
      <c r="X44" s="24">
        <f t="shared" si="23"/>
        <v>7.3913764313037973</v>
      </c>
      <c r="Y44" s="41" t="str">
        <f t="shared" si="10"/>
        <v/>
      </c>
      <c r="Z44" s="24">
        <f t="shared" si="24"/>
        <v>4.6965171756455675</v>
      </c>
      <c r="AA44" s="41" t="str">
        <f t="shared" si="11"/>
        <v/>
      </c>
      <c r="AB44" s="24">
        <f t="shared" si="25"/>
        <v>8.3582061077468097</v>
      </c>
      <c r="AC44" s="41" t="str">
        <f t="shared" si="12"/>
        <v/>
      </c>
      <c r="AD44" s="24">
        <f t="shared" si="26"/>
        <v>4.2984732929617167</v>
      </c>
      <c r="AE44" s="41" t="str">
        <f t="shared" si="13"/>
        <v/>
      </c>
      <c r="AF44" s="24">
        <f t="shared" si="27"/>
        <v>3.5816795155405998</v>
      </c>
      <c r="AG44" s="41" t="str">
        <f t="shared" si="14"/>
        <v/>
      </c>
      <c r="AH44" s="24">
        <f t="shared" si="28"/>
        <v>6.9801541864871979</v>
      </c>
      <c r="AI44" s="41" t="str">
        <f t="shared" si="15"/>
        <v/>
      </c>
    </row>
    <row r="45" spans="1:35" ht="15" customHeight="1" x14ac:dyDescent="0.2">
      <c r="A45" s="581"/>
      <c r="B45" s="3" t="str">
        <f>Rydberg!B50</f>
        <v>Black-body radiation at the ice point</v>
      </c>
      <c r="C45" s="3" t="str">
        <f>Rydberg!C50</f>
        <v>W/m^2</v>
      </c>
      <c r="D45" s="21">
        <f>Rydberg!D50</f>
        <v>315.65782231107141</v>
      </c>
      <c r="E45" s="8">
        <v>6</v>
      </c>
      <c r="F45" s="21">
        <f>D45/(F$9*POWER(F$3,-2))</f>
        <v>0.9313568626569132</v>
      </c>
      <c r="G45" s="37" t="str">
        <f t="shared" si="16"/>
        <v>0;E21475</v>
      </c>
      <c r="H45" s="38">
        <v>0</v>
      </c>
      <c r="I45" s="61">
        <f t="shared" si="29"/>
        <v>0.9313568626569132</v>
      </c>
      <c r="J45" s="39"/>
      <c r="K45" s="40" t="str">
        <f t="shared" si="3"/>
        <v>0</v>
      </c>
      <c r="L45" s="24">
        <f t="shared" si="17"/>
        <v>11.176282351882959</v>
      </c>
      <c r="M45" s="41" t="str">
        <f t="shared" si="4"/>
        <v>E</v>
      </c>
      <c r="N45" s="24">
        <f t="shared" si="18"/>
        <v>2.1153882225955059</v>
      </c>
      <c r="O45" s="41" t="str">
        <f t="shared" si="5"/>
        <v>2</v>
      </c>
      <c r="P45" s="24">
        <f t="shared" si="19"/>
        <v>1.3846586711460702</v>
      </c>
      <c r="Q45" s="41" t="str">
        <f t="shared" si="6"/>
        <v>1</v>
      </c>
      <c r="R45" s="24">
        <f t="shared" si="20"/>
        <v>4.6159040537528426</v>
      </c>
      <c r="S45" s="41" t="str">
        <f t="shared" si="7"/>
        <v>4</v>
      </c>
      <c r="T45" s="24">
        <f t="shared" si="21"/>
        <v>7.3908486450341115</v>
      </c>
      <c r="U45" s="41" t="str">
        <f t="shared" si="8"/>
        <v>7</v>
      </c>
      <c r="V45" s="24">
        <f t="shared" si="22"/>
        <v>4.6901837404093385</v>
      </c>
      <c r="W45" s="41" t="str">
        <f t="shared" si="9"/>
        <v>5</v>
      </c>
      <c r="X45" s="24">
        <f t="shared" si="23"/>
        <v>8.282204884912062</v>
      </c>
      <c r="Y45" s="41" t="str">
        <f t="shared" si="10"/>
        <v/>
      </c>
      <c r="Z45" s="24">
        <f t="shared" si="24"/>
        <v>3.3864586189447436</v>
      </c>
      <c r="AA45" s="41" t="str">
        <f t="shared" si="11"/>
        <v/>
      </c>
      <c r="AB45" s="24">
        <f t="shared" si="25"/>
        <v>4.6375034273369238</v>
      </c>
      <c r="AC45" s="41" t="str">
        <f t="shared" si="12"/>
        <v/>
      </c>
      <c r="AD45" s="24">
        <f t="shared" si="26"/>
        <v>7.6500411280430853</v>
      </c>
      <c r="AE45" s="41" t="str">
        <f t="shared" si="13"/>
        <v/>
      </c>
      <c r="AF45" s="24">
        <f t="shared" si="27"/>
        <v>7.800493536517024</v>
      </c>
      <c r="AG45" s="41" t="str">
        <f t="shared" si="14"/>
        <v/>
      </c>
      <c r="AH45" s="24">
        <f t="shared" si="28"/>
        <v>9.6059224382042885</v>
      </c>
      <c r="AI45" s="41" t="str">
        <f t="shared" si="15"/>
        <v/>
      </c>
    </row>
    <row r="46" spans="1:35" ht="15" customHeight="1" x14ac:dyDescent="0.2">
      <c r="A46" s="581"/>
      <c r="B46" s="3" t="str">
        <f>Rydberg!B51</f>
        <v>Temperature of the triple point of water</v>
      </c>
      <c r="C46" s="3" t="str">
        <f>Rydberg!C51</f>
        <v>K</v>
      </c>
      <c r="D46" s="21">
        <f>Rydberg!D51</f>
        <v>273.16000000000003</v>
      </c>
      <c r="E46" s="8">
        <v>6</v>
      </c>
      <c r="F46" s="21">
        <f>D46/F$6</f>
        <v>492.01804065226804</v>
      </c>
      <c r="G46" s="37" t="str">
        <f t="shared" si="16"/>
        <v>3;500272</v>
      </c>
      <c r="H46" s="38">
        <v>2</v>
      </c>
      <c r="I46" s="61">
        <f t="shared" si="29"/>
        <v>3.4167919489740837</v>
      </c>
      <c r="J46" s="39"/>
      <c r="K46" s="40" t="str">
        <f t="shared" si="3"/>
        <v>3</v>
      </c>
      <c r="L46" s="24">
        <f t="shared" si="17"/>
        <v>5.001503387689004</v>
      </c>
      <c r="M46" s="41" t="str">
        <f t="shared" si="4"/>
        <v>5</v>
      </c>
      <c r="N46" s="24">
        <f t="shared" si="18"/>
        <v>1.8040652268048518E-2</v>
      </c>
      <c r="O46" s="41" t="str">
        <f t="shared" si="5"/>
        <v>0</v>
      </c>
      <c r="P46" s="24">
        <f t="shared" si="19"/>
        <v>0.21648782721658222</v>
      </c>
      <c r="Q46" s="41" t="str">
        <f t="shared" si="6"/>
        <v>0</v>
      </c>
      <c r="R46" s="24">
        <f t="shared" si="20"/>
        <v>2.5978539265989866</v>
      </c>
      <c r="S46" s="41" t="str">
        <f t="shared" si="7"/>
        <v>2</v>
      </c>
      <c r="T46" s="24">
        <f t="shared" si="21"/>
        <v>7.1742471191878394</v>
      </c>
      <c r="U46" s="41" t="str">
        <f t="shared" si="8"/>
        <v>7</v>
      </c>
      <c r="V46" s="24">
        <f t="shared" si="22"/>
        <v>2.090965430254073</v>
      </c>
      <c r="W46" s="41" t="str">
        <f t="shared" si="9"/>
        <v>2</v>
      </c>
      <c r="X46" s="24">
        <f t="shared" si="23"/>
        <v>1.091585163048876</v>
      </c>
      <c r="Y46" s="41" t="str">
        <f t="shared" si="10"/>
        <v/>
      </c>
      <c r="Z46" s="24">
        <f t="shared" si="24"/>
        <v>1.0990219565865118</v>
      </c>
      <c r="AA46" s="41" t="str">
        <f t="shared" si="11"/>
        <v/>
      </c>
      <c r="AB46" s="24">
        <f t="shared" si="25"/>
        <v>1.1882634790381417</v>
      </c>
      <c r="AC46" s="41" t="str">
        <f t="shared" si="12"/>
        <v/>
      </c>
      <c r="AD46" s="24">
        <f t="shared" si="26"/>
        <v>2.2591617484577</v>
      </c>
      <c r="AE46" s="41" t="str">
        <f t="shared" si="13"/>
        <v/>
      </c>
      <c r="AF46" s="24">
        <f t="shared" si="27"/>
        <v>3.1099409814924002</v>
      </c>
      <c r="AG46" s="41" t="str">
        <f t="shared" si="14"/>
        <v/>
      </c>
      <c r="AH46" s="24">
        <f t="shared" si="28"/>
        <v>1.319291777908802</v>
      </c>
      <c r="AI46" s="41" t="str">
        <f t="shared" si="15"/>
        <v/>
      </c>
    </row>
    <row r="47" spans="1:35" ht="15" customHeight="1" x14ac:dyDescent="0.2">
      <c r="A47" s="581"/>
      <c r="B47" s="3" t="str">
        <f>Rydberg!B52</f>
        <v>Molar volume of an ideal gas</v>
      </c>
      <c r="C47" s="3" t="str">
        <f>Rydberg!C52</f>
        <v>m^3/mol</v>
      </c>
      <c r="D47" s="21">
        <f>Rydberg!D52</f>
        <v>2.2413969539999998E-2</v>
      </c>
      <c r="E47" s="8">
        <v>6</v>
      </c>
      <c r="F47" s="21">
        <f>D47/(POWER(F$3,3)/F$7)</f>
        <v>22413.362273626437</v>
      </c>
      <c r="G47" s="37" t="str">
        <f t="shared" si="16"/>
        <v>1;0E7944</v>
      </c>
      <c r="H47" s="38">
        <v>4</v>
      </c>
      <c r="I47" s="61">
        <f t="shared" si="29"/>
        <v>1.0808913133500404</v>
      </c>
      <c r="J47" s="39"/>
      <c r="K47" s="40" t="str">
        <f t="shared" si="3"/>
        <v>1</v>
      </c>
      <c r="L47" s="24">
        <f t="shared" si="17"/>
        <v>0.97069576020048487</v>
      </c>
      <c r="M47" s="41" t="str">
        <f t="shared" si="4"/>
        <v>0</v>
      </c>
      <c r="N47" s="24">
        <f t="shared" si="18"/>
        <v>11.648349122405818</v>
      </c>
      <c r="O47" s="41" t="str">
        <f t="shared" si="5"/>
        <v>E</v>
      </c>
      <c r="P47" s="24">
        <f t="shared" si="19"/>
        <v>7.7801894688698212</v>
      </c>
      <c r="Q47" s="41" t="str">
        <f t="shared" si="6"/>
        <v>7</v>
      </c>
      <c r="R47" s="24">
        <f t="shared" si="20"/>
        <v>9.3622736264378545</v>
      </c>
      <c r="S47" s="41" t="str">
        <f t="shared" si="7"/>
        <v>9</v>
      </c>
      <c r="T47" s="24">
        <f t="shared" si="21"/>
        <v>4.3472835172542545</v>
      </c>
      <c r="U47" s="41" t="str">
        <f t="shared" si="8"/>
        <v>4</v>
      </c>
      <c r="V47" s="24">
        <f t="shared" si="22"/>
        <v>4.1674022070510546</v>
      </c>
      <c r="W47" s="41" t="str">
        <f t="shared" si="9"/>
        <v>4</v>
      </c>
      <c r="X47" s="24">
        <f t="shared" si="23"/>
        <v>2.0088264846126549</v>
      </c>
      <c r="Y47" s="41" t="str">
        <f t="shared" si="10"/>
        <v/>
      </c>
      <c r="Z47" s="24">
        <f t="shared" si="24"/>
        <v>0.10591781535185874</v>
      </c>
      <c r="AA47" s="41" t="str">
        <f t="shared" si="11"/>
        <v/>
      </c>
      <c r="AB47" s="24">
        <f t="shared" si="25"/>
        <v>1.2710137842223048</v>
      </c>
      <c r="AC47" s="41" t="str">
        <f t="shared" si="12"/>
        <v/>
      </c>
      <c r="AD47" s="24">
        <f t="shared" si="26"/>
        <v>3.2521654106676579</v>
      </c>
      <c r="AE47" s="41" t="str">
        <f t="shared" si="13"/>
        <v/>
      </c>
      <c r="AF47" s="24">
        <f t="shared" si="27"/>
        <v>3.0259849280118942</v>
      </c>
      <c r="AG47" s="41" t="str">
        <f t="shared" si="14"/>
        <v/>
      </c>
      <c r="AH47" s="24">
        <f t="shared" si="28"/>
        <v>0.31181913614273071</v>
      </c>
      <c r="AI47" s="41" t="str">
        <f t="shared" si="15"/>
        <v/>
      </c>
    </row>
    <row r="48" spans="1:35" ht="15" customHeight="1" x14ac:dyDescent="0.2">
      <c r="A48" s="581"/>
      <c r="B48" s="67" t="str">
        <f>Rydberg!B53</f>
        <v>-log(Sqrt([H+][OH-])/(mol/m^3))</v>
      </c>
      <c r="C48" s="3" t="str">
        <f>Rydberg!C53</f>
        <v>log(12)</v>
      </c>
      <c r="D48" s="21">
        <f>Rydberg!D53</f>
        <v>1.0039920318408906E-4</v>
      </c>
      <c r="E48" s="8">
        <v>4</v>
      </c>
      <c r="F48" s="21">
        <f>-LOG(D$48/(F$7*POWER(F$3,-3)))/LOG(12)</f>
        <v>9.2646698633541824</v>
      </c>
      <c r="G48" s="37" t="str">
        <f t="shared" si="16"/>
        <v>9;3214</v>
      </c>
      <c r="H48" s="38">
        <v>0</v>
      </c>
      <c r="I48" s="61">
        <f t="shared" si="29"/>
        <v>9.2646698633541824</v>
      </c>
      <c r="J48" s="39"/>
      <c r="K48" s="40" t="str">
        <f t="shared" si="3"/>
        <v>9</v>
      </c>
      <c r="L48" s="24">
        <f t="shared" si="17"/>
        <v>3.1760383602501889</v>
      </c>
      <c r="M48" s="41" t="str">
        <f t="shared" si="4"/>
        <v>3</v>
      </c>
      <c r="N48" s="24">
        <f t="shared" si="18"/>
        <v>2.1124603230022672</v>
      </c>
      <c r="O48" s="41" t="str">
        <f t="shared" si="5"/>
        <v>2</v>
      </c>
      <c r="P48" s="24">
        <f t="shared" si="19"/>
        <v>1.3495238760272059</v>
      </c>
      <c r="Q48" s="41" t="str">
        <f t="shared" si="6"/>
        <v>1</v>
      </c>
      <c r="R48" s="24">
        <f t="shared" si="20"/>
        <v>4.194286512326471</v>
      </c>
      <c r="S48" s="41" t="str">
        <f t="shared" si="7"/>
        <v>4</v>
      </c>
      <c r="T48" s="24">
        <f t="shared" si="21"/>
        <v>2.3314381479176518</v>
      </c>
      <c r="U48" s="41" t="str">
        <f t="shared" si="8"/>
        <v/>
      </c>
      <c r="V48" s="24">
        <f t="shared" si="22"/>
        <v>3.9772577750118216</v>
      </c>
      <c r="W48" s="41" t="str">
        <f t="shared" si="9"/>
        <v/>
      </c>
      <c r="X48" s="24">
        <f t="shared" si="23"/>
        <v>11.72709330014186</v>
      </c>
      <c r="Y48" s="41" t="str">
        <f t="shared" si="10"/>
        <v/>
      </c>
      <c r="Z48" s="24">
        <f t="shared" si="24"/>
        <v>8.7251196017023176</v>
      </c>
      <c r="AA48" s="41" t="str">
        <f t="shared" si="11"/>
        <v/>
      </c>
      <c r="AB48" s="24">
        <f t="shared" si="25"/>
        <v>8.7014352204278111</v>
      </c>
      <c r="AC48" s="41" t="str">
        <f t="shared" si="12"/>
        <v/>
      </c>
      <c r="AD48" s="24">
        <f t="shared" si="26"/>
        <v>8.4172226451337337</v>
      </c>
      <c r="AE48" s="41" t="str">
        <f t="shared" si="13"/>
        <v/>
      </c>
      <c r="AF48" s="24">
        <f t="shared" si="27"/>
        <v>5.006671741604805</v>
      </c>
      <c r="AG48" s="41" t="str">
        <f t="shared" si="14"/>
        <v/>
      </c>
      <c r="AH48" s="24">
        <f t="shared" si="28"/>
        <v>8.0060899257659912E-2</v>
      </c>
      <c r="AI48" s="41" t="str">
        <f t="shared" si="15"/>
        <v/>
      </c>
    </row>
    <row r="49" spans="1:35" ht="15" customHeight="1" x14ac:dyDescent="0.2">
      <c r="A49" s="581"/>
      <c r="B49" s="3" t="str">
        <f>Rydberg!B54</f>
        <v>Maximum density of water</v>
      </c>
      <c r="C49" s="3" t="str">
        <f>Rydberg!C54</f>
        <v>kg/m^3</v>
      </c>
      <c r="D49" s="21">
        <f>Rydberg!D54</f>
        <v>999.97199999999998</v>
      </c>
      <c r="E49" s="8">
        <v>6</v>
      </c>
      <c r="F49" s="21">
        <f>D49/(F$8*POWER(F$3,-3))</f>
        <v>0.99999909318498004</v>
      </c>
      <c r="G49" s="37" t="str">
        <f t="shared" si="16"/>
        <v>0;EEEEE9</v>
      </c>
      <c r="H49" s="38">
        <v>0</v>
      </c>
      <c r="I49" s="61">
        <f t="shared" si="29"/>
        <v>0.99999909318498004</v>
      </c>
      <c r="J49" s="39"/>
      <c r="K49" s="40" t="str">
        <f t="shared" si="3"/>
        <v>0</v>
      </c>
      <c r="L49" s="24">
        <f t="shared" si="17"/>
        <v>11.99998911821976</v>
      </c>
      <c r="M49" s="41" t="str">
        <f t="shared" si="4"/>
        <v>E</v>
      </c>
      <c r="N49" s="24">
        <f t="shared" si="18"/>
        <v>11.999869418637125</v>
      </c>
      <c r="O49" s="41" t="str">
        <f t="shared" si="5"/>
        <v>E</v>
      </c>
      <c r="P49" s="24">
        <f t="shared" si="19"/>
        <v>11.998433023645504</v>
      </c>
      <c r="Q49" s="41" t="str">
        <f t="shared" si="6"/>
        <v>E</v>
      </c>
      <c r="R49" s="24">
        <f t="shared" si="20"/>
        <v>11.981196283746044</v>
      </c>
      <c r="S49" s="41" t="str">
        <f t="shared" si="7"/>
        <v>E</v>
      </c>
      <c r="T49" s="24">
        <f t="shared" si="21"/>
        <v>11.77435540495253</v>
      </c>
      <c r="U49" s="41" t="str">
        <f t="shared" si="8"/>
        <v>E</v>
      </c>
      <c r="V49" s="24">
        <f t="shared" si="22"/>
        <v>9.292264859430361</v>
      </c>
      <c r="W49" s="41" t="str">
        <f t="shared" si="9"/>
        <v>9</v>
      </c>
      <c r="X49" s="24">
        <f t="shared" si="23"/>
        <v>3.5071783131643315</v>
      </c>
      <c r="Y49" s="41" t="str">
        <f t="shared" si="10"/>
        <v/>
      </c>
      <c r="Z49" s="24">
        <f t="shared" si="24"/>
        <v>6.0861397579719778</v>
      </c>
      <c r="AA49" s="41" t="str">
        <f t="shared" si="11"/>
        <v/>
      </c>
      <c r="AB49" s="24">
        <f t="shared" si="25"/>
        <v>1.0336770956637338</v>
      </c>
      <c r="AC49" s="41" t="str">
        <f t="shared" si="12"/>
        <v/>
      </c>
      <c r="AD49" s="24">
        <f t="shared" si="26"/>
        <v>0.40412514796480536</v>
      </c>
      <c r="AE49" s="41" t="str">
        <f t="shared" si="13"/>
        <v/>
      </c>
      <c r="AF49" s="24">
        <f t="shared" si="27"/>
        <v>4.8495017755776644</v>
      </c>
      <c r="AG49" s="41" t="str">
        <f t="shared" si="14"/>
        <v/>
      </c>
      <c r="AH49" s="24">
        <f t="shared" si="28"/>
        <v>10.194021306931973</v>
      </c>
      <c r="AI49" s="41" t="str">
        <f t="shared" si="15"/>
        <v/>
      </c>
    </row>
    <row r="50" spans="1:35" ht="15" customHeight="1" x14ac:dyDescent="0.2">
      <c r="A50" s="581"/>
      <c r="B50" s="3" t="str">
        <f>Rydberg!B55</f>
        <v>Density of ice at the ice point</v>
      </c>
      <c r="C50" s="3" t="str">
        <f>Rydberg!C55</f>
        <v>kg/m^3</v>
      </c>
      <c r="D50" s="21">
        <f>Rydberg!D55</f>
        <v>916.8</v>
      </c>
      <c r="E50" s="8">
        <v>4</v>
      </c>
      <c r="F50" s="21">
        <f>D50/(F$8*POWER(F$3,-3))</f>
        <v>0.91682483972750206</v>
      </c>
      <c r="G50" s="37" t="str">
        <f t="shared" si="16"/>
        <v>0;E003</v>
      </c>
      <c r="H50" s="38">
        <v>0</v>
      </c>
      <c r="I50" s="61">
        <f t="shared" si="29"/>
        <v>0.91682483972750206</v>
      </c>
      <c r="J50" s="39"/>
      <c r="K50" s="40" t="str">
        <f t="shared" si="3"/>
        <v>0</v>
      </c>
      <c r="L50" s="24">
        <f t="shared" si="17"/>
        <v>11.001898076730026</v>
      </c>
      <c r="M50" s="41" t="str">
        <f t="shared" si="4"/>
        <v>E</v>
      </c>
      <c r="N50" s="24">
        <f t="shared" si="18"/>
        <v>2.2776920760307462E-2</v>
      </c>
      <c r="O50" s="41" t="str">
        <f t="shared" si="5"/>
        <v>0</v>
      </c>
      <c r="P50" s="24">
        <f t="shared" si="19"/>
        <v>0.27332304912368954</v>
      </c>
      <c r="Q50" s="41" t="str">
        <f t="shared" si="6"/>
        <v>0</v>
      </c>
      <c r="R50" s="24">
        <f t="shared" si="20"/>
        <v>3.2798765894842745</v>
      </c>
      <c r="S50" s="41" t="str">
        <f t="shared" si="7"/>
        <v>3</v>
      </c>
      <c r="T50" s="24">
        <f t="shared" si="21"/>
        <v>3.3585190738112942</v>
      </c>
      <c r="U50" s="41" t="str">
        <f t="shared" si="8"/>
        <v/>
      </c>
      <c r="V50" s="24">
        <f t="shared" si="22"/>
        <v>4.3022288857355306</v>
      </c>
      <c r="W50" s="41" t="str">
        <f t="shared" si="9"/>
        <v/>
      </c>
      <c r="X50" s="24">
        <f t="shared" si="23"/>
        <v>3.6267466288263677</v>
      </c>
      <c r="Y50" s="41" t="str">
        <f t="shared" si="10"/>
        <v/>
      </c>
      <c r="Z50" s="24">
        <f t="shared" si="24"/>
        <v>7.520959545916412</v>
      </c>
      <c r="AA50" s="41" t="str">
        <f t="shared" si="11"/>
        <v/>
      </c>
      <c r="AB50" s="24">
        <f t="shared" si="25"/>
        <v>6.2515145509969443</v>
      </c>
      <c r="AC50" s="41" t="str">
        <f t="shared" si="12"/>
        <v/>
      </c>
      <c r="AD50" s="24">
        <f t="shared" si="26"/>
        <v>3.0181746119633317</v>
      </c>
      <c r="AE50" s="41" t="str">
        <f t="shared" si="13"/>
        <v/>
      </c>
      <c r="AF50" s="24">
        <f t="shared" si="27"/>
        <v>0.21809534355998039</v>
      </c>
      <c r="AG50" s="41" t="str">
        <f t="shared" si="14"/>
        <v/>
      </c>
      <c r="AH50" s="24">
        <f t="shared" si="28"/>
        <v>2.6171441227197647</v>
      </c>
      <c r="AI50" s="41" t="str">
        <f t="shared" si="15"/>
        <v/>
      </c>
    </row>
    <row r="51" spans="1:35" ht="15" customHeight="1" x14ac:dyDescent="0.2">
      <c r="A51" s="581"/>
      <c r="B51" s="3" t="str">
        <f>Rydberg!B56</f>
        <v>Specific heat of water</v>
      </c>
      <c r="C51" s="3" t="str">
        <f>Rydberg!C56</f>
        <v>J/kg/K</v>
      </c>
      <c r="D51" s="21">
        <f>Rydberg!D56</f>
        <v>4184</v>
      </c>
      <c r="E51" s="8">
        <v>4</v>
      </c>
      <c r="F51" s="21">
        <f>D51/(F$5/F$8/F$6)</f>
        <v>4778.4416110846269</v>
      </c>
      <c r="G51" s="37" t="str">
        <f t="shared" si="16"/>
        <v>2;9225</v>
      </c>
      <c r="H51" s="38">
        <v>3</v>
      </c>
      <c r="I51" s="61">
        <f t="shared" si="29"/>
        <v>2.7653018582665663</v>
      </c>
      <c r="J51" s="39"/>
      <c r="K51" s="40" t="str">
        <f t="shared" si="3"/>
        <v>2</v>
      </c>
      <c r="L51" s="24">
        <f t="shared" si="17"/>
        <v>9.1836222991987952</v>
      </c>
      <c r="M51" s="41" t="str">
        <f t="shared" si="4"/>
        <v>9</v>
      </c>
      <c r="N51" s="24">
        <f t="shared" si="18"/>
        <v>2.203467590385543</v>
      </c>
      <c r="O51" s="41" t="str">
        <f t="shared" si="5"/>
        <v>2</v>
      </c>
      <c r="P51" s="24">
        <f t="shared" si="19"/>
        <v>2.4416110846265155</v>
      </c>
      <c r="Q51" s="41" t="str">
        <f t="shared" si="6"/>
        <v>2</v>
      </c>
      <c r="R51" s="24">
        <f t="shared" si="20"/>
        <v>5.2993330155181866</v>
      </c>
      <c r="S51" s="41" t="str">
        <f t="shared" si="7"/>
        <v>5</v>
      </c>
      <c r="T51" s="24">
        <f t="shared" si="21"/>
        <v>3.591996186218239</v>
      </c>
      <c r="U51" s="41" t="str">
        <f t="shared" si="8"/>
        <v/>
      </c>
      <c r="V51" s="24">
        <f t="shared" si="22"/>
        <v>7.1039542346188682</v>
      </c>
      <c r="W51" s="41" t="str">
        <f t="shared" si="9"/>
        <v/>
      </c>
      <c r="X51" s="24">
        <f t="shared" si="23"/>
        <v>1.2474508154264186</v>
      </c>
      <c r="Y51" s="41" t="str">
        <f t="shared" si="10"/>
        <v/>
      </c>
      <c r="Z51" s="24">
        <f t="shared" si="24"/>
        <v>2.9694097851170227</v>
      </c>
      <c r="AA51" s="41" t="str">
        <f t="shared" si="11"/>
        <v/>
      </c>
      <c r="AB51" s="24">
        <f t="shared" si="25"/>
        <v>11.632917421404272</v>
      </c>
      <c r="AC51" s="41" t="str">
        <f t="shared" si="12"/>
        <v/>
      </c>
      <c r="AD51" s="24">
        <f t="shared" si="26"/>
        <v>7.5950090568512678</v>
      </c>
      <c r="AE51" s="41" t="str">
        <f t="shared" si="13"/>
        <v/>
      </c>
      <c r="AF51" s="24">
        <f t="shared" si="27"/>
        <v>7.1401086822152138</v>
      </c>
      <c r="AG51" s="41" t="str">
        <f t="shared" si="14"/>
        <v/>
      </c>
      <c r="AH51" s="24">
        <f t="shared" si="28"/>
        <v>1.6813041865825653</v>
      </c>
      <c r="AI51" s="41" t="str">
        <f t="shared" si="15"/>
        <v/>
      </c>
    </row>
    <row r="52" spans="1:35" ht="15" customHeight="1" x14ac:dyDescent="0.2">
      <c r="A52" s="581"/>
      <c r="B52" s="3" t="str">
        <f>Rydberg!B57</f>
        <v>Surface tension of water at 25℃</v>
      </c>
      <c r="C52" s="3" t="str">
        <f>Rydberg!C57</f>
        <v>N/m</v>
      </c>
      <c r="D52" s="21">
        <f>Rydberg!D57</f>
        <v>7.1970000000000006E-2</v>
      </c>
      <c r="E52" s="8">
        <v>4</v>
      </c>
      <c r="F52" s="21">
        <f>D$52/(F$10/F$3)</f>
        <v>6.1156629648465857E-4</v>
      </c>
      <c r="G52" s="37" t="str">
        <f t="shared" si="16"/>
        <v>1;0822</v>
      </c>
      <c r="H52" s="38">
        <v>-3</v>
      </c>
      <c r="I52" s="61">
        <f t="shared" si="29"/>
        <v>1.05678656032549</v>
      </c>
      <c r="J52" s="39"/>
      <c r="K52" s="40" t="str">
        <f t="shared" si="3"/>
        <v>1</v>
      </c>
      <c r="L52" s="24">
        <f t="shared" si="17"/>
        <v>0.68143872390588012</v>
      </c>
      <c r="M52" s="41" t="str">
        <f t="shared" si="4"/>
        <v>0</v>
      </c>
      <c r="N52" s="24">
        <f t="shared" si="18"/>
        <v>8.1772646868705614</v>
      </c>
      <c r="O52" s="41" t="str">
        <f t="shared" si="5"/>
        <v>8</v>
      </c>
      <c r="P52" s="24">
        <f t="shared" si="19"/>
        <v>2.1271762424467369</v>
      </c>
      <c r="Q52" s="41" t="str">
        <f t="shared" si="6"/>
        <v>2</v>
      </c>
      <c r="R52" s="24">
        <f t="shared" si="20"/>
        <v>1.5261149093608424</v>
      </c>
      <c r="S52" s="41" t="str">
        <f t="shared" si="7"/>
        <v>2</v>
      </c>
      <c r="T52" s="24">
        <f t="shared" si="21"/>
        <v>6.3133789123301085</v>
      </c>
      <c r="U52" s="41" t="str">
        <f t="shared" si="8"/>
        <v/>
      </c>
      <c r="V52" s="24">
        <f t="shared" si="22"/>
        <v>3.7605469479613021</v>
      </c>
      <c r="W52" s="41" t="str">
        <f t="shared" si="9"/>
        <v/>
      </c>
      <c r="X52" s="24">
        <f t="shared" si="23"/>
        <v>9.1265633755356248</v>
      </c>
      <c r="Y52" s="41" t="str">
        <f t="shared" si="10"/>
        <v/>
      </c>
      <c r="Z52" s="24">
        <f t="shared" si="24"/>
        <v>1.5187605064274976</v>
      </c>
      <c r="AA52" s="41" t="str">
        <f t="shared" si="11"/>
        <v/>
      </c>
      <c r="AB52" s="24">
        <f t="shared" si="25"/>
        <v>6.2251260771299712</v>
      </c>
      <c r="AC52" s="41" t="str">
        <f t="shared" si="12"/>
        <v/>
      </c>
      <c r="AD52" s="24">
        <f t="shared" si="26"/>
        <v>2.7015129255596548</v>
      </c>
      <c r="AE52" s="41" t="str">
        <f t="shared" si="13"/>
        <v/>
      </c>
      <c r="AF52" s="24">
        <f t="shared" si="27"/>
        <v>8.418155106715858</v>
      </c>
      <c r="AG52" s="41" t="str">
        <f t="shared" si="14"/>
        <v/>
      </c>
      <c r="AH52" s="24">
        <f t="shared" si="28"/>
        <v>5.0178612805902958</v>
      </c>
      <c r="AI52" s="41" t="str">
        <f t="shared" si="15"/>
        <v/>
      </c>
    </row>
    <row r="53" spans="1:35" ht="15" customHeight="1" x14ac:dyDescent="0.2">
      <c r="A53" s="581"/>
      <c r="B53" s="3" t="str">
        <f>Rydberg!B62</f>
        <v>Standard atmosphere</v>
      </c>
      <c r="C53" s="3" t="str">
        <f>Rydberg!C62</f>
        <v>P</v>
      </c>
      <c r="D53" s="21">
        <f>Rydberg!D62</f>
        <v>101325</v>
      </c>
      <c r="E53" s="8">
        <v>6</v>
      </c>
      <c r="F53" s="21">
        <f>D53/F$11</f>
        <v>208.4428055311578</v>
      </c>
      <c r="G53" s="37" t="str">
        <f t="shared" si="16"/>
        <v>1;545392</v>
      </c>
      <c r="H53" s="38">
        <v>2</v>
      </c>
      <c r="I53" s="61">
        <f t="shared" si="29"/>
        <v>1.4475194828552624</v>
      </c>
      <c r="J53" s="39"/>
      <c r="K53" s="40" t="str">
        <f t="shared" si="3"/>
        <v>1</v>
      </c>
      <c r="L53" s="24">
        <f t="shared" si="17"/>
        <v>5.3702337942631493</v>
      </c>
      <c r="M53" s="41" t="str">
        <f t="shared" si="4"/>
        <v>5</v>
      </c>
      <c r="N53" s="24">
        <f t="shared" si="18"/>
        <v>4.4428055311577914</v>
      </c>
      <c r="O53" s="41" t="str">
        <f t="shared" si="5"/>
        <v>4</v>
      </c>
      <c r="P53" s="24">
        <f t="shared" si="19"/>
        <v>5.3136663738934971</v>
      </c>
      <c r="Q53" s="41" t="str">
        <f t="shared" si="6"/>
        <v>5</v>
      </c>
      <c r="R53" s="24">
        <f t="shared" si="20"/>
        <v>3.7639964867219646</v>
      </c>
      <c r="S53" s="41" t="str">
        <f t="shared" si="7"/>
        <v>3</v>
      </c>
      <c r="T53" s="24">
        <f t="shared" si="21"/>
        <v>9.1679578406635756</v>
      </c>
      <c r="U53" s="41" t="str">
        <f t="shared" si="8"/>
        <v>9</v>
      </c>
      <c r="V53" s="24">
        <f t="shared" si="22"/>
        <v>2.0154940879629066</v>
      </c>
      <c r="W53" s="41" t="str">
        <f t="shared" si="9"/>
        <v>2</v>
      </c>
      <c r="X53" s="24">
        <f t="shared" si="23"/>
        <v>0.1859290555548796</v>
      </c>
      <c r="Y53" s="41" t="str">
        <f t="shared" si="10"/>
        <v/>
      </c>
      <c r="Z53" s="24">
        <f t="shared" si="24"/>
        <v>2.2311486666585552</v>
      </c>
      <c r="AA53" s="41" t="str">
        <f t="shared" si="11"/>
        <v/>
      </c>
      <c r="AB53" s="24">
        <f t="shared" si="25"/>
        <v>2.7737839999026619</v>
      </c>
      <c r="AC53" s="41" t="str">
        <f t="shared" si="12"/>
        <v/>
      </c>
      <c r="AD53" s="24">
        <f t="shared" si="26"/>
        <v>9.2854079988319427</v>
      </c>
      <c r="AE53" s="41" t="str">
        <f t="shared" si="13"/>
        <v/>
      </c>
      <c r="AF53" s="24">
        <f t="shared" si="27"/>
        <v>3.4248959859833121</v>
      </c>
      <c r="AG53" s="41" t="str">
        <f t="shared" si="14"/>
        <v/>
      </c>
      <c r="AH53" s="24">
        <f t="shared" si="28"/>
        <v>5.0987518317997456</v>
      </c>
      <c r="AI53" s="41" t="str">
        <f t="shared" si="15"/>
        <v/>
      </c>
    </row>
    <row r="54" spans="1:35" ht="15" customHeight="1" x14ac:dyDescent="0.2">
      <c r="A54" s="581"/>
      <c r="B54" s="3" t="str">
        <f>Rydberg!B63</f>
        <v>Standard gravitational acceleration</v>
      </c>
      <c r="C54" s="3" t="str">
        <f>Rydberg!C63</f>
        <v>m/s^2</v>
      </c>
      <c r="D54" s="21">
        <f>Rydberg!D63</f>
        <v>9.8066499999999994</v>
      </c>
      <c r="E54" s="8">
        <v>7</v>
      </c>
      <c r="F54" s="21">
        <f>D54/(F$3/F$4/F$4)</f>
        <v>4.8837954205948826</v>
      </c>
      <c r="G54" s="37" t="str">
        <f t="shared" si="16"/>
        <v>4;X73246</v>
      </c>
      <c r="H54" s="38">
        <v>0</v>
      </c>
      <c r="I54" s="61">
        <f t="shared" si="29"/>
        <v>4.8837954205948826</v>
      </c>
      <c r="J54" s="39"/>
      <c r="K54" s="40" t="str">
        <f t="shared" si="3"/>
        <v>4</v>
      </c>
      <c r="L54" s="24">
        <f t="shared" si="17"/>
        <v>10.605545047138591</v>
      </c>
      <c r="M54" s="41" t="str">
        <f t="shared" si="4"/>
        <v>X</v>
      </c>
      <c r="N54" s="24">
        <f t="shared" si="18"/>
        <v>7.2665405656630924</v>
      </c>
      <c r="O54" s="41" t="str">
        <f t="shared" si="5"/>
        <v>7</v>
      </c>
      <c r="P54" s="24">
        <f t="shared" si="19"/>
        <v>3.1984867879571084</v>
      </c>
      <c r="Q54" s="41" t="str">
        <f t="shared" si="6"/>
        <v>3</v>
      </c>
      <c r="R54" s="24">
        <f t="shared" si="20"/>
        <v>2.3818414554853007</v>
      </c>
      <c r="S54" s="41" t="str">
        <f t="shared" si="7"/>
        <v>2</v>
      </c>
      <c r="T54" s="24">
        <f t="shared" si="21"/>
        <v>4.5820974658236082</v>
      </c>
      <c r="U54" s="41" t="str">
        <f t="shared" si="8"/>
        <v>4</v>
      </c>
      <c r="V54" s="24">
        <f t="shared" si="22"/>
        <v>6.9851695898832986</v>
      </c>
      <c r="W54" s="41" t="str">
        <f t="shared" si="9"/>
        <v>6</v>
      </c>
      <c r="X54" s="24">
        <f t="shared" si="23"/>
        <v>11.822035078599583</v>
      </c>
      <c r="Y54" s="41" t="str">
        <f t="shared" si="10"/>
        <v/>
      </c>
      <c r="Z54" s="24">
        <f t="shared" si="24"/>
        <v>9.8644209431950003</v>
      </c>
      <c r="AA54" s="41" t="str">
        <f t="shared" si="11"/>
        <v/>
      </c>
      <c r="AB54" s="24">
        <f t="shared" si="25"/>
        <v>10.373051318340003</v>
      </c>
      <c r="AC54" s="41" t="str">
        <f t="shared" si="12"/>
        <v/>
      </c>
      <c r="AD54" s="24">
        <f t="shared" si="26"/>
        <v>4.4766158200800419</v>
      </c>
      <c r="AE54" s="41" t="str">
        <f t="shared" si="13"/>
        <v/>
      </c>
      <c r="AF54" s="24">
        <f t="shared" si="27"/>
        <v>5.7193898409605026</v>
      </c>
      <c r="AG54" s="41" t="str">
        <f t="shared" si="14"/>
        <v/>
      </c>
      <c r="AH54" s="24">
        <f t="shared" si="28"/>
        <v>8.6326780915260315</v>
      </c>
      <c r="AI54" s="41" t="str">
        <f t="shared" si="15"/>
        <v/>
      </c>
    </row>
    <row r="55" spans="1:35" ht="15" customHeight="1" x14ac:dyDescent="0.2">
      <c r="A55" s="581"/>
      <c r="B55" s="3" t="str">
        <f>Rydberg!B64</f>
        <v>Gravitational radius of the Earth</v>
      </c>
      <c r="C55" s="3" t="str">
        <f>Rydberg!C64</f>
        <v>m</v>
      </c>
      <c r="D55" s="21">
        <f>Rydberg!D64</f>
        <v>4.4350280391176706E-3</v>
      </c>
      <c r="E55" s="8">
        <v>7</v>
      </c>
      <c r="F55" s="21">
        <f>D55/F$3</f>
        <v>1.8319689689913446E-2</v>
      </c>
      <c r="G55" s="37" t="str">
        <f t="shared" si="16"/>
        <v>2;77X6373</v>
      </c>
      <c r="H55" s="38">
        <v>-2</v>
      </c>
      <c r="I55" s="61">
        <f t="shared" si="29"/>
        <v>2.6380353153475364</v>
      </c>
      <c r="J55" s="39"/>
      <c r="K55" s="40" t="str">
        <f t="shared" si="3"/>
        <v>2</v>
      </c>
      <c r="L55" s="24">
        <f t="shared" si="17"/>
        <v>7.6564237841704372</v>
      </c>
      <c r="M55" s="41" t="str">
        <f t="shared" si="4"/>
        <v>7</v>
      </c>
      <c r="N55" s="24">
        <f t="shared" si="18"/>
        <v>7.8770854100452468</v>
      </c>
      <c r="O55" s="41" t="str">
        <f t="shared" si="5"/>
        <v>7</v>
      </c>
      <c r="P55" s="24">
        <f t="shared" si="19"/>
        <v>10.525024920542961</v>
      </c>
      <c r="Q55" s="41" t="str">
        <f t="shared" si="6"/>
        <v>X</v>
      </c>
      <c r="R55" s="24">
        <f t="shared" si="20"/>
        <v>6.3002990465155335</v>
      </c>
      <c r="S55" s="41" t="str">
        <f t="shared" si="7"/>
        <v>6</v>
      </c>
      <c r="T55" s="24">
        <f t="shared" si="21"/>
        <v>3.6035885581864022</v>
      </c>
      <c r="U55" s="41" t="str">
        <f t="shared" si="8"/>
        <v>3</v>
      </c>
      <c r="V55" s="24">
        <f t="shared" si="22"/>
        <v>7.2430626982368267</v>
      </c>
      <c r="W55" s="41" t="str">
        <f t="shared" si="9"/>
        <v>7</v>
      </c>
      <c r="X55" s="24">
        <f t="shared" si="23"/>
        <v>2.9167523788419203</v>
      </c>
      <c r="Y55" s="41" t="str">
        <f t="shared" si="10"/>
        <v>3</v>
      </c>
      <c r="Z55" s="24">
        <f t="shared" si="24"/>
        <v>11.001028546103043</v>
      </c>
      <c r="AA55" s="41" t="str">
        <f t="shared" si="11"/>
        <v/>
      </c>
      <c r="AB55" s="24">
        <f t="shared" si="25"/>
        <v>1.234255323652178E-2</v>
      </c>
      <c r="AC55" s="41" t="str">
        <f t="shared" si="12"/>
        <v/>
      </c>
      <c r="AD55" s="24">
        <f t="shared" si="26"/>
        <v>0.14811063883826137</v>
      </c>
      <c r="AE55" s="41" t="str">
        <f t="shared" si="13"/>
        <v/>
      </c>
      <c r="AF55" s="24">
        <f t="shared" si="27"/>
        <v>1.7773276660591364</v>
      </c>
      <c r="AG55" s="41" t="str">
        <f t="shared" si="14"/>
        <v/>
      </c>
      <c r="AH55" s="24">
        <f t="shared" si="28"/>
        <v>9.3279319927096367</v>
      </c>
      <c r="AI55" s="41" t="str">
        <f t="shared" si="15"/>
        <v/>
      </c>
    </row>
    <row r="56" spans="1:35" ht="15" customHeight="1" x14ac:dyDescent="0.2">
      <c r="A56" s="581"/>
      <c r="B56" s="3" t="str">
        <f>Rydberg!B65</f>
        <v>Equatorial radius of the Earth</v>
      </c>
      <c r="C56" s="3" t="str">
        <f>Rydberg!C65</f>
        <v>m</v>
      </c>
      <c r="D56" s="21">
        <f>Rydberg!D65</f>
        <v>6378137</v>
      </c>
      <c r="E56" s="8">
        <v>10</v>
      </c>
      <c r="F56" s="21">
        <f>D56/F$3</f>
        <v>26346054.547831312</v>
      </c>
      <c r="G56" s="37" t="str">
        <f t="shared" si="16"/>
        <v>8;9X668666X8</v>
      </c>
      <c r="H56" s="38">
        <v>6</v>
      </c>
      <c r="I56" s="61">
        <f t="shared" si="29"/>
        <v>8.823240361579737</v>
      </c>
      <c r="J56" s="39"/>
      <c r="K56" s="40" t="str">
        <f t="shared" si="3"/>
        <v>8</v>
      </c>
      <c r="L56" s="24">
        <f t="shared" si="17"/>
        <v>9.8788843389568441</v>
      </c>
      <c r="M56" s="41" t="str">
        <f t="shared" si="4"/>
        <v>9</v>
      </c>
      <c r="N56" s="24">
        <f t="shared" si="18"/>
        <v>10.54661206748213</v>
      </c>
      <c r="O56" s="41" t="str">
        <f t="shared" si="5"/>
        <v>X</v>
      </c>
      <c r="P56" s="24">
        <f t="shared" si="19"/>
        <v>6.5593448097855571</v>
      </c>
      <c r="Q56" s="41" t="str">
        <f t="shared" si="6"/>
        <v>6</v>
      </c>
      <c r="R56" s="24">
        <f t="shared" si="20"/>
        <v>6.7121377174266854</v>
      </c>
      <c r="S56" s="41" t="str">
        <f t="shared" si="7"/>
        <v>6</v>
      </c>
      <c r="T56" s="24">
        <f t="shared" si="21"/>
        <v>8.545652609120225</v>
      </c>
      <c r="U56" s="41" t="str">
        <f t="shared" si="8"/>
        <v>8</v>
      </c>
      <c r="V56" s="24">
        <f t="shared" si="22"/>
        <v>6.5478313094426994</v>
      </c>
      <c r="W56" s="41" t="str">
        <f t="shared" si="9"/>
        <v>6</v>
      </c>
      <c r="X56" s="24">
        <f t="shared" si="23"/>
        <v>6.5739757133123931</v>
      </c>
      <c r="Y56" s="41" t="str">
        <f t="shared" si="10"/>
        <v>6</v>
      </c>
      <c r="Z56" s="24">
        <f t="shared" si="24"/>
        <v>6.8877085597487167</v>
      </c>
      <c r="AA56" s="41" t="str">
        <f t="shared" si="11"/>
        <v>6</v>
      </c>
      <c r="AB56" s="24">
        <f t="shared" si="25"/>
        <v>10.6525027169846</v>
      </c>
      <c r="AC56" s="41" t="str">
        <f t="shared" si="12"/>
        <v>X</v>
      </c>
      <c r="AD56" s="24">
        <f t="shared" si="26"/>
        <v>7.8300326038151979</v>
      </c>
      <c r="AE56" s="41" t="str">
        <f t="shared" si="13"/>
        <v>8</v>
      </c>
      <c r="AF56" s="24">
        <f t="shared" si="27"/>
        <v>9.9603912457823753</v>
      </c>
      <c r="AG56" s="41" t="str">
        <f t="shared" si="14"/>
        <v/>
      </c>
      <c r="AH56" s="24">
        <f t="shared" si="28"/>
        <v>11.524694949388504</v>
      </c>
      <c r="AI56" s="41" t="str">
        <f t="shared" si="15"/>
        <v/>
      </c>
    </row>
    <row r="57" spans="1:35" ht="15" customHeight="1" x14ac:dyDescent="0.2">
      <c r="A57" s="581"/>
      <c r="B57" s="3" t="str">
        <f>Rydberg!B66</f>
        <v>Meridian length of the Earth / 4</v>
      </c>
      <c r="C57" s="3" t="str">
        <f>Rydberg!C66</f>
        <v>m</v>
      </c>
      <c r="D57" s="21">
        <f>Rydberg!D66</f>
        <v>10001965.75</v>
      </c>
      <c r="E57" s="8">
        <v>7</v>
      </c>
      <c r="F57" s="21">
        <f>D57/F$3</f>
        <v>41314938.082239456</v>
      </c>
      <c r="G57" s="37" t="str">
        <f t="shared" si="16"/>
        <v>1;1X05136</v>
      </c>
      <c r="H57" s="38">
        <v>7</v>
      </c>
      <c r="I57" s="61">
        <f t="shared" si="29"/>
        <v>1.1530240975347785</v>
      </c>
      <c r="J57" s="39"/>
      <c r="K57" s="40" t="str">
        <f t="shared" si="3"/>
        <v>1</v>
      </c>
      <c r="L57" s="24">
        <f t="shared" si="17"/>
        <v>1.8362891704173423</v>
      </c>
      <c r="M57" s="41" t="str">
        <f t="shared" si="4"/>
        <v>1</v>
      </c>
      <c r="N57" s="24">
        <f t="shared" si="18"/>
        <v>10.035470045008108</v>
      </c>
      <c r="O57" s="41" t="str">
        <f t="shared" si="5"/>
        <v>X</v>
      </c>
      <c r="P57" s="24">
        <f t="shared" si="19"/>
        <v>0.42564054009729091</v>
      </c>
      <c r="Q57" s="41" t="str">
        <f t="shared" si="6"/>
        <v>0</v>
      </c>
      <c r="R57" s="24">
        <f t="shared" si="20"/>
        <v>5.1076864811674909</v>
      </c>
      <c r="S57" s="41" t="str">
        <f t="shared" si="7"/>
        <v>5</v>
      </c>
      <c r="T57" s="24">
        <f t="shared" si="21"/>
        <v>1.2922377740098909</v>
      </c>
      <c r="U57" s="41" t="str">
        <f t="shared" si="8"/>
        <v>1</v>
      </c>
      <c r="V57" s="24">
        <f t="shared" si="22"/>
        <v>3.5068532881186911</v>
      </c>
      <c r="W57" s="41" t="str">
        <f t="shared" si="9"/>
        <v>3</v>
      </c>
      <c r="X57" s="24">
        <f t="shared" si="23"/>
        <v>6.0822394574242935</v>
      </c>
      <c r="Y57" s="41" t="str">
        <f t="shared" si="10"/>
        <v>6</v>
      </c>
      <c r="Z57" s="24">
        <f t="shared" si="24"/>
        <v>0.98687348909152206</v>
      </c>
      <c r="AA57" s="41" t="str">
        <f t="shared" si="11"/>
        <v/>
      </c>
      <c r="AB57" s="24">
        <f t="shared" si="25"/>
        <v>11.842481869098265</v>
      </c>
      <c r="AC57" s="41" t="str">
        <f t="shared" si="12"/>
        <v/>
      </c>
      <c r="AD57" s="24">
        <f t="shared" si="26"/>
        <v>10.109782429179177</v>
      </c>
      <c r="AE57" s="41" t="str">
        <f t="shared" si="13"/>
        <v/>
      </c>
      <c r="AF57" s="24">
        <f t="shared" si="27"/>
        <v>1.3173891501501203</v>
      </c>
      <c r="AG57" s="41" t="str">
        <f t="shared" si="14"/>
        <v/>
      </c>
      <c r="AH57" s="24">
        <f t="shared" si="28"/>
        <v>3.8086698018014431</v>
      </c>
      <c r="AI57" s="41" t="str">
        <f t="shared" si="15"/>
        <v/>
      </c>
    </row>
    <row r="58" spans="1:35" ht="15" customHeight="1" x14ac:dyDescent="0.2">
      <c r="A58" s="581"/>
      <c r="B58" s="3" t="str">
        <f>Rydberg!B67</f>
        <v>Gravitational radius of the Sun</v>
      </c>
      <c r="C58" s="3" t="str">
        <f>Rydberg!C67</f>
        <v>m</v>
      </c>
      <c r="D58" s="21">
        <f>Rydberg!D67</f>
        <v>1476.6250385063113</v>
      </c>
      <c r="E58" s="8">
        <v>8</v>
      </c>
      <c r="F58" s="21">
        <f>D58/F$3</f>
        <v>6099.4682006957182</v>
      </c>
      <c r="G58" s="37" t="str">
        <f t="shared" si="16"/>
        <v>3;64357507</v>
      </c>
      <c r="H58" s="38">
        <v>3</v>
      </c>
      <c r="I58" s="61">
        <f t="shared" si="29"/>
        <v>3.5297848383655777</v>
      </c>
      <c r="J58" s="39"/>
      <c r="K58" s="40" t="str">
        <f t="shared" si="3"/>
        <v>3</v>
      </c>
      <c r="L58" s="24">
        <f t="shared" si="17"/>
        <v>6.3574180603869319</v>
      </c>
      <c r="M58" s="41" t="str">
        <f t="shared" si="4"/>
        <v>6</v>
      </c>
      <c r="N58" s="24">
        <f t="shared" si="18"/>
        <v>4.289016724643183</v>
      </c>
      <c r="O58" s="41" t="str">
        <f t="shared" si="5"/>
        <v>4</v>
      </c>
      <c r="P58" s="24">
        <f t="shared" si="19"/>
        <v>3.4682006957181954</v>
      </c>
      <c r="Q58" s="41" t="str">
        <f t="shared" si="6"/>
        <v>3</v>
      </c>
      <c r="R58" s="24">
        <f t="shared" si="20"/>
        <v>5.6184083486183454</v>
      </c>
      <c r="S58" s="41" t="str">
        <f t="shared" si="7"/>
        <v>5</v>
      </c>
      <c r="T58" s="24">
        <f t="shared" si="21"/>
        <v>7.4209001834201445</v>
      </c>
      <c r="U58" s="41" t="str">
        <f t="shared" si="8"/>
        <v>7</v>
      </c>
      <c r="V58" s="24">
        <f t="shared" si="22"/>
        <v>5.0508022010417335</v>
      </c>
      <c r="W58" s="41" t="str">
        <f t="shared" si="9"/>
        <v>5</v>
      </c>
      <c r="X58" s="24">
        <f t="shared" si="23"/>
        <v>0.60962641250080196</v>
      </c>
      <c r="Y58" s="41" t="str">
        <f t="shared" si="10"/>
        <v>0</v>
      </c>
      <c r="Z58" s="24">
        <f t="shared" si="24"/>
        <v>7.3155169500096235</v>
      </c>
      <c r="AA58" s="41" t="str">
        <f t="shared" si="11"/>
        <v>7</v>
      </c>
      <c r="AB58" s="24">
        <f t="shared" si="25"/>
        <v>3.7862034001154825</v>
      </c>
      <c r="AC58" s="41" t="str">
        <f t="shared" si="12"/>
        <v/>
      </c>
      <c r="AD58" s="24">
        <f t="shared" si="26"/>
        <v>9.4344408013857901</v>
      </c>
      <c r="AE58" s="41" t="str">
        <f t="shared" si="13"/>
        <v/>
      </c>
      <c r="AF58" s="24">
        <f t="shared" si="27"/>
        <v>5.2132896166294813</v>
      </c>
      <c r="AG58" s="41" t="str">
        <f t="shared" si="14"/>
        <v/>
      </c>
      <c r="AH58" s="24">
        <f t="shared" si="28"/>
        <v>2.5594753995537758</v>
      </c>
      <c r="AI58" s="41" t="str">
        <f t="shared" si="15"/>
        <v/>
      </c>
    </row>
    <row r="59" spans="1:35" ht="15" customHeight="1" x14ac:dyDescent="0.2">
      <c r="A59" s="581"/>
      <c r="B59" s="5" t="str">
        <f>Rydberg!B68</f>
        <v>Astronomical unit</v>
      </c>
      <c r="C59" s="5" t="str">
        <f>Rydberg!C68</f>
        <v>m</v>
      </c>
      <c r="D59" s="21">
        <f>Rydberg!D68</f>
        <v>149597870000</v>
      </c>
      <c r="E59" s="30">
        <v>9</v>
      </c>
      <c r="F59" s="29">
        <f>D59/F$3</f>
        <v>617941201836.73962</v>
      </c>
      <c r="G59" s="37" t="str">
        <f t="shared" si="16"/>
        <v>9;E91731221</v>
      </c>
      <c r="H59" s="43">
        <v>10</v>
      </c>
      <c r="I59" s="62">
        <f t="shared" si="29"/>
        <v>9.9800953994294428</v>
      </c>
      <c r="J59" s="39"/>
      <c r="K59" s="40" t="str">
        <f t="shared" si="3"/>
        <v>9</v>
      </c>
      <c r="L59" s="24">
        <f t="shared" si="17"/>
        <v>11.761144793153314</v>
      </c>
      <c r="M59" s="41" t="str">
        <f t="shared" si="4"/>
        <v>E</v>
      </c>
      <c r="N59" s="24">
        <f t="shared" si="18"/>
        <v>9.1337375178397622</v>
      </c>
      <c r="O59" s="41" t="str">
        <f t="shared" si="5"/>
        <v>9</v>
      </c>
      <c r="P59" s="24">
        <f t="shared" si="19"/>
        <v>1.6048502140771461</v>
      </c>
      <c r="Q59" s="41" t="str">
        <f t="shared" si="6"/>
        <v>1</v>
      </c>
      <c r="R59" s="24">
        <f t="shared" si="20"/>
        <v>7.2582025689257534</v>
      </c>
      <c r="S59" s="41" t="str">
        <f t="shared" si="7"/>
        <v>7</v>
      </c>
      <c r="T59" s="24">
        <f t="shared" si="21"/>
        <v>3.0984308271090413</v>
      </c>
      <c r="U59" s="41" t="str">
        <f t="shared" si="8"/>
        <v>3</v>
      </c>
      <c r="V59" s="24">
        <f t="shared" si="22"/>
        <v>1.1811699253084953</v>
      </c>
      <c r="W59" s="41" t="str">
        <f t="shared" si="9"/>
        <v>1</v>
      </c>
      <c r="X59" s="24">
        <f t="shared" si="23"/>
        <v>2.1740391037019435</v>
      </c>
      <c r="Y59" s="41" t="str">
        <f t="shared" si="10"/>
        <v>2</v>
      </c>
      <c r="Z59" s="24">
        <f t="shared" si="24"/>
        <v>2.0884692444233224</v>
      </c>
      <c r="AA59" s="41" t="str">
        <f t="shared" si="11"/>
        <v>2</v>
      </c>
      <c r="AB59" s="24">
        <f t="shared" si="25"/>
        <v>1.0616309330798686</v>
      </c>
      <c r="AC59" s="41" t="str">
        <f t="shared" si="12"/>
        <v>1</v>
      </c>
      <c r="AD59" s="24">
        <f t="shared" si="26"/>
        <v>0.73957119695842266</v>
      </c>
      <c r="AE59" s="41" t="str">
        <f t="shared" si="13"/>
        <v/>
      </c>
      <c r="AF59" s="24">
        <f t="shared" si="27"/>
        <v>8.8748543635010719</v>
      </c>
      <c r="AG59" s="41" t="str">
        <f t="shared" si="14"/>
        <v/>
      </c>
      <c r="AH59" s="24">
        <f t="shared" si="28"/>
        <v>10.498252362012863</v>
      </c>
      <c r="AI59" s="41" t="str">
        <f t="shared" si="15"/>
        <v/>
      </c>
    </row>
    <row r="60" spans="1:35" ht="15" customHeight="1" x14ac:dyDescent="0.2">
      <c r="A60" s="581"/>
      <c r="B60" s="5" t="str">
        <f>Rydberg!B69</f>
        <v>Astronomical unit / c0</v>
      </c>
      <c r="C60" s="5" t="str">
        <f>Rydberg!C69</f>
        <v>s</v>
      </c>
      <c r="D60" s="29">
        <f>Rydberg!D69</f>
        <v>499.00478150120773</v>
      </c>
      <c r="E60" s="30">
        <v>9</v>
      </c>
      <c r="F60" s="29">
        <f>D60/F$4</f>
        <v>1437.13373751784</v>
      </c>
      <c r="G60" s="37" t="str">
        <f t="shared" si="16"/>
        <v>0;9E9173122</v>
      </c>
      <c r="H60" s="43">
        <v>3</v>
      </c>
      <c r="I60" s="62">
        <f t="shared" si="29"/>
        <v>0.83167461661912034</v>
      </c>
      <c r="J60" s="39"/>
      <c r="K60" s="40" t="str">
        <f t="shared" si="3"/>
        <v>0</v>
      </c>
      <c r="L60" s="24">
        <f t="shared" si="17"/>
        <v>9.9800953994294446</v>
      </c>
      <c r="M60" s="41" t="str">
        <f t="shared" si="4"/>
        <v>9</v>
      </c>
      <c r="N60" s="24">
        <f t="shared" si="18"/>
        <v>11.761144793153335</v>
      </c>
      <c r="O60" s="41" t="str">
        <f t="shared" si="5"/>
        <v>E</v>
      </c>
      <c r="P60" s="24">
        <f t="shared" si="19"/>
        <v>9.133737517840018</v>
      </c>
      <c r="Q60" s="41" t="str">
        <f t="shared" si="6"/>
        <v>9</v>
      </c>
      <c r="R60" s="24">
        <f t="shared" si="20"/>
        <v>1.6048502140802157</v>
      </c>
      <c r="S60" s="41" t="str">
        <f t="shared" si="7"/>
        <v>1</v>
      </c>
      <c r="T60" s="24">
        <f t="shared" si="21"/>
        <v>7.258202568962588</v>
      </c>
      <c r="U60" s="41" t="str">
        <f t="shared" si="8"/>
        <v>7</v>
      </c>
      <c r="V60" s="24">
        <f t="shared" si="22"/>
        <v>3.0984308275510557</v>
      </c>
      <c r="W60" s="41" t="str">
        <f t="shared" si="9"/>
        <v>3</v>
      </c>
      <c r="X60" s="24">
        <f t="shared" si="23"/>
        <v>1.1811699306126684</v>
      </c>
      <c r="Y60" s="41" t="str">
        <f t="shared" si="10"/>
        <v>1</v>
      </c>
      <c r="Z60" s="24">
        <f t="shared" si="24"/>
        <v>2.1740391673520207</v>
      </c>
      <c r="AA60" s="41" t="str">
        <f t="shared" si="11"/>
        <v>2</v>
      </c>
      <c r="AB60" s="24">
        <f t="shared" si="25"/>
        <v>2.0884700082242489</v>
      </c>
      <c r="AC60" s="41" t="str">
        <f t="shared" si="12"/>
        <v>2</v>
      </c>
      <c r="AD60" s="24">
        <f t="shared" si="26"/>
        <v>1.0616400986909866</v>
      </c>
      <c r="AE60" s="41" t="str">
        <f t="shared" si="13"/>
        <v/>
      </c>
      <c r="AF60" s="24">
        <f t="shared" si="27"/>
        <v>0.7396811842918396</v>
      </c>
      <c r="AG60" s="41" t="str">
        <f t="shared" si="14"/>
        <v/>
      </c>
      <c r="AH60" s="24">
        <f t="shared" si="28"/>
        <v>8.8761742115020752</v>
      </c>
      <c r="AI60" s="41" t="str">
        <f t="shared" si="15"/>
        <v/>
      </c>
    </row>
    <row r="61" spans="1:35" ht="15" customHeight="1" thickBot="1" x14ac:dyDescent="0.25">
      <c r="A61" s="582"/>
      <c r="B61" s="5" t="s">
        <v>117</v>
      </c>
      <c r="C61" s="5" t="str">
        <f>Rydberg!C70</f>
        <v>-</v>
      </c>
      <c r="D61" s="29">
        <f>Rydberg!D70*Clock!F$4/F$4</f>
        <v>11.227607324358125</v>
      </c>
      <c r="E61" s="30">
        <v>9</v>
      </c>
      <c r="F61" s="29">
        <f>D61</f>
        <v>11.227607324358125</v>
      </c>
      <c r="G61" s="37" t="str">
        <f t="shared" si="16"/>
        <v>0;E28937E9E</v>
      </c>
      <c r="H61" s="43">
        <v>1</v>
      </c>
      <c r="I61" s="62">
        <f t="shared" si="29"/>
        <v>0.93563394369651043</v>
      </c>
      <c r="J61" s="44"/>
      <c r="K61" s="40" t="str">
        <f t="shared" si="3"/>
        <v>0</v>
      </c>
      <c r="L61" s="24">
        <f t="shared" si="17"/>
        <v>11.227607324358125</v>
      </c>
      <c r="M61" s="41" t="str">
        <f t="shared" si="4"/>
        <v>E</v>
      </c>
      <c r="N61" s="24">
        <f t="shared" si="18"/>
        <v>2.7312878922975017</v>
      </c>
      <c r="O61" s="41" t="str">
        <f t="shared" si="5"/>
        <v>2</v>
      </c>
      <c r="P61" s="24">
        <f t="shared" si="19"/>
        <v>8.7754547075700202</v>
      </c>
      <c r="Q61" s="41" t="str">
        <f t="shared" si="6"/>
        <v>8</v>
      </c>
      <c r="R61" s="24">
        <f t="shared" si="20"/>
        <v>9.3054564908402426</v>
      </c>
      <c r="S61" s="41" t="str">
        <f t="shared" si="7"/>
        <v>9</v>
      </c>
      <c r="T61" s="24">
        <f t="shared" si="21"/>
        <v>3.6654778900829115</v>
      </c>
      <c r="U61" s="41" t="str">
        <f t="shared" si="8"/>
        <v>3</v>
      </c>
      <c r="V61" s="24">
        <f t="shared" si="22"/>
        <v>7.9857346809949377</v>
      </c>
      <c r="W61" s="41" t="str">
        <f t="shared" si="9"/>
        <v>7</v>
      </c>
      <c r="X61" s="24">
        <f t="shared" si="23"/>
        <v>11.828816171939252</v>
      </c>
      <c r="Y61" s="41" t="str">
        <f t="shared" si="10"/>
        <v>E</v>
      </c>
      <c r="Z61" s="24">
        <f t="shared" si="24"/>
        <v>9.9457940632710233</v>
      </c>
      <c r="AA61" s="41" t="str">
        <f t="shared" si="11"/>
        <v>9</v>
      </c>
      <c r="AB61" s="24">
        <f t="shared" si="25"/>
        <v>11.34952875925228</v>
      </c>
      <c r="AC61" s="41" t="str">
        <f t="shared" si="12"/>
        <v>E</v>
      </c>
      <c r="AD61" s="24">
        <f t="shared" si="26"/>
        <v>4.19434511102736</v>
      </c>
      <c r="AE61" s="41" t="str">
        <f t="shared" si="13"/>
        <v/>
      </c>
      <c r="AF61" s="24">
        <f t="shared" si="27"/>
        <v>2.3321413323283195</v>
      </c>
      <c r="AG61" s="41" t="str">
        <f t="shared" si="14"/>
        <v/>
      </c>
      <c r="AH61" s="24">
        <f t="shared" si="28"/>
        <v>3.9856959879398346</v>
      </c>
      <c r="AI61" s="41" t="str">
        <f t="shared" si="15"/>
        <v/>
      </c>
    </row>
    <row r="62" spans="1:35" ht="12" customHeight="1" x14ac:dyDescent="0.2">
      <c r="A62" s="577" t="s">
        <v>49</v>
      </c>
      <c r="B62" s="17" t="s">
        <v>42</v>
      </c>
      <c r="C62" s="17"/>
      <c r="D62" s="17"/>
      <c r="E62" s="18" t="s">
        <v>54</v>
      </c>
      <c r="F62" s="17" t="s">
        <v>43</v>
      </c>
      <c r="G62" s="17" t="s">
        <v>92</v>
      </c>
      <c r="H62" s="18" t="s">
        <v>44</v>
      </c>
      <c r="I62" s="56" t="s">
        <v>46</v>
      </c>
      <c r="J62" s="20"/>
    </row>
    <row r="63" spans="1:35" ht="11.25" customHeight="1" x14ac:dyDescent="0.2">
      <c r="A63" s="578"/>
      <c r="B63" s="8" t="s">
        <v>40</v>
      </c>
      <c r="C63" s="8"/>
      <c r="D63" s="21"/>
      <c r="E63" s="8">
        <v>9</v>
      </c>
      <c r="F63" s="21">
        <f>$D$28</f>
        <v>7.2973525643E-3</v>
      </c>
      <c r="G63" s="37" t="str">
        <f t="shared" ref="G63:G64" si="30">K63&amp;";"&amp;M63&amp;O63&amp;Q63&amp;S63&amp;U63&amp;W63&amp;Y63&amp;AA63&amp;AC63&amp;AE63&amp;AG63&amp;AI63</f>
        <v>1;073994047</v>
      </c>
      <c r="H63" s="38">
        <v>-2</v>
      </c>
      <c r="I63" s="61">
        <f t="shared" ref="I63:I79" si="31">F63/POWER(12,H63)</f>
        <v>1.0508187692592001</v>
      </c>
      <c r="J63" s="39"/>
      <c r="K63" s="40" t="str">
        <f t="shared" ref="K63:K79" si="32">IF($E63&gt;=K$27,MID($H$27,IF($E63&gt;K$27,INT(I63),ROUND(I63,0))+1,1),"")</f>
        <v>1</v>
      </c>
      <c r="L63" s="24">
        <f>(I63-INT(I63))*12</f>
        <v>0.60982523111040177</v>
      </c>
      <c r="M63" s="41" t="str">
        <f t="shared" ref="M63:M79" si="33">IF($E63&gt;=M$27,MID($H$27,IF($E63&gt;M$27,INT(L63),ROUND(L63,0))+1,1),"")</f>
        <v>0</v>
      </c>
      <c r="N63" s="24">
        <f>(L63-INT(L63))*12</f>
        <v>7.3179027733248212</v>
      </c>
      <c r="O63" s="41" t="str">
        <f t="shared" ref="O63:O79" si="34">IF($E63&gt;=O$27,MID($H$27,IF($E63&gt;O$27,INT(N63),ROUND(N63,0))+1,1),"")</f>
        <v>7</v>
      </c>
      <c r="P63" s="24">
        <f>(N63-INT(N63))*12</f>
        <v>3.8148332798978544</v>
      </c>
      <c r="Q63" s="41" t="str">
        <f t="shared" ref="Q63:Q79" si="35">IF($E63&gt;=Q$27,MID($H$27,IF($E63&gt;Q$27,INT(P63),ROUND(P63,0))+1,1),"")</f>
        <v>3</v>
      </c>
      <c r="R63" s="24">
        <f>(P63-INT(P63))*12</f>
        <v>9.7779993587742524</v>
      </c>
      <c r="S63" s="41" t="str">
        <f t="shared" ref="S63:S79" si="36">IF($E63&gt;=S$27,MID($H$27,IF($E63&gt;S$27,INT(R63),ROUND(R63,0))+1,1),"")</f>
        <v>9</v>
      </c>
      <c r="T63" s="24">
        <f>(R63-INT(R63))*12</f>
        <v>9.335992305291029</v>
      </c>
      <c r="U63" s="41" t="str">
        <f t="shared" ref="U63:U79" si="37">IF($E63&gt;=U$27,MID($H$27,IF($E63&gt;U$27,INT(T63),ROUND(T63,0))+1,1),"")</f>
        <v>9</v>
      </c>
      <c r="V63" s="24">
        <f>(T63-INT(T63))*12</f>
        <v>4.0319076634923476</v>
      </c>
      <c r="W63" s="41" t="str">
        <f t="shared" ref="W63:W79" si="38">IF($E63&gt;=W$27,MID($H$27,IF($E63&gt;W$27,INT(V63),ROUND(V63,0))+1,1),"")</f>
        <v>4</v>
      </c>
      <c r="X63" s="24">
        <f>(V63-INT(V63))*12</f>
        <v>0.38289196190817165</v>
      </c>
      <c r="Y63" s="41" t="str">
        <f t="shared" ref="Y63:Y79" si="39">IF($E63&gt;=Y$27,MID($H$27,IF($E63&gt;Y$27,INT(X63),ROUND(X63,0))+1,1),"")</f>
        <v>0</v>
      </c>
      <c r="Z63" s="24">
        <f>(X63-INT(X63))*12</f>
        <v>4.5947035428980598</v>
      </c>
      <c r="AA63" s="41" t="str">
        <f t="shared" ref="AA63:AA79" si="40">IF($E63&gt;=AA$27,MID($H$27,IF($E63&gt;AA$27,INT(Z63),ROUND(Z63,0))+1,1),"")</f>
        <v>4</v>
      </c>
      <c r="AB63" s="24">
        <f>(Z63-INT(Z63))*12</f>
        <v>7.1364425147767179</v>
      </c>
      <c r="AC63" s="41" t="str">
        <f t="shared" ref="AC63:AC79" si="41">IF($E63&gt;=AC$27,MID($H$27,IF($E63&gt;AC$27,INT(AB63),ROUND(AB63,0))+1,1),"")</f>
        <v>7</v>
      </c>
      <c r="AD63" s="24">
        <f>(AB63-INT(AB63))*12</f>
        <v>1.6373101773206145</v>
      </c>
      <c r="AE63" s="41" t="str">
        <f t="shared" ref="AE63:AE79" si="42">IF($E63&gt;=AE$27,MID($H$27,IF($E63&gt;AE$27,INT(AD63),ROUND(AD63,0))+1,1),"")</f>
        <v/>
      </c>
      <c r="AF63" s="24">
        <f>(AD63-INT(AD63))*12</f>
        <v>7.6477221278473735</v>
      </c>
      <c r="AG63" s="41" t="str">
        <f t="shared" ref="AG63:AG79" si="43">IF($E63&gt;=AG$27,MID($H$27,IF($E63&gt;AG$27,INT(AF63),ROUND(AF63,0))+1,1),"")</f>
        <v/>
      </c>
      <c r="AH63" s="24">
        <f>(AF63-INT(AF63))*12</f>
        <v>7.7726655341684818</v>
      </c>
      <c r="AI63" s="41" t="str">
        <f t="shared" ref="AI63:AI79" si="44">IF($E63&gt;=AI$27,MID($H$27,IF($E63&gt;AI$27,INT(AH63),ROUND(AH63,0))+1,1),"")</f>
        <v/>
      </c>
    </row>
    <row r="64" spans="1:35" ht="13.5" customHeight="1" x14ac:dyDescent="0.2">
      <c r="A64" s="578"/>
      <c r="B64" s="30" t="s">
        <v>34</v>
      </c>
      <c r="C64" s="30"/>
      <c r="D64" s="29"/>
      <c r="E64" s="8">
        <v>9</v>
      </c>
      <c r="F64" s="21">
        <f>1/$D$28</f>
        <v>137.03599917759013</v>
      </c>
      <c r="G64" s="37" t="str">
        <f t="shared" si="30"/>
        <v>0;E5052258</v>
      </c>
      <c r="H64" s="38">
        <v>2</v>
      </c>
      <c r="I64" s="61">
        <f t="shared" si="31"/>
        <v>0.95163888317770917</v>
      </c>
      <c r="J64" s="39"/>
      <c r="K64" s="40" t="str">
        <f t="shared" si="32"/>
        <v>0</v>
      </c>
      <c r="L64" s="24">
        <f t="shared" ref="L64:L79" si="45">(I64-INT(I64))*12</f>
        <v>11.41966659813251</v>
      </c>
      <c r="M64" s="41" t="str">
        <f t="shared" si="33"/>
        <v>E</v>
      </c>
      <c r="N64" s="24">
        <f t="shared" ref="N64:N79" si="46">(L64-INT(L64))*12</f>
        <v>5.0359991775901207</v>
      </c>
      <c r="O64" s="41" t="str">
        <f t="shared" si="34"/>
        <v>5</v>
      </c>
      <c r="P64" s="24">
        <f t="shared" ref="P64:P79" si="47">(N64-INT(N64))*12</f>
        <v>0.43199013108144868</v>
      </c>
      <c r="Q64" s="41" t="str">
        <f t="shared" si="35"/>
        <v>0</v>
      </c>
      <c r="R64" s="24">
        <f t="shared" ref="R64:R79" si="48">(P64-INT(P64))*12</f>
        <v>5.1838815729773842</v>
      </c>
      <c r="S64" s="41" t="str">
        <f t="shared" si="36"/>
        <v>5</v>
      </c>
      <c r="T64" s="24">
        <f t="shared" ref="T64:T79" si="49">(R64-INT(R64))*12</f>
        <v>2.20657887572861</v>
      </c>
      <c r="U64" s="41" t="str">
        <f t="shared" si="37"/>
        <v>2</v>
      </c>
      <c r="V64" s="24">
        <f t="shared" ref="V64:V79" si="50">(T64-INT(T64))*12</f>
        <v>2.47894650874332</v>
      </c>
      <c r="W64" s="41" t="str">
        <f t="shared" si="38"/>
        <v>2</v>
      </c>
      <c r="X64" s="24">
        <f t="shared" ref="X64:X79" si="51">(V64-INT(V64))*12</f>
        <v>5.7473581049198401</v>
      </c>
      <c r="Y64" s="41" t="str">
        <f t="shared" si="39"/>
        <v>5</v>
      </c>
      <c r="Z64" s="24">
        <f t="shared" ref="Z64:Z79" si="52">(X64-INT(X64))*12</f>
        <v>8.9682972590380814</v>
      </c>
      <c r="AA64" s="41" t="str">
        <f t="shared" si="40"/>
        <v>8</v>
      </c>
      <c r="AB64" s="24">
        <f t="shared" ref="AB64:AB79" si="53">(Z64-INT(Z64))*12</f>
        <v>11.619567108456977</v>
      </c>
      <c r="AC64" s="41" t="str">
        <f t="shared" si="41"/>
        <v/>
      </c>
      <c r="AD64" s="24">
        <f t="shared" ref="AD64:AD79" si="54">(AB64-INT(AB64))*12</f>
        <v>7.4348053014837205</v>
      </c>
      <c r="AE64" s="41" t="str">
        <f t="shared" si="42"/>
        <v/>
      </c>
      <c r="AF64" s="24">
        <f t="shared" ref="AF64:AF79" si="55">(AD64-INT(AD64))*12</f>
        <v>5.2176636178046465</v>
      </c>
      <c r="AG64" s="41" t="str">
        <f t="shared" si="43"/>
        <v/>
      </c>
      <c r="AH64" s="24">
        <f t="shared" ref="AH64:AH79" si="56">(AF64-INT(AF64))*12</f>
        <v>2.6119634136557579</v>
      </c>
      <c r="AI64" s="41" t="str">
        <f t="shared" si="44"/>
        <v/>
      </c>
    </row>
    <row r="65" spans="1:35" ht="13.5" customHeight="1" x14ac:dyDescent="0.2">
      <c r="A65" s="578"/>
      <c r="B65" s="45"/>
      <c r="C65" s="45"/>
      <c r="D65" s="46"/>
      <c r="E65" s="8">
        <v>9</v>
      </c>
      <c r="F65" s="21">
        <f>1/$D$28</f>
        <v>137.03599917759013</v>
      </c>
      <c r="G65" s="37" t="str">
        <f>"B5;"&amp;M65&amp;O65&amp;Q65&amp;S65&amp;U65&amp;W65&amp;Y65&amp;AA65&amp;AC65&amp;AE65&amp;AG65&amp;AI65</f>
        <v>B5;052258E75</v>
      </c>
      <c r="H65" s="38">
        <v>0</v>
      </c>
      <c r="I65" s="61">
        <f t="shared" si="31"/>
        <v>137.03599917759013</v>
      </c>
      <c r="J65" s="39"/>
      <c r="K65" s="40" t="str">
        <f t="shared" si="32"/>
        <v/>
      </c>
      <c r="L65" s="24">
        <f t="shared" si="45"/>
        <v>0.43199013108153395</v>
      </c>
      <c r="M65" s="41" t="str">
        <f t="shared" si="33"/>
        <v>0</v>
      </c>
      <c r="N65" s="24">
        <f t="shared" si="46"/>
        <v>5.1838815729784073</v>
      </c>
      <c r="O65" s="41" t="str">
        <f t="shared" si="34"/>
        <v>5</v>
      </c>
      <c r="P65" s="24">
        <f t="shared" si="47"/>
        <v>2.2065788757408882</v>
      </c>
      <c r="Q65" s="41" t="str">
        <f t="shared" si="35"/>
        <v>2</v>
      </c>
      <c r="R65" s="24">
        <f t="shared" si="48"/>
        <v>2.4789465088906582</v>
      </c>
      <c r="S65" s="41" t="str">
        <f t="shared" si="36"/>
        <v>2</v>
      </c>
      <c r="T65" s="24">
        <f t="shared" si="49"/>
        <v>5.7473581066878978</v>
      </c>
      <c r="U65" s="41" t="str">
        <f t="shared" si="37"/>
        <v>5</v>
      </c>
      <c r="V65" s="24">
        <f t="shared" si="50"/>
        <v>8.9682972802547738</v>
      </c>
      <c r="W65" s="41" t="str">
        <f t="shared" si="38"/>
        <v>8</v>
      </c>
      <c r="X65" s="24">
        <f t="shared" si="51"/>
        <v>11.619567363057286</v>
      </c>
      <c r="Y65" s="41" t="str">
        <f t="shared" si="39"/>
        <v>E</v>
      </c>
      <c r="Z65" s="24">
        <f t="shared" si="52"/>
        <v>7.4348083566874266</v>
      </c>
      <c r="AA65" s="41" t="str">
        <f t="shared" si="40"/>
        <v>7</v>
      </c>
      <c r="AB65" s="24">
        <f t="shared" si="53"/>
        <v>5.2177002802491188</v>
      </c>
      <c r="AC65" s="41" t="str">
        <f t="shared" si="41"/>
        <v>5</v>
      </c>
      <c r="AD65" s="24">
        <f t="shared" si="54"/>
        <v>2.6124033629894257</v>
      </c>
      <c r="AE65" s="41" t="str">
        <f t="shared" si="42"/>
        <v/>
      </c>
      <c r="AF65" s="24">
        <f t="shared" si="55"/>
        <v>7.3488403558731079</v>
      </c>
      <c r="AG65" s="41" t="str">
        <f t="shared" si="43"/>
        <v/>
      </c>
      <c r="AH65" s="24">
        <f t="shared" si="56"/>
        <v>4.1860842704772949</v>
      </c>
      <c r="AI65" s="41" t="str">
        <f t="shared" si="44"/>
        <v/>
      </c>
    </row>
    <row r="66" spans="1:35" ht="13.5" customHeight="1" x14ac:dyDescent="0.2">
      <c r="A66" s="578"/>
      <c r="B66" s="8" t="s">
        <v>39</v>
      </c>
      <c r="C66" s="8"/>
      <c r="D66" s="21"/>
      <c r="E66" s="8">
        <v>9</v>
      </c>
      <c r="F66" s="21">
        <f t="shared" ref="F66" si="57">SQRT($D$28)</f>
        <v>8.5424543102670447E-2</v>
      </c>
      <c r="G66" s="37" t="str">
        <f t="shared" ref="G66:G69" si="58">K66&amp;";"&amp;M66&amp;O66&amp;Q66&amp;S66&amp;U66&amp;W66&amp;Y66&amp;AA66&amp;AC66&amp;AE66&amp;AG66&amp;AI66</f>
        <v>1;0374439E1</v>
      </c>
      <c r="H66" s="38">
        <v>-1</v>
      </c>
      <c r="I66" s="61">
        <f t="shared" si="31"/>
        <v>1.0250945172320454</v>
      </c>
      <c r="J66" s="39"/>
      <c r="K66" s="40" t="str">
        <f t="shared" si="32"/>
        <v>1</v>
      </c>
      <c r="L66" s="24">
        <f t="shared" si="45"/>
        <v>0.30113420678454439</v>
      </c>
      <c r="M66" s="41" t="str">
        <f t="shared" si="33"/>
        <v>0</v>
      </c>
      <c r="N66" s="24">
        <f t="shared" si="46"/>
        <v>3.6136104814145327</v>
      </c>
      <c r="O66" s="41" t="str">
        <f t="shared" si="34"/>
        <v>3</v>
      </c>
      <c r="P66" s="24">
        <f t="shared" si="47"/>
        <v>7.3633257769743921</v>
      </c>
      <c r="Q66" s="41" t="str">
        <f t="shared" si="35"/>
        <v>7</v>
      </c>
      <c r="R66" s="24">
        <f t="shared" si="48"/>
        <v>4.3599093236927047</v>
      </c>
      <c r="S66" s="41" t="str">
        <f t="shared" si="36"/>
        <v>4</v>
      </c>
      <c r="T66" s="24">
        <f t="shared" si="49"/>
        <v>4.3189118843124561</v>
      </c>
      <c r="U66" s="41" t="str">
        <f t="shared" si="37"/>
        <v>4</v>
      </c>
      <c r="V66" s="24">
        <f t="shared" si="50"/>
        <v>3.8269426117494731</v>
      </c>
      <c r="W66" s="41" t="str">
        <f t="shared" si="38"/>
        <v>3</v>
      </c>
      <c r="X66" s="24">
        <f t="shared" si="51"/>
        <v>9.9233113409936777</v>
      </c>
      <c r="Y66" s="41" t="str">
        <f t="shared" si="39"/>
        <v>9</v>
      </c>
      <c r="Z66" s="24">
        <f t="shared" si="52"/>
        <v>11.079736091924133</v>
      </c>
      <c r="AA66" s="41" t="str">
        <f t="shared" si="40"/>
        <v>E</v>
      </c>
      <c r="AB66" s="24">
        <f t="shared" si="53"/>
        <v>0.95683310308959335</v>
      </c>
      <c r="AC66" s="41" t="str">
        <f t="shared" si="41"/>
        <v>1</v>
      </c>
      <c r="AD66" s="24">
        <f t="shared" si="54"/>
        <v>11.48199723707512</v>
      </c>
      <c r="AE66" s="41" t="str">
        <f t="shared" si="42"/>
        <v/>
      </c>
      <c r="AF66" s="24">
        <f t="shared" si="55"/>
        <v>5.7839668449014425</v>
      </c>
      <c r="AG66" s="41" t="str">
        <f t="shared" si="43"/>
        <v/>
      </c>
      <c r="AH66" s="24">
        <f t="shared" si="56"/>
        <v>9.4076021388173103</v>
      </c>
      <c r="AI66" s="41" t="str">
        <f t="shared" si="44"/>
        <v/>
      </c>
    </row>
    <row r="67" spans="1:35" ht="13.5" customHeight="1" x14ac:dyDescent="0.2">
      <c r="A67" s="578"/>
      <c r="B67" s="8" t="s">
        <v>35</v>
      </c>
      <c r="C67" s="8"/>
      <c r="D67" s="21"/>
      <c r="E67" s="8">
        <v>9</v>
      </c>
      <c r="F67" s="21">
        <f>1/SQRT($D$28)</f>
        <v>11.706237618363557</v>
      </c>
      <c r="G67" s="37" t="str">
        <f t="shared" si="58"/>
        <v>0;E85846629</v>
      </c>
      <c r="H67" s="38">
        <v>1</v>
      </c>
      <c r="I67" s="61">
        <f t="shared" si="31"/>
        <v>0.97551980153029649</v>
      </c>
      <c r="J67" s="39"/>
      <c r="K67" s="40" t="str">
        <f t="shared" si="32"/>
        <v>0</v>
      </c>
      <c r="L67" s="24">
        <f t="shared" si="45"/>
        <v>11.706237618363557</v>
      </c>
      <c r="M67" s="41" t="str">
        <f t="shared" si="33"/>
        <v>E</v>
      </c>
      <c r="N67" s="24">
        <f t="shared" si="46"/>
        <v>8.4748514203626897</v>
      </c>
      <c r="O67" s="41" t="str">
        <f t="shared" si="34"/>
        <v>8</v>
      </c>
      <c r="P67" s="24">
        <f t="shared" si="47"/>
        <v>5.6982170443522762</v>
      </c>
      <c r="Q67" s="41" t="str">
        <f t="shared" si="35"/>
        <v>5</v>
      </c>
      <c r="R67" s="24">
        <f t="shared" si="48"/>
        <v>8.3786045322273139</v>
      </c>
      <c r="S67" s="41" t="str">
        <f t="shared" si="36"/>
        <v>8</v>
      </c>
      <c r="T67" s="24">
        <f t="shared" si="49"/>
        <v>4.5432543867277673</v>
      </c>
      <c r="U67" s="41" t="str">
        <f t="shared" si="37"/>
        <v>4</v>
      </c>
      <c r="V67" s="24">
        <f t="shared" si="50"/>
        <v>6.5190526407332072</v>
      </c>
      <c r="W67" s="41" t="str">
        <f t="shared" si="38"/>
        <v>6</v>
      </c>
      <c r="X67" s="24">
        <f t="shared" si="51"/>
        <v>6.2286316887984867</v>
      </c>
      <c r="Y67" s="41" t="str">
        <f t="shared" si="39"/>
        <v>6</v>
      </c>
      <c r="Z67" s="24">
        <f t="shared" si="52"/>
        <v>2.7435802655818406</v>
      </c>
      <c r="AA67" s="41" t="str">
        <f t="shared" si="40"/>
        <v>2</v>
      </c>
      <c r="AB67" s="24">
        <f t="shared" si="53"/>
        <v>8.9229631869820878</v>
      </c>
      <c r="AC67" s="41" t="str">
        <f t="shared" si="41"/>
        <v>9</v>
      </c>
      <c r="AD67" s="24">
        <f t="shared" si="54"/>
        <v>11.075558243785053</v>
      </c>
      <c r="AE67" s="41" t="str">
        <f t="shared" si="42"/>
        <v/>
      </c>
      <c r="AF67" s="24">
        <f t="shared" si="55"/>
        <v>0.9066989254206419</v>
      </c>
      <c r="AG67" s="41" t="str">
        <f t="shared" si="43"/>
        <v/>
      </c>
      <c r="AH67" s="24">
        <f t="shared" si="56"/>
        <v>10.880387105047703</v>
      </c>
      <c r="AI67" s="41" t="str">
        <f t="shared" si="44"/>
        <v/>
      </c>
    </row>
    <row r="68" spans="1:35" ht="13.5" customHeight="1" x14ac:dyDescent="0.2">
      <c r="A68" s="578"/>
      <c r="B68" s="8" t="s">
        <v>36</v>
      </c>
      <c r="C68" s="8"/>
      <c r="D68" s="21"/>
      <c r="E68" s="8">
        <v>12</v>
      </c>
      <c r="F68" s="21">
        <f>4*PI()</f>
        <v>12.566370614359172</v>
      </c>
      <c r="G68" s="37" t="str">
        <f t="shared" si="58"/>
        <v>1;0696831713E1</v>
      </c>
      <c r="H68" s="38">
        <v>1</v>
      </c>
      <c r="I68" s="61">
        <f t="shared" si="31"/>
        <v>1.0471975511965976</v>
      </c>
      <c r="J68" s="39"/>
      <c r="K68" s="40" t="str">
        <f t="shared" si="32"/>
        <v>1</v>
      </c>
      <c r="L68" s="24">
        <f t="shared" si="45"/>
        <v>0.56637061435917158</v>
      </c>
      <c r="M68" s="41" t="str">
        <f t="shared" si="33"/>
        <v>0</v>
      </c>
      <c r="N68" s="24">
        <f t="shared" si="46"/>
        <v>6.7964473723100589</v>
      </c>
      <c r="O68" s="41" t="str">
        <f t="shared" si="34"/>
        <v>6</v>
      </c>
      <c r="P68" s="24">
        <f t="shared" si="47"/>
        <v>9.5573684677207069</v>
      </c>
      <c r="Q68" s="41" t="str">
        <f t="shared" si="35"/>
        <v>9</v>
      </c>
      <c r="R68" s="24">
        <f t="shared" si="48"/>
        <v>6.688421612648483</v>
      </c>
      <c r="S68" s="41" t="str">
        <f t="shared" si="36"/>
        <v>6</v>
      </c>
      <c r="T68" s="24">
        <f t="shared" si="49"/>
        <v>8.2610593517817961</v>
      </c>
      <c r="U68" s="41" t="str">
        <f t="shared" si="37"/>
        <v>8</v>
      </c>
      <c r="V68" s="24">
        <f t="shared" si="50"/>
        <v>3.1327122213815528</v>
      </c>
      <c r="W68" s="41" t="str">
        <f t="shared" si="38"/>
        <v>3</v>
      </c>
      <c r="X68" s="24">
        <f t="shared" si="51"/>
        <v>1.5925466565786337</v>
      </c>
      <c r="Y68" s="41" t="str">
        <f t="shared" si="39"/>
        <v>1</v>
      </c>
      <c r="Z68" s="24">
        <f t="shared" si="52"/>
        <v>7.1105598789436044</v>
      </c>
      <c r="AA68" s="41" t="str">
        <f t="shared" si="40"/>
        <v>7</v>
      </c>
      <c r="AB68" s="24">
        <f t="shared" si="53"/>
        <v>1.326718547323253</v>
      </c>
      <c r="AC68" s="41" t="str">
        <f t="shared" si="41"/>
        <v>1</v>
      </c>
      <c r="AD68" s="24">
        <f t="shared" si="54"/>
        <v>3.9206225678790361</v>
      </c>
      <c r="AE68" s="41" t="str">
        <f t="shared" si="42"/>
        <v>3</v>
      </c>
      <c r="AF68" s="24">
        <f t="shared" si="55"/>
        <v>11.047470814548433</v>
      </c>
      <c r="AG68" s="41" t="str">
        <f t="shared" si="43"/>
        <v>E</v>
      </c>
      <c r="AH68" s="24">
        <f t="shared" si="56"/>
        <v>0.56964977458119392</v>
      </c>
      <c r="AI68" s="41" t="str">
        <f t="shared" si="44"/>
        <v>1</v>
      </c>
    </row>
    <row r="69" spans="1:35" ht="13.5" customHeight="1" x14ac:dyDescent="0.2">
      <c r="A69" s="578"/>
      <c r="B69" s="30" t="s">
        <v>37</v>
      </c>
      <c r="C69" s="30"/>
      <c r="D69" s="29"/>
      <c r="E69" s="8">
        <v>12</v>
      </c>
      <c r="F69" s="21">
        <f>1/(4*PI())</f>
        <v>7.9577471545947673E-2</v>
      </c>
      <c r="G69" s="37" t="str">
        <f t="shared" si="58"/>
        <v>0;E5615082189E</v>
      </c>
      <c r="H69" s="38">
        <v>-1</v>
      </c>
      <c r="I69" s="61">
        <f t="shared" si="31"/>
        <v>0.95492965855137213</v>
      </c>
      <c r="J69" s="39"/>
      <c r="K69" s="40" t="str">
        <f t="shared" si="32"/>
        <v>0</v>
      </c>
      <c r="L69" s="24">
        <f t="shared" si="45"/>
        <v>11.459155902616466</v>
      </c>
      <c r="M69" s="41" t="str">
        <f t="shared" si="33"/>
        <v>E</v>
      </c>
      <c r="N69" s="24">
        <f t="shared" si="46"/>
        <v>5.5098708313975919</v>
      </c>
      <c r="O69" s="41" t="str">
        <f t="shared" si="34"/>
        <v>5</v>
      </c>
      <c r="P69" s="24">
        <f t="shared" si="47"/>
        <v>6.1184499767711031</v>
      </c>
      <c r="Q69" s="41" t="str">
        <f t="shared" si="35"/>
        <v>6</v>
      </c>
      <c r="R69" s="24">
        <f t="shared" si="48"/>
        <v>1.4213997212532377</v>
      </c>
      <c r="S69" s="41" t="str">
        <f t="shared" si="36"/>
        <v>1</v>
      </c>
      <c r="T69" s="24">
        <f t="shared" si="49"/>
        <v>5.0567966550388519</v>
      </c>
      <c r="U69" s="41" t="str">
        <f t="shared" si="37"/>
        <v>5</v>
      </c>
      <c r="V69" s="24">
        <f t="shared" si="50"/>
        <v>0.68155986046622274</v>
      </c>
      <c r="W69" s="41" t="str">
        <f t="shared" si="38"/>
        <v>0</v>
      </c>
      <c r="X69" s="24">
        <f t="shared" si="51"/>
        <v>8.1787183255946729</v>
      </c>
      <c r="Y69" s="41" t="str">
        <f t="shared" si="39"/>
        <v>8</v>
      </c>
      <c r="Z69" s="24">
        <f t="shared" si="52"/>
        <v>2.1446199071360752</v>
      </c>
      <c r="AA69" s="41" t="str">
        <f t="shared" si="40"/>
        <v>2</v>
      </c>
      <c r="AB69" s="24">
        <f t="shared" si="53"/>
        <v>1.7354388856329024</v>
      </c>
      <c r="AC69" s="41" t="str">
        <f t="shared" si="41"/>
        <v>1</v>
      </c>
      <c r="AD69" s="24">
        <f t="shared" si="54"/>
        <v>8.8252666275948286</v>
      </c>
      <c r="AE69" s="41" t="str">
        <f t="shared" si="42"/>
        <v>8</v>
      </c>
      <c r="AF69" s="24">
        <f t="shared" si="55"/>
        <v>9.9031995311379433</v>
      </c>
      <c r="AG69" s="41" t="str">
        <f t="shared" si="43"/>
        <v>9</v>
      </c>
      <c r="AH69" s="24">
        <f t="shared" si="56"/>
        <v>10.838394373655319</v>
      </c>
      <c r="AI69" s="41" t="str">
        <f t="shared" si="44"/>
        <v>E</v>
      </c>
    </row>
    <row r="70" spans="1:35" ht="13.5" customHeight="1" x14ac:dyDescent="0.2">
      <c r="A70" s="578"/>
      <c r="B70" s="45"/>
      <c r="C70" s="45"/>
      <c r="D70" s="46"/>
      <c r="E70" s="8">
        <v>9</v>
      </c>
      <c r="F70" s="21">
        <f>1/(4*PI())</f>
        <v>7.9577471545947673E-2</v>
      </c>
      <c r="G70" s="37" t="str">
        <f>"B5:"&amp;M70&amp;O70&amp;Q70&amp;S70&amp;U70&amp;W70&amp;Y70&amp;AA70&amp;AC70&amp;AE70&amp;AG70&amp;AI70</f>
        <v>B5:61508218X</v>
      </c>
      <c r="H70" s="38">
        <v>-3</v>
      </c>
      <c r="I70" s="61">
        <f t="shared" si="31"/>
        <v>137.50987083139759</v>
      </c>
      <c r="J70" s="39"/>
      <c r="K70" s="40" t="str">
        <f t="shared" si="32"/>
        <v/>
      </c>
      <c r="L70" s="24">
        <f t="shared" si="45"/>
        <v>6.1184499767711031</v>
      </c>
      <c r="M70" s="41" t="str">
        <f t="shared" si="33"/>
        <v>6</v>
      </c>
      <c r="N70" s="24">
        <f t="shared" si="46"/>
        <v>1.4213997212532377</v>
      </c>
      <c r="O70" s="41" t="str">
        <f t="shared" si="34"/>
        <v>1</v>
      </c>
      <c r="P70" s="24">
        <f t="shared" si="47"/>
        <v>5.0567966550388519</v>
      </c>
      <c r="Q70" s="41" t="str">
        <f t="shared" si="35"/>
        <v>5</v>
      </c>
      <c r="R70" s="24">
        <f t="shared" si="48"/>
        <v>0.68155986046622274</v>
      </c>
      <c r="S70" s="41" t="str">
        <f t="shared" si="36"/>
        <v>0</v>
      </c>
      <c r="T70" s="24">
        <f t="shared" si="49"/>
        <v>8.1787183255946729</v>
      </c>
      <c r="U70" s="41" t="str">
        <f t="shared" si="37"/>
        <v>8</v>
      </c>
      <c r="V70" s="24">
        <f t="shared" si="50"/>
        <v>2.1446199071360752</v>
      </c>
      <c r="W70" s="41" t="str">
        <f t="shared" si="38"/>
        <v>2</v>
      </c>
      <c r="X70" s="24">
        <f t="shared" si="51"/>
        <v>1.7354388856329024</v>
      </c>
      <c r="Y70" s="41" t="str">
        <f t="shared" si="39"/>
        <v>1</v>
      </c>
      <c r="Z70" s="24">
        <f t="shared" si="52"/>
        <v>8.8252666275948286</v>
      </c>
      <c r="AA70" s="41" t="str">
        <f t="shared" si="40"/>
        <v>8</v>
      </c>
      <c r="AB70" s="24">
        <f t="shared" si="53"/>
        <v>9.9031995311379433</v>
      </c>
      <c r="AC70" s="41" t="str">
        <f t="shared" si="41"/>
        <v>X</v>
      </c>
      <c r="AD70" s="24">
        <f t="shared" si="54"/>
        <v>10.838394373655319</v>
      </c>
      <c r="AE70" s="41" t="str">
        <f t="shared" si="42"/>
        <v/>
      </c>
      <c r="AF70" s="24">
        <f t="shared" si="55"/>
        <v>10.060732483863831</v>
      </c>
      <c r="AG70" s="41" t="str">
        <f t="shared" si="43"/>
        <v/>
      </c>
      <c r="AH70" s="24">
        <f t="shared" si="56"/>
        <v>0.7287898063659668</v>
      </c>
      <c r="AI70" s="41" t="str">
        <f t="shared" si="44"/>
        <v/>
      </c>
    </row>
    <row r="71" spans="1:35" ht="13.5" customHeight="1" x14ac:dyDescent="0.2">
      <c r="A71" s="578"/>
      <c r="B71" s="8" t="s">
        <v>32</v>
      </c>
      <c r="C71" s="8"/>
      <c r="D71" s="21"/>
      <c r="E71" s="8">
        <v>9</v>
      </c>
      <c r="F71" s="21">
        <f>4*PI()/$D$28</f>
        <v>1722.0451531746162</v>
      </c>
      <c r="G71" s="37" t="str">
        <f t="shared" ref="G71:G79" si="59">K71&amp;";"&amp;M71&amp;O71&amp;Q71&amp;S71&amp;U71&amp;W71&amp;Y71&amp;AA71&amp;AC71&amp;AE71&amp;AG71&amp;AI71</f>
        <v>0;EE6066037</v>
      </c>
      <c r="H71" s="38">
        <v>3</v>
      </c>
      <c r="I71" s="61">
        <f t="shared" si="31"/>
        <v>0.99655390808716215</v>
      </c>
      <c r="J71" s="39"/>
      <c r="K71" s="40" t="str">
        <f t="shared" si="32"/>
        <v>0</v>
      </c>
      <c r="L71" s="24">
        <f t="shared" si="45"/>
        <v>11.958646897045945</v>
      </c>
      <c r="M71" s="41" t="str">
        <f t="shared" si="33"/>
        <v>E</v>
      </c>
      <c r="N71" s="24">
        <f t="shared" si="46"/>
        <v>11.50376276455134</v>
      </c>
      <c r="O71" s="41" t="str">
        <f t="shared" si="34"/>
        <v>E</v>
      </c>
      <c r="P71" s="24">
        <f t="shared" si="47"/>
        <v>6.0451531746160754</v>
      </c>
      <c r="Q71" s="41" t="str">
        <f t="shared" si="35"/>
        <v>6</v>
      </c>
      <c r="R71" s="24">
        <f t="shared" si="48"/>
        <v>0.54183809539290451</v>
      </c>
      <c r="S71" s="41" t="str">
        <f t="shared" si="36"/>
        <v>0</v>
      </c>
      <c r="T71" s="24">
        <f t="shared" si="49"/>
        <v>6.5020571447148541</v>
      </c>
      <c r="U71" s="41" t="str">
        <f t="shared" si="37"/>
        <v>6</v>
      </c>
      <c r="V71" s="24">
        <f t="shared" si="50"/>
        <v>6.0246857365782489</v>
      </c>
      <c r="W71" s="41" t="str">
        <f t="shared" si="38"/>
        <v>6</v>
      </c>
      <c r="X71" s="24">
        <f t="shared" si="51"/>
        <v>0.29622883893898688</v>
      </c>
      <c r="Y71" s="41" t="str">
        <f t="shared" si="39"/>
        <v>0</v>
      </c>
      <c r="Z71" s="24">
        <f t="shared" si="52"/>
        <v>3.5547460672678426</v>
      </c>
      <c r="AA71" s="41" t="str">
        <f t="shared" si="40"/>
        <v>3</v>
      </c>
      <c r="AB71" s="24">
        <f t="shared" si="53"/>
        <v>6.6569528072141111</v>
      </c>
      <c r="AC71" s="41" t="str">
        <f t="shared" si="41"/>
        <v>7</v>
      </c>
      <c r="AD71" s="24">
        <f t="shared" si="54"/>
        <v>7.8834336865693331</v>
      </c>
      <c r="AE71" s="41" t="str">
        <f t="shared" si="42"/>
        <v/>
      </c>
      <c r="AF71" s="24">
        <f t="shared" si="55"/>
        <v>10.601204238831997</v>
      </c>
      <c r="AG71" s="41" t="str">
        <f t="shared" si="43"/>
        <v/>
      </c>
      <c r="AH71" s="24">
        <f t="shared" si="56"/>
        <v>7.214450865983963</v>
      </c>
      <c r="AI71" s="41" t="str">
        <f t="shared" si="44"/>
        <v/>
      </c>
    </row>
    <row r="72" spans="1:35" ht="13.5" customHeight="1" x14ac:dyDescent="0.2">
      <c r="A72" s="578"/>
      <c r="B72" s="8" t="s">
        <v>38</v>
      </c>
      <c r="C72" s="8"/>
      <c r="D72" s="21"/>
      <c r="E72" s="8">
        <v>9</v>
      </c>
      <c r="F72" s="21">
        <f>$D$28/(4*PI())</f>
        <v>5.8070486604633147E-4</v>
      </c>
      <c r="G72" s="37" t="str">
        <f t="shared" si="59"/>
        <v>1;005E85684</v>
      </c>
      <c r="H72" s="38">
        <v>-3</v>
      </c>
      <c r="I72" s="61">
        <f t="shared" si="31"/>
        <v>1.0034580085280609</v>
      </c>
      <c r="J72" s="39"/>
      <c r="K72" s="40" t="str">
        <f t="shared" si="32"/>
        <v>1</v>
      </c>
      <c r="L72" s="24">
        <f t="shared" si="45"/>
        <v>4.1496102336730623E-2</v>
      </c>
      <c r="M72" s="41" t="str">
        <f t="shared" si="33"/>
        <v>0</v>
      </c>
      <c r="N72" s="24">
        <f t="shared" si="46"/>
        <v>0.49795322804076747</v>
      </c>
      <c r="O72" s="41" t="str">
        <f t="shared" si="34"/>
        <v>0</v>
      </c>
      <c r="P72" s="24">
        <f t="shared" si="47"/>
        <v>5.9754387364892096</v>
      </c>
      <c r="Q72" s="41" t="str">
        <f t="shared" si="35"/>
        <v>5</v>
      </c>
      <c r="R72" s="24">
        <f t="shared" si="48"/>
        <v>11.705264837870516</v>
      </c>
      <c r="S72" s="41" t="str">
        <f t="shared" si="36"/>
        <v>E</v>
      </c>
      <c r="T72" s="24">
        <f t="shared" si="49"/>
        <v>8.463178054446189</v>
      </c>
      <c r="U72" s="41" t="str">
        <f t="shared" si="37"/>
        <v>8</v>
      </c>
      <c r="V72" s="24">
        <f t="shared" si="50"/>
        <v>5.5581366533542678</v>
      </c>
      <c r="W72" s="41" t="str">
        <f t="shared" si="38"/>
        <v>5</v>
      </c>
      <c r="X72" s="24">
        <f t="shared" si="51"/>
        <v>6.6976398402512132</v>
      </c>
      <c r="Y72" s="41" t="str">
        <f t="shared" si="39"/>
        <v>6</v>
      </c>
      <c r="Z72" s="24">
        <f t="shared" si="52"/>
        <v>8.3716780830145581</v>
      </c>
      <c r="AA72" s="41" t="str">
        <f t="shared" si="40"/>
        <v>8</v>
      </c>
      <c r="AB72" s="24">
        <f t="shared" si="53"/>
        <v>4.4601369961746968</v>
      </c>
      <c r="AC72" s="41" t="str">
        <f t="shared" si="41"/>
        <v>4</v>
      </c>
      <c r="AD72" s="24">
        <f t="shared" si="54"/>
        <v>5.521643954096362</v>
      </c>
      <c r="AE72" s="41" t="str">
        <f t="shared" si="42"/>
        <v/>
      </c>
      <c r="AF72" s="24">
        <f t="shared" si="55"/>
        <v>6.2597274491563439</v>
      </c>
      <c r="AG72" s="41" t="str">
        <f t="shared" si="43"/>
        <v/>
      </c>
      <c r="AH72" s="24">
        <f t="shared" si="56"/>
        <v>3.1167293898761272</v>
      </c>
      <c r="AI72" s="41" t="str">
        <f t="shared" si="44"/>
        <v/>
      </c>
    </row>
    <row r="73" spans="1:35" ht="13.5" customHeight="1" x14ac:dyDescent="0.2">
      <c r="A73" s="578"/>
      <c r="B73" s="8" t="s">
        <v>33</v>
      </c>
      <c r="C73" s="8"/>
      <c r="D73" s="21"/>
      <c r="E73" s="8">
        <v>9</v>
      </c>
      <c r="F73" s="21">
        <f>4*PI()/($D$28*$D$28)</f>
        <v>235982.17819420979</v>
      </c>
      <c r="G73" s="37" t="str">
        <f t="shared" si="59"/>
        <v>0;E4692217E</v>
      </c>
      <c r="H73" s="38">
        <v>5</v>
      </c>
      <c r="I73" s="61">
        <f t="shared" si="31"/>
        <v>0.94835944811844852</v>
      </c>
      <c r="J73" s="39"/>
      <c r="K73" s="40" t="str">
        <f t="shared" si="32"/>
        <v>0</v>
      </c>
      <c r="L73" s="24">
        <f t="shared" si="45"/>
        <v>11.380313377421382</v>
      </c>
      <c r="M73" s="41" t="str">
        <f t="shared" si="33"/>
        <v>E</v>
      </c>
      <c r="N73" s="24">
        <f t="shared" si="46"/>
        <v>4.5637605290565872</v>
      </c>
      <c r="O73" s="41" t="str">
        <f t="shared" si="34"/>
        <v>4</v>
      </c>
      <c r="P73" s="24">
        <f t="shared" si="47"/>
        <v>6.7651263486790469</v>
      </c>
      <c r="Q73" s="41" t="str">
        <f t="shared" si="35"/>
        <v>6</v>
      </c>
      <c r="R73" s="24">
        <f t="shared" si="48"/>
        <v>9.1815161841485633</v>
      </c>
      <c r="S73" s="41" t="str">
        <f t="shared" si="36"/>
        <v>9</v>
      </c>
      <c r="T73" s="24">
        <f t="shared" si="49"/>
        <v>2.1781942097827596</v>
      </c>
      <c r="U73" s="41" t="str">
        <f t="shared" si="37"/>
        <v>2</v>
      </c>
      <c r="V73" s="24">
        <f t="shared" si="50"/>
        <v>2.1383305173931149</v>
      </c>
      <c r="W73" s="41" t="str">
        <f t="shared" si="38"/>
        <v>2</v>
      </c>
      <c r="X73" s="24">
        <f t="shared" si="51"/>
        <v>1.6599662087173783</v>
      </c>
      <c r="Y73" s="41" t="str">
        <f t="shared" si="39"/>
        <v>1</v>
      </c>
      <c r="Z73" s="24">
        <f t="shared" si="52"/>
        <v>7.9195945046085399</v>
      </c>
      <c r="AA73" s="41" t="str">
        <f t="shared" si="40"/>
        <v>7</v>
      </c>
      <c r="AB73" s="24">
        <f t="shared" si="53"/>
        <v>11.035134055302478</v>
      </c>
      <c r="AC73" s="41" t="str">
        <f t="shared" si="41"/>
        <v>E</v>
      </c>
      <c r="AD73" s="24">
        <f t="shared" si="54"/>
        <v>0.42160866362974048</v>
      </c>
      <c r="AE73" s="41" t="str">
        <f t="shared" si="42"/>
        <v/>
      </c>
      <c r="AF73" s="24">
        <f t="shared" si="55"/>
        <v>5.0593039635568857</v>
      </c>
      <c r="AG73" s="41" t="str">
        <f t="shared" si="43"/>
        <v/>
      </c>
      <c r="AH73" s="24">
        <f t="shared" si="56"/>
        <v>0.71164756268262863</v>
      </c>
      <c r="AI73" s="41" t="str">
        <f t="shared" si="44"/>
        <v/>
      </c>
    </row>
    <row r="74" spans="1:35" ht="14.25" customHeight="1" x14ac:dyDescent="0.2">
      <c r="A74" s="578"/>
      <c r="B74" s="30" t="s">
        <v>41</v>
      </c>
      <c r="C74" s="30"/>
      <c r="D74" s="29"/>
      <c r="E74" s="30">
        <v>9</v>
      </c>
      <c r="F74" s="29">
        <f>($D$28*$D$28)/(4*PI())</f>
        <v>4.2376081433446851E-6</v>
      </c>
      <c r="G74" s="108" t="str">
        <f t="shared" si="59"/>
        <v>1;07X1163X5</v>
      </c>
      <c r="H74" s="43">
        <v>-5</v>
      </c>
      <c r="I74" s="62">
        <f t="shared" si="31"/>
        <v>1.0544525095247446</v>
      </c>
      <c r="J74" s="44"/>
      <c r="K74" s="40" t="str">
        <f t="shared" si="32"/>
        <v>1</v>
      </c>
      <c r="L74" s="24">
        <f t="shared" si="45"/>
        <v>0.65343011429693476</v>
      </c>
      <c r="M74" s="41" t="str">
        <f t="shared" si="33"/>
        <v>0</v>
      </c>
      <c r="N74" s="24">
        <f t="shared" si="46"/>
        <v>7.8411613715632171</v>
      </c>
      <c r="O74" s="41" t="str">
        <f t="shared" si="34"/>
        <v>7</v>
      </c>
      <c r="P74" s="24">
        <f t="shared" si="47"/>
        <v>10.093936458758606</v>
      </c>
      <c r="Q74" s="41" t="str">
        <f t="shared" si="35"/>
        <v>X</v>
      </c>
      <c r="R74" s="24">
        <f t="shared" si="48"/>
        <v>1.1272375051032668</v>
      </c>
      <c r="S74" s="41" t="str">
        <f t="shared" si="36"/>
        <v>1</v>
      </c>
      <c r="T74" s="24">
        <f t="shared" si="49"/>
        <v>1.5268500612392018</v>
      </c>
      <c r="U74" s="41" t="str">
        <f t="shared" si="37"/>
        <v>1</v>
      </c>
      <c r="V74" s="24">
        <f t="shared" si="50"/>
        <v>6.322200734870421</v>
      </c>
      <c r="W74" s="41" t="str">
        <f t="shared" si="38"/>
        <v>6</v>
      </c>
      <c r="X74" s="24">
        <f t="shared" si="51"/>
        <v>3.866408818445052</v>
      </c>
      <c r="Y74" s="41" t="str">
        <f t="shared" si="39"/>
        <v>3</v>
      </c>
      <c r="Z74" s="24">
        <f t="shared" si="52"/>
        <v>10.396905821340624</v>
      </c>
      <c r="AA74" s="41" t="str">
        <f t="shared" si="40"/>
        <v>X</v>
      </c>
      <c r="AB74" s="24">
        <f t="shared" si="53"/>
        <v>4.7628698560874909</v>
      </c>
      <c r="AC74" s="41" t="str">
        <f t="shared" si="41"/>
        <v>5</v>
      </c>
      <c r="AD74" s="24">
        <f t="shared" si="54"/>
        <v>9.154438273049891</v>
      </c>
      <c r="AE74" s="41" t="str">
        <f t="shared" si="42"/>
        <v/>
      </c>
      <c r="AF74" s="24">
        <f t="shared" si="55"/>
        <v>1.8532592765986919</v>
      </c>
      <c r="AG74" s="41" t="str">
        <f t="shared" si="43"/>
        <v/>
      </c>
      <c r="AH74" s="24">
        <f t="shared" si="56"/>
        <v>10.239111319184303</v>
      </c>
      <c r="AI74" s="41" t="str">
        <f t="shared" si="44"/>
        <v/>
      </c>
    </row>
    <row r="75" spans="1:35" ht="14.25" customHeight="1" x14ac:dyDescent="0.2">
      <c r="A75" s="578"/>
      <c r="B75" s="30"/>
      <c r="C75" s="30"/>
      <c r="D75" s="29"/>
      <c r="E75" s="30"/>
      <c r="F75" s="29"/>
      <c r="G75" s="108"/>
      <c r="H75" s="43"/>
      <c r="I75" s="62"/>
      <c r="J75" s="44"/>
      <c r="K75" s="40"/>
      <c r="L75" s="24"/>
      <c r="M75" s="41"/>
      <c r="N75" s="24"/>
      <c r="O75" s="41"/>
      <c r="P75" s="24"/>
      <c r="Q75" s="41"/>
      <c r="R75" s="24"/>
      <c r="S75" s="41"/>
      <c r="T75" s="24"/>
      <c r="U75" s="41"/>
      <c r="V75" s="24"/>
      <c r="W75" s="41"/>
      <c r="X75" s="24"/>
      <c r="Y75" s="41"/>
      <c r="Z75" s="24"/>
      <c r="AA75" s="41"/>
      <c r="AB75" s="24"/>
      <c r="AC75" s="41"/>
      <c r="AD75" s="24"/>
      <c r="AE75" s="41"/>
      <c r="AF75" s="24"/>
      <c r="AG75" s="41"/>
      <c r="AH75" s="24"/>
      <c r="AI75" s="41"/>
    </row>
    <row r="76" spans="1:35" ht="14.25" customHeight="1" x14ac:dyDescent="0.2">
      <c r="A76" s="578"/>
      <c r="B76" s="30"/>
      <c r="C76" s="30"/>
      <c r="D76" s="29"/>
      <c r="E76" s="30"/>
      <c r="F76" s="29"/>
      <c r="G76" s="108"/>
      <c r="H76" s="43"/>
      <c r="I76" s="62"/>
      <c r="J76" s="44"/>
      <c r="K76" s="40"/>
      <c r="L76" s="24"/>
      <c r="M76" s="41"/>
      <c r="N76" s="24"/>
      <c r="O76" s="41"/>
      <c r="P76" s="24"/>
      <c r="Q76" s="41"/>
      <c r="R76" s="24"/>
      <c r="S76" s="41"/>
      <c r="T76" s="24"/>
      <c r="U76" s="41"/>
      <c r="V76" s="24"/>
      <c r="W76" s="41"/>
      <c r="X76" s="24"/>
      <c r="Y76" s="41"/>
      <c r="Z76" s="24"/>
      <c r="AA76" s="41"/>
      <c r="AB76" s="24"/>
      <c r="AC76" s="41"/>
      <c r="AD76" s="24"/>
      <c r="AE76" s="41"/>
      <c r="AF76" s="24"/>
      <c r="AG76" s="41"/>
      <c r="AH76" s="24"/>
      <c r="AI76" s="41"/>
    </row>
    <row r="77" spans="1:35" ht="14.25" customHeight="1" x14ac:dyDescent="0.2">
      <c r="A77" s="578"/>
      <c r="B77" s="30" t="s">
        <v>339</v>
      </c>
      <c r="C77" s="30"/>
      <c r="D77" s="29"/>
      <c r="E77" s="30">
        <v>12</v>
      </c>
      <c r="F77" s="29">
        <f>POWER(2,43)</f>
        <v>8796093022208</v>
      </c>
      <c r="G77" s="108" t="str">
        <f t="shared" si="59"/>
        <v>0;EX08X990X0X8</v>
      </c>
      <c r="H77" s="43">
        <v>12</v>
      </c>
      <c r="I77" s="62">
        <f t="shared" si="31"/>
        <v>0.98654036854514426</v>
      </c>
      <c r="J77" s="44"/>
      <c r="K77" s="40" t="str">
        <f t="shared" si="32"/>
        <v>0</v>
      </c>
      <c r="L77" s="24">
        <f t="shared" si="45"/>
        <v>11.838484422541731</v>
      </c>
      <c r="M77" s="41" t="str">
        <f t="shared" si="33"/>
        <v>E</v>
      </c>
      <c r="N77" s="24">
        <f t="shared" si="46"/>
        <v>10.061813070500769</v>
      </c>
      <c r="O77" s="41" t="str">
        <f t="shared" si="34"/>
        <v>X</v>
      </c>
      <c r="P77" s="24">
        <f t="shared" si="47"/>
        <v>0.74175684600922409</v>
      </c>
      <c r="Q77" s="41" t="str">
        <f t="shared" si="35"/>
        <v>0</v>
      </c>
      <c r="R77" s="24">
        <f t="shared" si="48"/>
        <v>8.9010821521106891</v>
      </c>
      <c r="S77" s="41" t="str">
        <f t="shared" si="36"/>
        <v>8</v>
      </c>
      <c r="T77" s="24">
        <f t="shared" si="49"/>
        <v>10.812985825328269</v>
      </c>
      <c r="U77" s="41" t="str">
        <f t="shared" si="37"/>
        <v>X</v>
      </c>
      <c r="V77" s="24">
        <f t="shared" si="50"/>
        <v>9.7558299039392296</v>
      </c>
      <c r="W77" s="41" t="str">
        <f t="shared" si="38"/>
        <v>9</v>
      </c>
      <c r="X77" s="24">
        <f t="shared" si="51"/>
        <v>9.0699588472707546</v>
      </c>
      <c r="Y77" s="41" t="str">
        <f t="shared" si="39"/>
        <v>9</v>
      </c>
      <c r="Z77" s="24">
        <f t="shared" si="52"/>
        <v>0.83950616724905558</v>
      </c>
      <c r="AA77" s="41" t="str">
        <f t="shared" si="40"/>
        <v>0</v>
      </c>
      <c r="AB77" s="24">
        <f t="shared" si="53"/>
        <v>10.074074006988667</v>
      </c>
      <c r="AC77" s="41" t="str">
        <f t="shared" si="41"/>
        <v>X</v>
      </c>
      <c r="AD77" s="24">
        <f t="shared" si="54"/>
        <v>0.88888808386400342</v>
      </c>
      <c r="AE77" s="41" t="str">
        <f t="shared" si="42"/>
        <v>0</v>
      </c>
      <c r="AF77" s="24">
        <f t="shared" si="55"/>
        <v>10.666657006368041</v>
      </c>
      <c r="AG77" s="41" t="str">
        <f t="shared" si="43"/>
        <v>X</v>
      </c>
      <c r="AH77" s="24">
        <f t="shared" si="56"/>
        <v>7.9998840764164925</v>
      </c>
      <c r="AI77" s="41" t="str">
        <f t="shared" si="44"/>
        <v>8</v>
      </c>
    </row>
    <row r="78" spans="1:35" ht="14.25" customHeight="1" x14ac:dyDescent="0.2">
      <c r="A78" s="578"/>
      <c r="B78" s="30" t="s">
        <v>645</v>
      </c>
      <c r="C78" s="30"/>
      <c r="D78" s="29"/>
      <c r="E78" s="30">
        <v>12</v>
      </c>
      <c r="F78" s="29">
        <f>POWER(12,16)/POWER(2,48)</f>
        <v>656.84083557128906</v>
      </c>
      <c r="G78" s="108" t="str">
        <f t="shared" si="59"/>
        <v>4;68X10E696900</v>
      </c>
      <c r="H78" s="43">
        <v>2</v>
      </c>
      <c r="I78" s="62">
        <f t="shared" si="31"/>
        <v>4.5613946914672852</v>
      </c>
      <c r="J78" s="44"/>
      <c r="K78" s="40" t="str">
        <f t="shared" si="32"/>
        <v>4</v>
      </c>
      <c r="L78" s="24">
        <f t="shared" si="45"/>
        <v>6.7367362976074219</v>
      </c>
      <c r="M78" s="41" t="str">
        <f t="shared" si="33"/>
        <v>6</v>
      </c>
      <c r="N78" s="24">
        <f t="shared" si="46"/>
        <v>8.8408355712890625</v>
      </c>
      <c r="O78" s="41" t="str">
        <f t="shared" si="34"/>
        <v>8</v>
      </c>
      <c r="P78" s="24">
        <f t="shared" si="47"/>
        <v>10.09002685546875</v>
      </c>
      <c r="Q78" s="41" t="str">
        <f t="shared" si="35"/>
        <v>X</v>
      </c>
      <c r="R78" s="24">
        <f t="shared" si="48"/>
        <v>1.080322265625</v>
      </c>
      <c r="S78" s="41" t="str">
        <f t="shared" si="36"/>
        <v>1</v>
      </c>
      <c r="T78" s="24">
        <f t="shared" si="49"/>
        <v>0.9638671875</v>
      </c>
      <c r="U78" s="41" t="str">
        <f t="shared" si="37"/>
        <v>0</v>
      </c>
      <c r="V78" s="24">
        <f t="shared" si="50"/>
        <v>11.56640625</v>
      </c>
      <c r="W78" s="41" t="str">
        <f t="shared" si="38"/>
        <v>E</v>
      </c>
      <c r="X78" s="24">
        <f t="shared" si="51"/>
        <v>6.796875</v>
      </c>
      <c r="Y78" s="41" t="str">
        <f t="shared" si="39"/>
        <v>6</v>
      </c>
      <c r="Z78" s="24">
        <f t="shared" si="52"/>
        <v>9.5625</v>
      </c>
      <c r="AA78" s="41" t="str">
        <f t="shared" si="40"/>
        <v>9</v>
      </c>
      <c r="AB78" s="24">
        <f t="shared" si="53"/>
        <v>6.75</v>
      </c>
      <c r="AC78" s="41" t="str">
        <f t="shared" si="41"/>
        <v>6</v>
      </c>
      <c r="AD78" s="24">
        <f t="shared" si="54"/>
        <v>9</v>
      </c>
      <c r="AE78" s="41" t="str">
        <f t="shared" si="42"/>
        <v>9</v>
      </c>
      <c r="AF78" s="24">
        <f t="shared" si="55"/>
        <v>0</v>
      </c>
      <c r="AG78" s="41" t="str">
        <f t="shared" si="43"/>
        <v>0</v>
      </c>
      <c r="AH78" s="24">
        <f t="shared" si="56"/>
        <v>0</v>
      </c>
      <c r="AI78" s="41" t="str">
        <f t="shared" si="44"/>
        <v>0</v>
      </c>
    </row>
    <row r="79" spans="1:35" ht="14.25" customHeight="1" thickBot="1" x14ac:dyDescent="0.25">
      <c r="A79" s="579"/>
      <c r="B79" s="33" t="s">
        <v>340</v>
      </c>
      <c r="C79" s="33"/>
      <c r="D79" s="32"/>
      <c r="E79" s="33">
        <v>12</v>
      </c>
      <c r="F79" s="32">
        <f>POWER(2,-17)*(2*PI())</f>
        <v>4.7936899621426287E-5</v>
      </c>
      <c r="G79" s="47" t="str">
        <f t="shared" si="59"/>
        <v>0;EE17EX582521</v>
      </c>
      <c r="H79" s="48">
        <v>-4</v>
      </c>
      <c r="I79" s="63">
        <f t="shared" si="31"/>
        <v>0.99401955054989555</v>
      </c>
      <c r="J79" s="49"/>
      <c r="K79" s="40" t="str">
        <f t="shared" si="32"/>
        <v>0</v>
      </c>
      <c r="L79" s="24">
        <f t="shared" si="45"/>
        <v>11.928234606598746</v>
      </c>
      <c r="M79" s="41" t="str">
        <f t="shared" si="33"/>
        <v>E</v>
      </c>
      <c r="N79" s="24">
        <f t="shared" si="46"/>
        <v>11.138815279184954</v>
      </c>
      <c r="O79" s="41" t="str">
        <f t="shared" si="34"/>
        <v>E</v>
      </c>
      <c r="P79" s="24">
        <f t="shared" si="47"/>
        <v>1.6657833502194421</v>
      </c>
      <c r="Q79" s="41" t="str">
        <f t="shared" si="35"/>
        <v>1</v>
      </c>
      <c r="R79" s="24">
        <f t="shared" si="48"/>
        <v>7.9894002026333055</v>
      </c>
      <c r="S79" s="41" t="str">
        <f t="shared" si="36"/>
        <v>7</v>
      </c>
      <c r="T79" s="24">
        <f t="shared" si="49"/>
        <v>11.872802431599666</v>
      </c>
      <c r="U79" s="41" t="str">
        <f t="shared" si="37"/>
        <v>E</v>
      </c>
      <c r="V79" s="24">
        <f t="shared" si="50"/>
        <v>10.473629179195996</v>
      </c>
      <c r="W79" s="41" t="str">
        <f t="shared" si="38"/>
        <v>X</v>
      </c>
      <c r="X79" s="24">
        <f t="shared" si="51"/>
        <v>5.6835501503519481</v>
      </c>
      <c r="Y79" s="41" t="str">
        <f t="shared" si="39"/>
        <v>5</v>
      </c>
      <c r="Z79" s="24">
        <f t="shared" si="52"/>
        <v>8.2026018042233773</v>
      </c>
      <c r="AA79" s="41" t="str">
        <f t="shared" si="40"/>
        <v>8</v>
      </c>
      <c r="AB79" s="24">
        <f t="shared" si="53"/>
        <v>2.4312216506805271</v>
      </c>
      <c r="AC79" s="41" t="str">
        <f t="shared" si="41"/>
        <v>2</v>
      </c>
      <c r="AD79" s="24">
        <f t="shared" si="54"/>
        <v>5.1746598081663251</v>
      </c>
      <c r="AE79" s="41" t="str">
        <f t="shared" si="42"/>
        <v>5</v>
      </c>
      <c r="AF79" s="24">
        <f t="shared" si="55"/>
        <v>2.0959176979959011</v>
      </c>
      <c r="AG79" s="41" t="str">
        <f t="shared" si="43"/>
        <v>2</v>
      </c>
      <c r="AH79" s="24">
        <f t="shared" si="56"/>
        <v>1.1510123759508133</v>
      </c>
      <c r="AI79" s="41" t="str">
        <f t="shared" si="44"/>
        <v>1</v>
      </c>
    </row>
    <row r="80" spans="1:35" x14ac:dyDescent="0.2">
      <c r="I80" s="79"/>
      <c r="J80" s="79"/>
      <c r="K80" s="79"/>
    </row>
    <row r="81" spans="1:35" ht="15" customHeight="1" x14ac:dyDescent="0.2">
      <c r="B81" s="3" t="s">
        <v>264</v>
      </c>
      <c r="C81" s="3" t="str">
        <f>Rydberg!C34</f>
        <v>Ω_1/m</v>
      </c>
      <c r="D81" s="21">
        <f>Rydberg!D34*D82</f>
        <v>10967758.340274228</v>
      </c>
      <c r="E81" s="8">
        <v>12</v>
      </c>
      <c r="F81" s="21">
        <f>D81/(1/F$3)</f>
        <v>2655193.2149901334</v>
      </c>
      <c r="G81" s="37" t="str">
        <f t="shared" ref="G81" si="60">K81&amp;";"&amp;M81&amp;O81&amp;Q81&amp;S81&amp;U81&amp;W81&amp;Y81&amp;AA81&amp;AC81&amp;AE81&amp;AG81&amp;AI81</f>
        <v>0;X806X126E605</v>
      </c>
      <c r="H81" s="38">
        <v>6</v>
      </c>
      <c r="I81" s="61">
        <f>F81/POWER(12,H81)</f>
        <v>0.88921883539567981</v>
      </c>
      <c r="J81" s="39"/>
      <c r="K81" s="40" t="str">
        <f t="shared" ref="K81" si="61">IF($E81&gt;=K$27,MID($H$27,IF($E81&gt;K$27,INT(I81),ROUND(I81,0))+1,1),"")</f>
        <v>0</v>
      </c>
      <c r="L81" s="24">
        <f t="shared" ref="L81" si="62">(I81-INT(I81))*12</f>
        <v>10.670626024748158</v>
      </c>
      <c r="M81" s="41" t="str">
        <f t="shared" ref="M81" si="63">IF($E81&gt;=M$27,MID($H$27,IF($E81&gt;M$27,INT(L81),ROUND(L81,0))+1,1),"")</f>
        <v>X</v>
      </c>
      <c r="N81" s="24">
        <f t="shared" ref="N81" si="64">(L81-INT(L81))*12</f>
        <v>8.0475122969778923</v>
      </c>
      <c r="O81" s="41" t="str">
        <f t="shared" ref="O81" si="65">IF($E81&gt;=O$27,MID($H$27,IF($E81&gt;O$27,INT(N81),ROUND(N81,0))+1,1),"")</f>
        <v>8</v>
      </c>
      <c r="P81" s="24">
        <f t="shared" ref="P81" si="66">(N81-INT(N81))*12</f>
        <v>0.57014756373470732</v>
      </c>
      <c r="Q81" s="41" t="str">
        <f t="shared" ref="Q81" si="67">IF($E81&gt;=Q$27,MID($H$27,IF($E81&gt;Q$27,INT(P81),ROUND(P81,0))+1,1),"")</f>
        <v>0</v>
      </c>
      <c r="R81" s="24">
        <f t="shared" ref="R81" si="68">(P81-INT(P81))*12</f>
        <v>6.8417707648164878</v>
      </c>
      <c r="S81" s="41" t="str">
        <f t="shared" ref="S81" si="69">IF($E81&gt;=S$27,MID($H$27,IF($E81&gt;S$27,INT(R81),ROUND(R81,0))+1,1),"")</f>
        <v>6</v>
      </c>
      <c r="T81" s="24">
        <f t="shared" ref="T81" si="70">(R81-INT(R81))*12</f>
        <v>10.101249177797854</v>
      </c>
      <c r="U81" s="41" t="str">
        <f t="shared" ref="U81" si="71">IF($E81&gt;=U$27,MID($H$27,IF($E81&gt;U$27,INT(T81),ROUND(T81,0))+1,1),"")</f>
        <v>X</v>
      </c>
      <c r="V81" s="24">
        <f t="shared" ref="V81" si="72">(T81-INT(T81))*12</f>
        <v>1.214990133574247</v>
      </c>
      <c r="W81" s="41" t="str">
        <f t="shared" ref="W81" si="73">IF($E81&gt;=W$27,MID($H$27,IF($E81&gt;W$27,INT(V81),ROUND(V81,0))+1,1),"")</f>
        <v>1</v>
      </c>
      <c r="X81" s="24">
        <f t="shared" ref="X81" si="74">(V81-INT(V81))*12</f>
        <v>2.5798816028909641</v>
      </c>
      <c r="Y81" s="41" t="str">
        <f t="shared" ref="Y81" si="75">IF($E81&gt;=Y$27,MID($H$27,IF($E81&gt;Y$27,INT(X81),ROUND(X81,0))+1,1),"")</f>
        <v>2</v>
      </c>
      <c r="Z81" s="24">
        <f t="shared" ref="Z81" si="76">(X81-INT(X81))*12</f>
        <v>6.9585792346915696</v>
      </c>
      <c r="AA81" s="41" t="str">
        <f t="shared" ref="AA81" si="77">IF($E81&gt;=AA$27,MID($H$27,IF($E81&gt;AA$27,INT(Z81),ROUND(Z81,0))+1,1),"")</f>
        <v>6</v>
      </c>
      <c r="AB81" s="24">
        <f t="shared" ref="AB81" si="78">(Z81-INT(Z81))*12</f>
        <v>11.502950816298835</v>
      </c>
      <c r="AC81" s="41" t="str">
        <f t="shared" ref="AC81" si="79">IF($E81&gt;=AC$27,MID($H$27,IF($E81&gt;AC$27,INT(AB81),ROUND(AB81,0))+1,1),"")</f>
        <v>E</v>
      </c>
      <c r="AD81" s="24">
        <f t="shared" ref="AD81" si="80">(AB81-INT(AB81))*12</f>
        <v>6.0354097955860198</v>
      </c>
      <c r="AE81" s="41" t="str">
        <f t="shared" ref="AE81" si="81">IF($E81&gt;=AE$27,MID($H$27,IF($E81&gt;AE$27,INT(AD81),ROUND(AD81,0))+1,1),"")</f>
        <v>6</v>
      </c>
      <c r="AF81" s="24">
        <f t="shared" ref="AF81" si="82">(AD81-INT(AD81))*12</f>
        <v>0.42491754703223705</v>
      </c>
      <c r="AG81" s="41" t="str">
        <f t="shared" ref="AG81" si="83">IF($E81&gt;=AG$27,MID($H$27,IF($E81&gt;AG$27,INT(AF81),ROUND(AF81,0))+1,1),"")</f>
        <v>0</v>
      </c>
      <c r="AH81" s="24">
        <f t="shared" ref="AH81" si="84">(AF81-INT(AF81))*12</f>
        <v>5.0990105643868446</v>
      </c>
      <c r="AI81" s="41" t="str">
        <f t="shared" ref="AI81" si="85">IF($E81&gt;=AI$27,MID($H$27,IF($E81&gt;AI$27,INT(AH81),ROUND(AH81,0))+1,1),"")</f>
        <v>5</v>
      </c>
    </row>
    <row r="82" spans="1:35" x14ac:dyDescent="0.2">
      <c r="B82" s="137" t="s">
        <v>265</v>
      </c>
      <c r="D82" s="14">
        <f>1/(1+0.00054461702177)</f>
        <v>0.99945567942448077</v>
      </c>
    </row>
    <row r="84" spans="1:35" x14ac:dyDescent="0.2">
      <c r="B84" s="14" t="s">
        <v>1076</v>
      </c>
      <c r="I84" s="288"/>
    </row>
    <row r="85" spans="1:35" x14ac:dyDescent="0.2">
      <c r="B85" s="107" t="s">
        <v>1105</v>
      </c>
      <c r="C85" s="30" t="s">
        <v>1109</v>
      </c>
      <c r="D85" s="30">
        <f>solar_luminosity!C9</f>
        <v>2.5750450803308646E-6</v>
      </c>
      <c r="E85" s="30">
        <v>6</v>
      </c>
      <c r="F85" s="29">
        <f>D85/F$25</f>
        <v>5.2971633717583665E-6</v>
      </c>
      <c r="G85" s="37" t="str">
        <f t="shared" ref="G85:G89" si="86">K85&amp;";"&amp;M85&amp;O85&amp;Q85&amp;S85&amp;U85&amp;W85&amp;Y85&amp;AA85&amp;AC85&amp;AE85&amp;AG85&amp;AI85</f>
        <v>;982489</v>
      </c>
      <c r="H85" s="38">
        <v>-7</v>
      </c>
      <c r="I85" s="61">
        <f t="shared" ref="I85:I89" si="87">F85/POWER(12,H85)</f>
        <v>189.80694088147843</v>
      </c>
      <c r="J85" s="39"/>
      <c r="K85" s="40" t="str">
        <f t="shared" ref="K85:K89" si="88">IF($E85&gt;=K$27,MID($H$27,IF($E85&gt;K$27,INT(I85),ROUND(I85,0))+1,1),"")</f>
        <v/>
      </c>
      <c r="L85" s="24">
        <f t="shared" ref="L85:L89" si="89">(I85-INT(I85))*12</f>
        <v>9.6832905777411042</v>
      </c>
      <c r="M85" s="41" t="str">
        <f t="shared" ref="M85:M89" si="90">IF($E85&gt;=M$27,MID($H$27,IF($E85&gt;M$27,INT(L85),ROUND(L85,0))+1,1),"")</f>
        <v>9</v>
      </c>
      <c r="N85" s="24">
        <f t="shared" ref="N85:N89" si="91">(L85-INT(L85))*12</f>
        <v>8.1994869328932509</v>
      </c>
      <c r="O85" s="41" t="str">
        <f t="shared" ref="O85:O89" si="92">IF($E85&gt;=O$27,MID($H$27,IF($E85&gt;O$27,INT(N85),ROUND(N85,0))+1,1),"")</f>
        <v>8</v>
      </c>
      <c r="P85" s="24">
        <f t="shared" ref="P85:P89" si="93">(N85-INT(N85))*12</f>
        <v>2.3938431947190111</v>
      </c>
      <c r="Q85" s="41" t="str">
        <f t="shared" ref="Q85:Q89" si="94">IF($E85&gt;=Q$27,MID($H$27,IF($E85&gt;Q$27,INT(P85),ROUND(P85,0))+1,1),"")</f>
        <v>2</v>
      </c>
      <c r="R85" s="24">
        <f t="shared" ref="R85:R89" si="95">(P85-INT(P85))*12</f>
        <v>4.726118336628133</v>
      </c>
      <c r="S85" s="41" t="str">
        <f t="shared" ref="S85:S89" si="96">IF($E85&gt;=S$27,MID($H$27,IF($E85&gt;S$27,INT(R85),ROUND(R85,0))+1,1),"")</f>
        <v>4</v>
      </c>
      <c r="T85" s="24">
        <f t="shared" ref="T85:T89" si="97">(R85-INT(R85))*12</f>
        <v>8.7134200395375956</v>
      </c>
      <c r="U85" s="41" t="str">
        <f t="shared" ref="U85:U89" si="98">IF($E85&gt;=U$27,MID($H$27,IF($E85&gt;U$27,INT(T85),ROUND(T85,0))+1,1),"")</f>
        <v>8</v>
      </c>
      <c r="V85" s="24">
        <f t="shared" ref="V85:V89" si="99">(T85-INT(T85))*12</f>
        <v>8.561040474451147</v>
      </c>
      <c r="W85" s="41" t="str">
        <f t="shared" ref="W85:W89" si="100">IF($E85&gt;=W$27,MID($H$27,IF($E85&gt;W$27,INT(V85),ROUND(V85,0))+1,1),"")</f>
        <v>9</v>
      </c>
      <c r="X85" s="24">
        <f t="shared" ref="X85:X89" si="101">(V85-INT(V85))*12</f>
        <v>6.7324856934137642</v>
      </c>
      <c r="Y85" s="41" t="str">
        <f t="shared" ref="Y85:Y89" si="102">IF($E85&gt;=Y$27,MID($H$27,IF($E85&gt;Y$27,INT(X85),ROUND(X85,0))+1,1),"")</f>
        <v/>
      </c>
      <c r="Z85" s="24">
        <f t="shared" ref="Z85:Z89" si="103">(X85-INT(X85))*12</f>
        <v>8.7898283209651709</v>
      </c>
      <c r="AA85" s="41" t="str">
        <f t="shared" ref="AA85:AA89" si="104">IF($E85&gt;=AA$27,MID($H$27,IF($E85&gt;AA$27,INT(Z85),ROUND(Z85,0))+1,1),"")</f>
        <v/>
      </c>
      <c r="AB85" s="24">
        <f t="shared" ref="AB85:AB89" si="105">(Z85-INT(Z85))*12</f>
        <v>9.4779398515820503</v>
      </c>
      <c r="AC85" s="41" t="str">
        <f t="shared" ref="AC85:AC89" si="106">IF($E85&gt;=AC$27,MID($H$27,IF($E85&gt;AC$27,INT(AB85),ROUND(AB85,0))+1,1),"")</f>
        <v/>
      </c>
      <c r="AD85" s="24">
        <f t="shared" ref="AD85:AD89" si="107">(AB85-INT(AB85))*12</f>
        <v>5.7352782189846039</v>
      </c>
      <c r="AE85" s="41" t="str">
        <f t="shared" ref="AE85:AE89" si="108">IF($E85&gt;=AE$27,MID($H$27,IF($E85&gt;AE$27,INT(AD85),ROUND(AD85,0))+1,1),"")</f>
        <v/>
      </c>
      <c r="AF85" s="24">
        <f t="shared" ref="AF85:AF89" si="109">(AD85-INT(AD85))*12</f>
        <v>8.8233386278152466</v>
      </c>
      <c r="AG85" s="41" t="str">
        <f t="shared" ref="AG85:AG89" si="110">IF($E85&gt;=AG$27,MID($H$27,IF($E85&gt;AG$27,INT(AF85),ROUND(AF85,0))+1,1),"")</f>
        <v/>
      </c>
      <c r="AH85" s="24">
        <f t="shared" ref="AH85:AH89" si="111">(AF85-INT(AF85))*12</f>
        <v>9.880063533782959</v>
      </c>
      <c r="AI85" s="41" t="str">
        <f t="shared" ref="AI85:AI89" si="112">IF($E85&gt;=AI$27,MID($H$27,IF($E85&gt;AI$27,INT(AH85),ROUND(AH85,0))+1,1),"")</f>
        <v/>
      </c>
    </row>
    <row r="86" spans="1:35" x14ac:dyDescent="0.2">
      <c r="B86" s="107" t="s">
        <v>1106</v>
      </c>
      <c r="C86" s="30" t="s">
        <v>1110</v>
      </c>
      <c r="D86" s="30">
        <f>solar_luminosity!C14</f>
        <v>7.8136058826780172E-9</v>
      </c>
      <c r="E86" s="30">
        <v>6</v>
      </c>
      <c r="F86" s="29">
        <f t="shared" ref="F86:F88" si="113">D86/F$25</f>
        <v>1.607348438255673E-8</v>
      </c>
      <c r="G86" s="37" t="str">
        <f t="shared" si="86"/>
        <v>;E28975</v>
      </c>
      <c r="H86" s="38">
        <v>-9</v>
      </c>
      <c r="I86" s="61">
        <f t="shared" si="87"/>
        <v>82.935648905295068</v>
      </c>
      <c r="J86" s="39"/>
      <c r="K86" s="40" t="str">
        <f t="shared" si="88"/>
        <v/>
      </c>
      <c r="L86" s="24">
        <f t="shared" si="89"/>
        <v>11.227786863540814</v>
      </c>
      <c r="M86" s="41" t="str">
        <f t="shared" si="90"/>
        <v>E</v>
      </c>
      <c r="N86" s="24">
        <f t="shared" si="91"/>
        <v>2.7334423624897681</v>
      </c>
      <c r="O86" s="41" t="str">
        <f t="shared" si="92"/>
        <v>2</v>
      </c>
      <c r="P86" s="24">
        <f t="shared" si="93"/>
        <v>8.8013083498772176</v>
      </c>
      <c r="Q86" s="41" t="str">
        <f t="shared" si="94"/>
        <v>8</v>
      </c>
      <c r="R86" s="24">
        <f t="shared" si="95"/>
        <v>9.6157001985266106</v>
      </c>
      <c r="S86" s="41" t="str">
        <f t="shared" si="96"/>
        <v>9</v>
      </c>
      <c r="T86" s="24">
        <f t="shared" si="97"/>
        <v>7.3884023823193274</v>
      </c>
      <c r="U86" s="41" t="str">
        <f t="shared" si="98"/>
        <v>7</v>
      </c>
      <c r="V86" s="24">
        <f t="shared" si="99"/>
        <v>4.6608285878319293</v>
      </c>
      <c r="W86" s="41" t="str">
        <f t="shared" si="100"/>
        <v>5</v>
      </c>
      <c r="X86" s="24">
        <f t="shared" si="101"/>
        <v>7.9299430539831519</v>
      </c>
      <c r="Y86" s="41" t="str">
        <f t="shared" si="102"/>
        <v/>
      </c>
      <c r="Z86" s="24">
        <f t="shared" si="103"/>
        <v>11.159316647797823</v>
      </c>
      <c r="AA86" s="41" t="str">
        <f t="shared" si="104"/>
        <v/>
      </c>
      <c r="AB86" s="24">
        <f t="shared" si="105"/>
        <v>1.9117997735738754</v>
      </c>
      <c r="AC86" s="41" t="str">
        <f t="shared" si="106"/>
        <v/>
      </c>
      <c r="AD86" s="24">
        <f t="shared" si="107"/>
        <v>10.941597282886505</v>
      </c>
      <c r="AE86" s="41" t="str">
        <f t="shared" si="108"/>
        <v/>
      </c>
      <c r="AF86" s="24">
        <f t="shared" si="109"/>
        <v>11.299167394638062</v>
      </c>
      <c r="AG86" s="41" t="str">
        <f t="shared" si="110"/>
        <v/>
      </c>
      <c r="AH86" s="24">
        <f t="shared" si="111"/>
        <v>3.5900087356567383</v>
      </c>
      <c r="AI86" s="41" t="str">
        <f t="shared" si="112"/>
        <v/>
      </c>
    </row>
    <row r="87" spans="1:35" x14ac:dyDescent="0.2">
      <c r="A87" s="384"/>
      <c r="B87" s="107" t="s">
        <v>1107</v>
      </c>
      <c r="C87" s="8"/>
      <c r="D87" s="8">
        <f>solar_luminosity!C12</f>
        <v>1.0251439109782231E-8</v>
      </c>
      <c r="E87" s="8">
        <v>6</v>
      </c>
      <c r="F87" s="21">
        <f t="shared" si="113"/>
        <v>2.1088387218903457E-8</v>
      </c>
      <c r="G87" s="37" t="str">
        <f t="shared" si="86"/>
        <v>;98X219</v>
      </c>
      <c r="H87" s="38">
        <v>-9</v>
      </c>
      <c r="I87" s="61">
        <f t="shared" si="87"/>
        <v>108.81144602746599</v>
      </c>
      <c r="J87" s="39"/>
      <c r="K87" s="40" t="str">
        <f t="shared" si="88"/>
        <v/>
      </c>
      <c r="L87" s="24">
        <f t="shared" si="89"/>
        <v>9.7373523295918858</v>
      </c>
      <c r="M87" s="41" t="str">
        <f t="shared" si="90"/>
        <v>9</v>
      </c>
      <c r="N87" s="24">
        <f t="shared" si="91"/>
        <v>8.8482279551026295</v>
      </c>
      <c r="O87" s="41" t="str">
        <f t="shared" si="92"/>
        <v>8</v>
      </c>
      <c r="P87" s="24">
        <f t="shared" si="93"/>
        <v>10.178735461231554</v>
      </c>
      <c r="Q87" s="41" t="str">
        <f t="shared" si="94"/>
        <v>X</v>
      </c>
      <c r="R87" s="24">
        <f t="shared" si="95"/>
        <v>2.1448255347786471</v>
      </c>
      <c r="S87" s="41" t="str">
        <f t="shared" si="96"/>
        <v>2</v>
      </c>
      <c r="T87" s="24">
        <f t="shared" si="97"/>
        <v>1.7379064173437655</v>
      </c>
      <c r="U87" s="41" t="str">
        <f t="shared" si="98"/>
        <v>1</v>
      </c>
      <c r="V87" s="24">
        <f t="shared" si="99"/>
        <v>8.854877008125186</v>
      </c>
      <c r="W87" s="41" t="str">
        <f t="shared" si="100"/>
        <v>9</v>
      </c>
      <c r="X87" s="24">
        <f t="shared" si="101"/>
        <v>10.258524097502232</v>
      </c>
      <c r="Y87" s="41" t="str">
        <f t="shared" si="102"/>
        <v/>
      </c>
      <c r="Z87" s="24">
        <f t="shared" si="103"/>
        <v>3.1022891700267792</v>
      </c>
      <c r="AA87" s="41" t="str">
        <f t="shared" si="104"/>
        <v/>
      </c>
      <c r="AB87" s="24">
        <f t="shared" si="105"/>
        <v>1.2274700403213501</v>
      </c>
      <c r="AC87" s="41" t="str">
        <f t="shared" si="106"/>
        <v/>
      </c>
      <c r="AD87" s="24">
        <f t="shared" si="107"/>
        <v>2.7296404838562012</v>
      </c>
      <c r="AE87" s="41" t="str">
        <f t="shared" si="108"/>
        <v/>
      </c>
      <c r="AF87" s="24">
        <f t="shared" si="109"/>
        <v>8.7556858062744141</v>
      </c>
      <c r="AG87" s="41" t="str">
        <f t="shared" si="110"/>
        <v/>
      </c>
      <c r="AH87" s="24">
        <f t="shared" si="111"/>
        <v>9.0682296752929688</v>
      </c>
      <c r="AI87" s="41" t="str">
        <f t="shared" si="112"/>
        <v/>
      </c>
    </row>
    <row r="88" spans="1:35" x14ac:dyDescent="0.2">
      <c r="B88" s="107" t="s">
        <v>1108</v>
      </c>
      <c r="C88" s="385"/>
      <c r="D88" s="385">
        <f>solar_luminosity!C11</f>
        <v>2.5750450803308634E-8</v>
      </c>
      <c r="E88" s="385">
        <v>6</v>
      </c>
      <c r="F88" s="386">
        <f t="shared" si="113"/>
        <v>5.297163371758364E-8</v>
      </c>
      <c r="G88" s="108" t="str">
        <f t="shared" si="86"/>
        <v>;3X44X8</v>
      </c>
      <c r="H88" s="38">
        <v>-9</v>
      </c>
      <c r="I88" s="61">
        <f t="shared" si="87"/>
        <v>273.32199486932882</v>
      </c>
      <c r="J88" s="39"/>
      <c r="K88" s="40" t="str">
        <f t="shared" si="88"/>
        <v/>
      </c>
      <c r="L88" s="24">
        <f t="shared" si="89"/>
        <v>3.8639384319458259</v>
      </c>
      <c r="M88" s="41" t="str">
        <f t="shared" si="90"/>
        <v>3</v>
      </c>
      <c r="N88" s="24">
        <f t="shared" si="91"/>
        <v>10.36726118334991</v>
      </c>
      <c r="O88" s="41" t="str">
        <f t="shared" si="92"/>
        <v>X</v>
      </c>
      <c r="P88" s="24">
        <f t="shared" si="93"/>
        <v>4.4071342001989251</v>
      </c>
      <c r="Q88" s="41" t="str">
        <f t="shared" si="94"/>
        <v>4</v>
      </c>
      <c r="R88" s="24">
        <f t="shared" si="95"/>
        <v>4.8856104023871012</v>
      </c>
      <c r="S88" s="41" t="str">
        <f t="shared" si="96"/>
        <v>4</v>
      </c>
      <c r="T88" s="24">
        <f t="shared" si="97"/>
        <v>10.627324828645214</v>
      </c>
      <c r="U88" s="41" t="str">
        <f t="shared" si="98"/>
        <v>X</v>
      </c>
      <c r="V88" s="24">
        <f t="shared" si="99"/>
        <v>7.5278979437425733</v>
      </c>
      <c r="W88" s="41" t="str">
        <f t="shared" si="100"/>
        <v>8</v>
      </c>
      <c r="X88" s="24">
        <f t="shared" si="101"/>
        <v>6.3347753249108791</v>
      </c>
      <c r="Y88" s="41" t="str">
        <f t="shared" si="102"/>
        <v/>
      </c>
      <c r="Z88" s="24">
        <f t="shared" si="103"/>
        <v>4.0173038989305496</v>
      </c>
      <c r="AA88" s="41" t="str">
        <f t="shared" si="104"/>
        <v/>
      </c>
      <c r="AB88" s="24">
        <f t="shared" si="105"/>
        <v>0.20764678716659546</v>
      </c>
      <c r="AC88" s="41" t="str">
        <f t="shared" si="106"/>
        <v/>
      </c>
      <c r="AD88" s="24">
        <f t="shared" si="107"/>
        <v>2.4917614459991455</v>
      </c>
      <c r="AE88" s="41" t="str">
        <f t="shared" si="108"/>
        <v/>
      </c>
      <c r="AF88" s="24">
        <f t="shared" si="109"/>
        <v>5.9011373519897461</v>
      </c>
      <c r="AG88" s="41" t="str">
        <f t="shared" si="110"/>
        <v/>
      </c>
      <c r="AH88" s="24">
        <f t="shared" si="111"/>
        <v>10.813648223876953</v>
      </c>
      <c r="AI88" s="41" t="str">
        <f t="shared" si="112"/>
        <v/>
      </c>
    </row>
    <row r="89" spans="1:35" x14ac:dyDescent="0.2">
      <c r="B89" s="126" t="s">
        <v>1079</v>
      </c>
      <c r="C89" s="8"/>
      <c r="D89" s="8"/>
      <c r="E89" s="8">
        <v>6</v>
      </c>
      <c r="F89" s="21">
        <f>F85/F86</f>
        <v>329.55912020588113</v>
      </c>
      <c r="G89" s="37" t="str">
        <f t="shared" si="86"/>
        <v>2;356862</v>
      </c>
      <c r="H89" s="38">
        <v>2</v>
      </c>
      <c r="I89" s="61">
        <f t="shared" si="87"/>
        <v>2.2886050014297301</v>
      </c>
      <c r="J89" s="39"/>
      <c r="K89" s="40" t="str">
        <f t="shared" si="88"/>
        <v>2</v>
      </c>
      <c r="L89" s="24">
        <f t="shared" si="89"/>
        <v>3.4632600171567614</v>
      </c>
      <c r="M89" s="41" t="str">
        <f t="shared" si="90"/>
        <v>3</v>
      </c>
      <c r="N89" s="24">
        <f t="shared" si="91"/>
        <v>5.5591202058811362</v>
      </c>
      <c r="O89" s="41" t="str">
        <f t="shared" si="92"/>
        <v>5</v>
      </c>
      <c r="P89" s="24">
        <f t="shared" si="93"/>
        <v>6.7094424705736344</v>
      </c>
      <c r="Q89" s="41" t="str">
        <f t="shared" si="94"/>
        <v>6</v>
      </c>
      <c r="R89" s="24">
        <f t="shared" si="95"/>
        <v>8.5133096468836129</v>
      </c>
      <c r="S89" s="41" t="str">
        <f t="shared" si="96"/>
        <v>8</v>
      </c>
      <c r="T89" s="24">
        <f t="shared" si="97"/>
        <v>6.159715762603355</v>
      </c>
      <c r="U89" s="41" t="str">
        <f t="shared" si="98"/>
        <v>6</v>
      </c>
      <c r="V89" s="24">
        <f t="shared" si="99"/>
        <v>1.9165891512402595</v>
      </c>
      <c r="W89" s="41" t="str">
        <f t="shared" si="100"/>
        <v>2</v>
      </c>
      <c r="X89" s="24">
        <f t="shared" si="101"/>
        <v>10.999069814883114</v>
      </c>
      <c r="Y89" s="41" t="str">
        <f t="shared" si="102"/>
        <v/>
      </c>
      <c r="Z89" s="24">
        <f t="shared" si="103"/>
        <v>11.988837778597372</v>
      </c>
      <c r="AA89" s="41" t="str">
        <f t="shared" si="104"/>
        <v/>
      </c>
      <c r="AB89" s="24">
        <f t="shared" si="105"/>
        <v>11.86605334316846</v>
      </c>
      <c r="AC89" s="41" t="str">
        <f t="shared" si="106"/>
        <v/>
      </c>
      <c r="AD89" s="24">
        <f t="shared" si="107"/>
        <v>10.392640118021518</v>
      </c>
      <c r="AE89" s="41" t="str">
        <f t="shared" si="108"/>
        <v/>
      </c>
      <c r="AF89" s="24">
        <f t="shared" si="109"/>
        <v>4.7116814162582159</v>
      </c>
      <c r="AG89" s="41" t="str">
        <f t="shared" si="110"/>
        <v/>
      </c>
      <c r="AH89" s="24">
        <f t="shared" si="111"/>
        <v>8.5401769950985909</v>
      </c>
      <c r="AI89" s="41" t="str">
        <f t="shared" si="112"/>
        <v/>
      </c>
    </row>
  </sheetData>
  <mergeCells count="5">
    <mergeCell ref="A1:A26"/>
    <mergeCell ref="K1:P1"/>
    <mergeCell ref="A27:A61"/>
    <mergeCell ref="H27:I27"/>
    <mergeCell ref="A62:A79"/>
  </mergeCells>
  <phoneticPr fontId="1"/>
  <printOptions horizontalCentered="1"/>
  <pageMargins left="0.70866141732283472" right="0.70866141732283472" top="0.74803149606299213" bottom="0.74803149606299213" header="0.31496062992125984" footer="0.31496062992125984"/>
  <pageSetup paperSize="9" scale="71" orientation="portrait" r:id="rId1"/>
  <headerFooter>
    <oddHeader>&amp;A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J64"/>
  <sheetViews>
    <sheetView workbookViewId="0">
      <selection activeCell="K43" sqref="K43"/>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4" style="14" customWidth="1"/>
    <col min="8" max="8" width="3.6328125" style="14" customWidth="1"/>
    <col min="9" max="9" width="9.1796875" style="14" customWidth="1"/>
    <col min="10" max="10" width="14.6328125" style="14" customWidth="1"/>
    <col min="11" max="16384" width="9" style="14"/>
  </cols>
  <sheetData>
    <row r="1" spans="1:10" ht="11.25" customHeight="1" x14ac:dyDescent="0.2">
      <c r="A1" s="615" t="s">
        <v>26</v>
      </c>
      <c r="B1" s="17" t="s">
        <v>42</v>
      </c>
      <c r="C1" s="18" t="str">
        <f>Rydberg!C1</f>
        <v>Unit Symbol</v>
      </c>
      <c r="D1" s="17" t="s">
        <v>43</v>
      </c>
      <c r="E1" s="18" t="s">
        <v>44</v>
      </c>
      <c r="F1" s="17" t="s">
        <v>55</v>
      </c>
      <c r="G1" s="17" t="s">
        <v>734</v>
      </c>
      <c r="H1" s="19"/>
      <c r="I1" s="56" t="s">
        <v>46</v>
      </c>
      <c r="J1" s="20"/>
    </row>
    <row r="2" spans="1:10" ht="13.5" customHeight="1" x14ac:dyDescent="0.2">
      <c r="A2" s="616"/>
      <c r="B2" s="2" t="str">
        <f>Rydberg!B2</f>
        <v>Local Time</v>
      </c>
      <c r="C2" s="2" t="str">
        <f>Rydberg!C2</f>
        <v>s</v>
      </c>
      <c r="D2" s="270"/>
      <c r="E2" s="8"/>
      <c r="F2" s="8"/>
      <c r="G2" s="8"/>
      <c r="H2" s="8"/>
      <c r="I2" s="57"/>
      <c r="J2" s="22"/>
    </row>
    <row r="3" spans="1:10" ht="13.5" customHeight="1" x14ac:dyDescent="0.2">
      <c r="A3" s="616"/>
      <c r="B3" s="2" t="str">
        <f>Rydberg!B3</f>
        <v>Length</v>
      </c>
      <c r="C3" s="7" t="s">
        <v>1392</v>
      </c>
      <c r="D3" s="28"/>
      <c r="E3" s="8"/>
      <c r="F3" s="21">
        <f>D31 * F4 / POWER(10,9)</f>
        <v>0.25902068371199999</v>
      </c>
      <c r="G3" s="26"/>
      <c r="H3" s="8">
        <v>-3</v>
      </c>
      <c r="I3" s="58">
        <f>F3/POWER(10,H3)</f>
        <v>259.02068371199999</v>
      </c>
      <c r="J3" s="118" t="str">
        <f>Rydberg!L3</f>
        <v>mm</v>
      </c>
    </row>
    <row r="4" spans="1:10" ht="13.5" customHeight="1" x14ac:dyDescent="0.2">
      <c r="A4" s="616"/>
      <c r="B4" s="2" t="str">
        <f>Rydberg!B4</f>
        <v>Time</v>
      </c>
      <c r="C4" s="7" t="s">
        <v>1391</v>
      </c>
      <c r="D4" s="28"/>
      <c r="E4" s="8"/>
      <c r="F4" s="21">
        <f>86400/100000</f>
        <v>0.86399999999999999</v>
      </c>
      <c r="G4" s="253"/>
      <c r="H4" s="8">
        <v>-3</v>
      </c>
      <c r="I4" s="58">
        <f t="shared" ref="I4:I26" si="0">F4/POWER(10,H4)</f>
        <v>864</v>
      </c>
      <c r="J4" s="118" t="str">
        <f>Rydberg!L4</f>
        <v>ms</v>
      </c>
    </row>
    <row r="5" spans="1:10" ht="13.5" customHeight="1" x14ac:dyDescent="0.2">
      <c r="A5" s="616"/>
      <c r="B5" s="2" t="str">
        <f>Rydberg!B5</f>
        <v>Energy</v>
      </c>
      <c r="C5" s="2" t="s">
        <v>1397</v>
      </c>
      <c r="D5" s="21"/>
      <c r="E5" s="8"/>
      <c r="F5" s="21">
        <f>F8*POWER(F3/F4,2)</f>
        <v>1.5618694925800098</v>
      </c>
      <c r="G5" s="21"/>
      <c r="H5" s="8">
        <v>0</v>
      </c>
      <c r="I5" s="58">
        <f t="shared" si="0"/>
        <v>1.5618694925800098</v>
      </c>
      <c r="J5" s="118" t="s">
        <v>58</v>
      </c>
    </row>
    <row r="6" spans="1:10" ht="13.5" customHeight="1" x14ac:dyDescent="0.2">
      <c r="A6" s="616"/>
      <c r="B6" s="2" t="str">
        <f>Rydberg!B6</f>
        <v>Temperature</v>
      </c>
      <c r="C6" s="2" t="s">
        <v>1395</v>
      </c>
      <c r="D6" s="21"/>
      <c r="E6" s="8"/>
      <c r="F6" s="21">
        <f>5/9</f>
        <v>0.55555555555555558</v>
      </c>
      <c r="G6" s="21"/>
      <c r="H6" s="8">
        <v>0</v>
      </c>
      <c r="I6" s="58">
        <f t="shared" si="0"/>
        <v>0.55555555555555558</v>
      </c>
      <c r="J6" s="118" t="s">
        <v>59</v>
      </c>
    </row>
    <row r="7" spans="1:10" ht="13.5" customHeight="1" x14ac:dyDescent="0.2">
      <c r="A7" s="616"/>
      <c r="B7" s="2" t="str">
        <f>Rydberg!B7</f>
        <v>Amount of substance</v>
      </c>
      <c r="C7" s="2" t="s">
        <v>1396</v>
      </c>
      <c r="D7" s="21"/>
      <c r="E7" s="8"/>
      <c r="F7" s="21">
        <f>F8*1000</f>
        <v>17378.141784675849</v>
      </c>
      <c r="G7" s="21"/>
      <c r="H7" s="8">
        <v>3</v>
      </c>
      <c r="I7" s="58">
        <f t="shared" si="0"/>
        <v>17.378141784675847</v>
      </c>
      <c r="J7" s="118" t="s">
        <v>647</v>
      </c>
    </row>
    <row r="8" spans="1:10" ht="13.5" customHeight="1" x14ac:dyDescent="0.2">
      <c r="A8" s="616"/>
      <c r="B8" s="2" t="str">
        <f>Rydberg!B8</f>
        <v>Mass</v>
      </c>
      <c r="C8" s="2" t="s">
        <v>1394</v>
      </c>
      <c r="D8" s="21"/>
      <c r="E8" s="8"/>
      <c r="F8" s="21">
        <f>POWER(F3*10,3)</f>
        <v>17.378141784675847</v>
      </c>
      <c r="G8" s="21"/>
      <c r="H8" s="8">
        <v>0</v>
      </c>
      <c r="I8" s="58">
        <f t="shared" si="0"/>
        <v>17.378141784675847</v>
      </c>
      <c r="J8" s="118" t="s">
        <v>61</v>
      </c>
    </row>
    <row r="9" spans="1:10" ht="13.5" customHeight="1" x14ac:dyDescent="0.2">
      <c r="A9" s="616"/>
      <c r="B9" s="2" t="str">
        <f>Rydberg!B9</f>
        <v>Power</v>
      </c>
      <c r="C9" s="2" t="s">
        <v>684</v>
      </c>
      <c r="D9" s="21"/>
      <c r="E9" s="8"/>
      <c r="F9" s="21">
        <f>F5/F4</f>
        <v>1.8077193201157522</v>
      </c>
      <c r="G9" s="21"/>
      <c r="H9" s="8">
        <v>0</v>
      </c>
      <c r="I9" s="58">
        <f t="shared" si="0"/>
        <v>1.8077193201157522</v>
      </c>
      <c r="J9" s="118" t="s">
        <v>62</v>
      </c>
    </row>
    <row r="10" spans="1:10" ht="13.5" customHeight="1" x14ac:dyDescent="0.2">
      <c r="A10" s="616"/>
      <c r="B10" s="2" t="str">
        <f>Rydberg!B10</f>
        <v>Force</v>
      </c>
      <c r="C10" s="2" t="s">
        <v>1398</v>
      </c>
      <c r="D10" s="21"/>
      <c r="E10" s="8"/>
      <c r="F10" s="21">
        <f>F5/F3</f>
        <v>6.0299025938662947</v>
      </c>
      <c r="G10" s="21"/>
      <c r="H10" s="8">
        <v>0</v>
      </c>
      <c r="I10" s="58">
        <f t="shared" si="0"/>
        <v>6.0299025938662947</v>
      </c>
      <c r="J10" s="118" t="s">
        <v>63</v>
      </c>
    </row>
    <row r="11" spans="1:10" ht="13.5" customHeight="1" x14ac:dyDescent="0.2">
      <c r="A11" s="616"/>
      <c r="B11" s="2" t="str">
        <f>Rydberg!B11</f>
        <v>Pressure</v>
      </c>
      <c r="C11" s="2" t="s">
        <v>1399</v>
      </c>
      <c r="D11" s="21"/>
      <c r="E11" s="8"/>
      <c r="F11" s="21">
        <f>F5/POWER(F3,3)</f>
        <v>89.87551787368173</v>
      </c>
      <c r="G11" s="21"/>
      <c r="H11" s="8">
        <v>0</v>
      </c>
      <c r="I11" s="58">
        <f t="shared" si="0"/>
        <v>89.87551787368173</v>
      </c>
      <c r="J11" s="118" t="s">
        <v>64</v>
      </c>
    </row>
    <row r="12" spans="1:10" ht="13.5" customHeight="1" x14ac:dyDescent="0.2">
      <c r="A12" s="616"/>
      <c r="B12" s="2" t="str">
        <f>Rydberg!B12</f>
        <v>Charge</v>
      </c>
      <c r="C12" s="2" t="s">
        <v>1401</v>
      </c>
      <c r="D12" s="21"/>
      <c r="E12" s="8"/>
      <c r="F12" s="21">
        <f>F13*F4</f>
        <v>5.9849973001714761E-2</v>
      </c>
      <c r="G12" s="21"/>
      <c r="H12" s="8">
        <v>-3</v>
      </c>
      <c r="I12" s="58">
        <f t="shared" si="0"/>
        <v>59.849973001714758</v>
      </c>
      <c r="J12" s="118" t="str">
        <f>Rydberg!L12</f>
        <v>mC</v>
      </c>
    </row>
    <row r="13" spans="1:10" ht="14.25" customHeight="1" x14ac:dyDescent="0.2">
      <c r="A13" s="616"/>
      <c r="B13" s="2" t="str">
        <f>Rydberg!B13</f>
        <v>Electric current</v>
      </c>
      <c r="C13" s="2" t="s">
        <v>1400</v>
      </c>
      <c r="D13" s="21"/>
      <c r="E13" s="8"/>
      <c r="F13" s="21">
        <f>SQRT(F9/F16)</f>
        <v>6.9270802085318009E-2</v>
      </c>
      <c r="G13" s="21"/>
      <c r="H13" s="8">
        <v>-3</v>
      </c>
      <c r="I13" s="58">
        <f t="shared" si="0"/>
        <v>69.27080208531801</v>
      </c>
      <c r="J13" s="118" t="str">
        <f>Rydberg!L13</f>
        <v>mA</v>
      </c>
    </row>
    <row r="14" spans="1:10" ht="14.25" customHeight="1" x14ac:dyDescent="0.2">
      <c r="A14" s="616"/>
      <c r="B14" s="2" t="str">
        <f>Rydberg!B14</f>
        <v>Field Strength</v>
      </c>
      <c r="C14" s="2" t="s">
        <v>1402</v>
      </c>
      <c r="D14" s="21"/>
      <c r="E14" s="8"/>
      <c r="F14" s="21">
        <f>F13/F3</f>
        <v>0.26743347709767784</v>
      </c>
      <c r="G14" s="21"/>
      <c r="H14" s="8">
        <v>0</v>
      </c>
      <c r="I14" s="58">
        <f t="shared" si="0"/>
        <v>0.26743347709767784</v>
      </c>
      <c r="J14" s="118" t="s">
        <v>652</v>
      </c>
    </row>
    <row r="15" spans="1:10" ht="14.25" customHeight="1" x14ac:dyDescent="0.2">
      <c r="A15" s="616"/>
      <c r="B15" s="2" t="str">
        <f>Rydberg!B15</f>
        <v>Flux density</v>
      </c>
      <c r="C15" s="2" t="s">
        <v>1403</v>
      </c>
      <c r="D15" s="21"/>
      <c r="E15" s="8"/>
      <c r="F15" s="21">
        <f>F12/POWER(F3,2)</f>
        <v>0.89206205813782624</v>
      </c>
      <c r="G15" s="21"/>
      <c r="H15" s="8">
        <v>0</v>
      </c>
      <c r="I15" s="58">
        <f t="shared" si="0"/>
        <v>0.89206205813782624</v>
      </c>
      <c r="J15" s="118" t="s">
        <v>722</v>
      </c>
    </row>
    <row r="16" spans="1:10" ht="14.25" customHeight="1" x14ac:dyDescent="0.2">
      <c r="A16" s="616"/>
      <c r="B16" s="2" t="str">
        <f>Rydberg!B16</f>
        <v>Impedance</v>
      </c>
      <c r="C16" s="2" t="s">
        <v>1404</v>
      </c>
      <c r="D16" s="21"/>
      <c r="E16" s="8"/>
      <c r="F16" s="21">
        <f>Rydberg!F16*4*PI()</f>
        <v>376.73031340987598</v>
      </c>
      <c r="G16" s="21"/>
      <c r="H16" s="8">
        <v>0</v>
      </c>
      <c r="I16" s="58">
        <f t="shared" si="0"/>
        <v>376.73031340987598</v>
      </c>
      <c r="J16" s="118" t="s">
        <v>214</v>
      </c>
    </row>
    <row r="17" spans="1:10" ht="14.25" customHeight="1" x14ac:dyDescent="0.2">
      <c r="A17" s="616"/>
      <c r="B17" s="2" t="str">
        <f>Rydberg!B17</f>
        <v>Electric potential difference</v>
      </c>
      <c r="C17" s="2" t="s">
        <v>1405</v>
      </c>
      <c r="D17" s="21"/>
      <c r="E17" s="8"/>
      <c r="F17" s="21">
        <f>F13*F16</f>
        <v>26.096410979755344</v>
      </c>
      <c r="G17" s="21"/>
      <c r="H17" s="8">
        <v>0</v>
      </c>
      <c r="I17" s="58">
        <f t="shared" si="0"/>
        <v>26.096410979755344</v>
      </c>
      <c r="J17" s="118" t="str">
        <f>Rydberg!L17</f>
        <v>V</v>
      </c>
    </row>
    <row r="18" spans="1:10" ht="14.25" customHeight="1" x14ac:dyDescent="0.2">
      <c r="A18" s="616"/>
      <c r="B18" s="2" t="str">
        <f>Rydberg!B18</f>
        <v>Electric capacitance</v>
      </c>
      <c r="C18" s="2" t="s">
        <v>689</v>
      </c>
      <c r="D18" s="21"/>
      <c r="E18" s="8"/>
      <c r="F18" s="21">
        <f>F4/F16</f>
        <v>2.2934177825504132E-3</v>
      </c>
      <c r="G18" s="21"/>
      <c r="H18" s="8">
        <v>-3</v>
      </c>
      <c r="I18" s="58">
        <f t="shared" si="0"/>
        <v>2.2934177825504132</v>
      </c>
      <c r="J18" s="118" t="str">
        <f>Rydberg!L18</f>
        <v>mF</v>
      </c>
    </row>
    <row r="19" spans="1:10" ht="14.25" customHeight="1" x14ac:dyDescent="0.2">
      <c r="A19" s="616"/>
      <c r="B19" s="2" t="str">
        <f>Rydberg!B19</f>
        <v>Magnetic flux</v>
      </c>
      <c r="C19" s="2" t="s">
        <v>1409</v>
      </c>
      <c r="D19" s="21">
        <v>8.7460408999999999E-3</v>
      </c>
      <c r="E19" s="8"/>
      <c r="F19" s="21">
        <f>F17*F4</f>
        <v>22.547299086508616</v>
      </c>
      <c r="G19" s="21"/>
      <c r="H19" s="8">
        <v>0</v>
      </c>
      <c r="I19" s="58">
        <f t="shared" si="0"/>
        <v>22.547299086508616</v>
      </c>
      <c r="J19" s="118" t="str">
        <f>Rydberg!L19</f>
        <v>Wb</v>
      </c>
    </row>
    <row r="20" spans="1:10" ht="14.25" customHeight="1" x14ac:dyDescent="0.2">
      <c r="A20" s="616"/>
      <c r="B20" s="2" t="str">
        <f>Rydberg!B20</f>
        <v>Magnetic flux density</v>
      </c>
      <c r="C20" s="2" t="s">
        <v>1406</v>
      </c>
      <c r="D20" s="21">
        <v>0.1492125423</v>
      </c>
      <c r="E20" s="8"/>
      <c r="F20" s="21">
        <f>F19/(F3*F3)</f>
        <v>336.0668187433223</v>
      </c>
      <c r="G20" s="21"/>
      <c r="H20" s="8">
        <v>0</v>
      </c>
      <c r="I20" s="58">
        <f t="shared" si="0"/>
        <v>336.0668187433223</v>
      </c>
      <c r="J20" s="118" t="s">
        <v>222</v>
      </c>
    </row>
    <row r="21" spans="1:10" ht="14.25" customHeight="1" x14ac:dyDescent="0.2">
      <c r="A21" s="616"/>
      <c r="B21" s="6" t="str">
        <f>Rydberg!B21</f>
        <v>Inductance</v>
      </c>
      <c r="C21" s="6" t="s">
        <v>1407</v>
      </c>
      <c r="D21" s="29"/>
      <c r="E21" s="30"/>
      <c r="F21" s="29">
        <f>F4*F16</f>
        <v>325.49499078613286</v>
      </c>
      <c r="G21" s="29"/>
      <c r="H21" s="30">
        <v>0</v>
      </c>
      <c r="I21" s="59">
        <f t="shared" si="0"/>
        <v>325.49499078613286</v>
      </c>
      <c r="J21" s="119" t="str">
        <f>Rydberg!L21</f>
        <v>H</v>
      </c>
    </row>
    <row r="22" spans="1:10" ht="14.25" customHeight="1" x14ac:dyDescent="0.2">
      <c r="A22" s="616"/>
      <c r="B22" s="2" t="str">
        <f>Rydberg!B22</f>
        <v>Frequency</v>
      </c>
      <c r="C22" s="2" t="s">
        <v>1408</v>
      </c>
      <c r="D22" s="29"/>
      <c r="E22" s="30"/>
      <c r="F22" s="29">
        <f>1/F4</f>
        <v>1.1574074074074074</v>
      </c>
      <c r="G22" s="21"/>
      <c r="H22" s="8">
        <v>0</v>
      </c>
      <c r="I22" s="58">
        <f t="shared" si="0"/>
        <v>1.1574074074074074</v>
      </c>
      <c r="J22" s="118" t="s">
        <v>674</v>
      </c>
    </row>
    <row r="23" spans="1:10" ht="14.25" customHeight="1" x14ac:dyDescent="0.2">
      <c r="A23" s="616"/>
      <c r="B23" s="2" t="s">
        <v>1410</v>
      </c>
      <c r="C23" s="2" t="s">
        <v>1411</v>
      </c>
      <c r="D23" s="21"/>
      <c r="E23" s="8"/>
      <c r="F23" s="21">
        <f>1/F4</f>
        <v>1.1574074074074074</v>
      </c>
      <c r="G23" s="21"/>
      <c r="H23" s="8">
        <v>0</v>
      </c>
      <c r="I23" s="58">
        <f t="shared" si="0"/>
        <v>1.1574074074074074</v>
      </c>
      <c r="J23" s="118" t="s">
        <v>668</v>
      </c>
    </row>
    <row r="24" spans="1:10" ht="14.25" customHeight="1" x14ac:dyDescent="0.2">
      <c r="A24" s="616"/>
      <c r="B24" s="6" t="s">
        <v>1412</v>
      </c>
      <c r="C24" s="2" t="s">
        <v>1413</v>
      </c>
      <c r="D24" s="21"/>
      <c r="E24" s="8"/>
      <c r="F24" s="21">
        <f>F5/F8</f>
        <v>8.9875517873681754E-2</v>
      </c>
      <c r="G24" s="21"/>
      <c r="H24" s="8">
        <v>0</v>
      </c>
      <c r="I24" s="58">
        <f t="shared" si="0"/>
        <v>8.9875517873681754E-2</v>
      </c>
      <c r="J24" s="118" t="s">
        <v>670</v>
      </c>
    </row>
    <row r="25" spans="1:10" ht="14.25" customHeight="1" x14ac:dyDescent="0.2">
      <c r="A25" s="660"/>
      <c r="B25" s="6" t="s">
        <v>1414</v>
      </c>
      <c r="C25" s="6" t="s">
        <v>1415</v>
      </c>
      <c r="D25" s="29"/>
      <c r="E25" s="30"/>
      <c r="F25" s="29">
        <f>F5/F8</f>
        <v>8.9875517873681754E-2</v>
      </c>
      <c r="G25" s="29"/>
      <c r="H25" s="30">
        <v>0</v>
      </c>
      <c r="I25" s="59">
        <f t="shared" si="0"/>
        <v>8.9875517873681754E-2</v>
      </c>
      <c r="J25" s="119" t="s">
        <v>671</v>
      </c>
    </row>
    <row r="26" spans="1:10" ht="14.25" customHeight="1" thickBot="1" x14ac:dyDescent="0.25">
      <c r="A26" s="660"/>
      <c r="B26" s="4" t="s">
        <v>1072</v>
      </c>
      <c r="C26" s="4"/>
      <c r="D26" s="32"/>
      <c r="E26" s="33"/>
      <c r="F26" s="32">
        <f>F3/F4/F4</f>
        <v>0.34698201157407405</v>
      </c>
      <c r="G26" s="32"/>
      <c r="H26" s="33">
        <v>0</v>
      </c>
      <c r="I26" s="60">
        <f t="shared" si="0"/>
        <v>0.34698201157407405</v>
      </c>
      <c r="J26" s="124" t="s">
        <v>75</v>
      </c>
    </row>
    <row r="27" spans="1:10" ht="11.25" customHeight="1" x14ac:dyDescent="0.2">
      <c r="A27" s="615" t="s">
        <v>27</v>
      </c>
      <c r="B27" s="17" t="s">
        <v>42</v>
      </c>
      <c r="C27" s="18" t="str">
        <f>Rydberg!C31</f>
        <v>Unit Symbol</v>
      </c>
      <c r="D27" s="17" t="s">
        <v>43</v>
      </c>
      <c r="E27" s="18" t="s">
        <v>54</v>
      </c>
      <c r="F27" s="17" t="s">
        <v>47</v>
      </c>
      <c r="G27" s="17" t="s">
        <v>92</v>
      </c>
      <c r="H27" s="575"/>
      <c r="I27" s="576"/>
      <c r="J27" s="20" t="str">
        <f>Rydberg!L31</f>
        <v>Power</v>
      </c>
    </row>
    <row r="28" spans="1:10" ht="14.25" customHeight="1" x14ac:dyDescent="0.2">
      <c r="A28" s="616"/>
      <c r="B28" s="2" t="str">
        <f>Rydberg!B32</f>
        <v>Fine Structure Constant</v>
      </c>
      <c r="C28" s="2" t="str">
        <f>Rydberg!C32</f>
        <v>-</v>
      </c>
      <c r="D28" s="21">
        <f>Rydberg!D32</f>
        <v>7.2973525643E-3</v>
      </c>
      <c r="E28" s="8">
        <v>9</v>
      </c>
      <c r="F28" s="21">
        <f>D28</f>
        <v>7.2973525643E-3</v>
      </c>
      <c r="G28" s="37"/>
      <c r="H28" s="269">
        <f>FLOOR(LOG10(F28)/3,1)*3</f>
        <v>-3</v>
      </c>
      <c r="I28" s="61">
        <f>F28/POWER(10,H28)</f>
        <v>7.2973525642999997</v>
      </c>
      <c r="J28" s="39"/>
    </row>
    <row r="29" spans="1:10" ht="15" customHeight="1" x14ac:dyDescent="0.2">
      <c r="A29" s="616"/>
      <c r="B29" s="3" t="str">
        <f>Rydberg!B33</f>
        <v>Avogadro constant</v>
      </c>
      <c r="C29" s="3" t="str">
        <f>Rydberg!C33</f>
        <v>1/mol</v>
      </c>
      <c r="D29" s="21">
        <f>Rydberg!D33</f>
        <v>6.0221407599999999E+23</v>
      </c>
      <c r="E29" s="8">
        <v>7</v>
      </c>
      <c r="F29" s="21">
        <f>D29/(1/F$7)</f>
        <v>1.0465361597455557E+28</v>
      </c>
      <c r="G29" s="37"/>
      <c r="H29" s="269">
        <f t="shared" ref="H29:H64" si="1">FLOOR(LOG10(F29)/3,1)*3</f>
        <v>27</v>
      </c>
      <c r="I29" s="61">
        <f t="shared" ref="I29:I64" si="2">F29/POWER(10,H29)</f>
        <v>10.465361597455557</v>
      </c>
      <c r="J29" s="39"/>
    </row>
    <row r="30" spans="1:10" ht="15" customHeight="1" x14ac:dyDescent="0.2">
      <c r="A30" s="616"/>
      <c r="B30" s="3" t="str">
        <f>Rydberg!B34</f>
        <v>Rydberg constant</v>
      </c>
      <c r="C30" s="3" t="str">
        <f>Rydberg!C34</f>
        <v>Ω_1/m</v>
      </c>
      <c r="D30" s="21">
        <f>Rydberg!D34</f>
        <v>10973731.568157</v>
      </c>
      <c r="E30" s="8">
        <v>12</v>
      </c>
      <c r="F30" s="21">
        <f>D30/(1/F$3)</f>
        <v>2842423.4536559843</v>
      </c>
      <c r="G30" s="37"/>
      <c r="H30" s="269">
        <f t="shared" si="1"/>
        <v>6</v>
      </c>
      <c r="I30" s="61">
        <f t="shared" si="2"/>
        <v>2.842423453655984</v>
      </c>
      <c r="J30" s="39"/>
    </row>
    <row r="31" spans="1:10" ht="15" customHeight="1" x14ac:dyDescent="0.2">
      <c r="A31" s="616"/>
      <c r="B31" s="3" t="str">
        <f>Rydberg!B35</f>
        <v>Speed of light in vacuum</v>
      </c>
      <c r="C31" s="3" t="str">
        <f>Rydberg!C35</f>
        <v>m/s</v>
      </c>
      <c r="D31" s="21">
        <f>Rydberg!D35</f>
        <v>299792458</v>
      </c>
      <c r="E31" s="8">
        <v>12</v>
      </c>
      <c r="F31" s="21">
        <f>D31/(F$3/F$4)</f>
        <v>1000000000</v>
      </c>
      <c r="G31" s="37"/>
      <c r="H31" s="269">
        <f t="shared" si="1"/>
        <v>9</v>
      </c>
      <c r="I31" s="61">
        <f t="shared" si="2"/>
        <v>1</v>
      </c>
      <c r="J31" s="39"/>
    </row>
    <row r="32" spans="1:10" ht="15" customHeight="1" x14ac:dyDescent="0.2">
      <c r="A32" s="616"/>
      <c r="B32" s="3" t="str">
        <f>Rydberg!B36</f>
        <v>Quantum of action</v>
      </c>
      <c r="C32" s="3" t="str">
        <f>Rydberg!C36</f>
        <v>Js</v>
      </c>
      <c r="D32" s="21">
        <f>Rydberg!D36</f>
        <v>1.0545718176461565E-34</v>
      </c>
      <c r="E32" s="8">
        <v>7</v>
      </c>
      <c r="F32" s="21">
        <f>D32/(F$5*F$4)</f>
        <v>7.8147965574929692E-35</v>
      </c>
      <c r="G32" s="37"/>
      <c r="H32" s="269">
        <f t="shared" si="1"/>
        <v>-36</v>
      </c>
      <c r="I32" s="61">
        <f t="shared" si="2"/>
        <v>78.1479655749297</v>
      </c>
      <c r="J32" s="39"/>
    </row>
    <row r="33" spans="1:10" ht="15" customHeight="1" x14ac:dyDescent="0.2">
      <c r="A33" s="616"/>
      <c r="B33" s="3" t="str">
        <f>Rydberg!B37</f>
        <v>Boltzmann constant</v>
      </c>
      <c r="C33" s="3" t="str">
        <f>Rydberg!C37</f>
        <v>J/K</v>
      </c>
      <c r="D33" s="21">
        <f>Rydberg!D37</f>
        <v>1.3806490000000001E-23</v>
      </c>
      <c r="E33" s="8">
        <v>6</v>
      </c>
      <c r="F33" s="21">
        <f>D33/(F$5/F$6)</f>
        <v>4.9109559144739477E-24</v>
      </c>
      <c r="G33" s="37"/>
      <c r="H33" s="269">
        <f t="shared" si="1"/>
        <v>-24</v>
      </c>
      <c r="I33" s="61">
        <f t="shared" si="2"/>
        <v>4.9109559144739467</v>
      </c>
      <c r="J33" s="39"/>
    </row>
    <row r="34" spans="1:10" ht="15" customHeight="1" x14ac:dyDescent="0.2">
      <c r="A34" s="616"/>
      <c r="B34" s="3" t="str">
        <f>Rydberg!B38</f>
        <v>Gas constant</v>
      </c>
      <c r="C34" s="3" t="str">
        <f>Rydberg!C38</f>
        <v>J/(mol K)</v>
      </c>
      <c r="D34" s="21">
        <f>Rydberg!D38</f>
        <v>8.3144626181532395</v>
      </c>
      <c r="E34" s="8">
        <v>6</v>
      </c>
      <c r="F34" s="21">
        <f>D34/(F$5/F$6/F$7)</f>
        <v>51394.929434132886</v>
      </c>
      <c r="G34" s="37"/>
      <c r="H34" s="269">
        <f t="shared" si="1"/>
        <v>3</v>
      </c>
      <c r="I34" s="61">
        <f t="shared" si="2"/>
        <v>51.394929434132884</v>
      </c>
      <c r="J34" s="39"/>
    </row>
    <row r="35" spans="1:10" ht="15" customHeight="1" x14ac:dyDescent="0.2">
      <c r="A35" s="616"/>
      <c r="B35" s="3" t="str">
        <f>Rydberg!B39</f>
        <v>Unified atomic mass unit</v>
      </c>
      <c r="C35" s="3" t="str">
        <f>Rydberg!C39</f>
        <v>kg</v>
      </c>
      <c r="D35" s="21">
        <f>Rydberg!D39</f>
        <v>1.6605390689199999E-27</v>
      </c>
      <c r="E35" s="8">
        <v>7</v>
      </c>
      <c r="F35" s="21">
        <f>D35/F$8</f>
        <v>9.5553315739676698E-29</v>
      </c>
      <c r="G35" s="37"/>
      <c r="H35" s="269">
        <f t="shared" si="1"/>
        <v>-30</v>
      </c>
      <c r="I35" s="61">
        <f t="shared" si="2"/>
        <v>95.553315739676705</v>
      </c>
      <c r="J35" s="39"/>
    </row>
    <row r="36" spans="1:10" ht="15" customHeight="1" x14ac:dyDescent="0.2">
      <c r="A36" s="616"/>
      <c r="B36" s="3" t="str">
        <f>Rydberg!B40</f>
        <v>Bohr Radius</v>
      </c>
      <c r="C36" s="3" t="str">
        <f>Rydberg!C40</f>
        <v>m</v>
      </c>
      <c r="D36" s="21">
        <f>Rydberg!D40</f>
        <v>5.2917721054102549E-11</v>
      </c>
      <c r="E36" s="8">
        <v>9</v>
      </c>
      <c r="F36" s="21">
        <f>D36/F$3</f>
        <v>2.0429920999259165E-10</v>
      </c>
      <c r="G36" s="37"/>
      <c r="H36" s="269">
        <f t="shared" si="1"/>
        <v>-12</v>
      </c>
      <c r="I36" s="61">
        <f t="shared" si="2"/>
        <v>204.29920999259164</v>
      </c>
      <c r="J36" s="39"/>
    </row>
    <row r="37" spans="1:10" ht="15" customHeight="1" x14ac:dyDescent="0.2">
      <c r="A37" s="616"/>
      <c r="B37" s="3" t="str">
        <f>Rydberg!B41</f>
        <v>Elementary electric charge</v>
      </c>
      <c r="C37" s="3" t="str">
        <f>Rydberg!C41</f>
        <v>C</v>
      </c>
      <c r="D37" s="21">
        <f>Rydberg!D41</f>
        <v>1.6021766339999999E-19</v>
      </c>
      <c r="E37" s="8">
        <v>9</v>
      </c>
      <c r="F37" s="21">
        <f>D37/F$12</f>
        <v>2.6769880647299471E-18</v>
      </c>
      <c r="G37" s="37"/>
      <c r="H37" s="269">
        <f t="shared" si="1"/>
        <v>-18</v>
      </c>
      <c r="I37" s="61">
        <f t="shared" si="2"/>
        <v>2.6769880647299469</v>
      </c>
      <c r="J37" s="39"/>
    </row>
    <row r="38" spans="1:10" ht="15" customHeight="1" x14ac:dyDescent="0.2">
      <c r="A38" s="616"/>
      <c r="B38" s="3" t="str">
        <f>Rydberg!B42</f>
        <v>Electron mass</v>
      </c>
      <c r="C38" s="3" t="str">
        <f>Rydberg!C42</f>
        <v>kg</v>
      </c>
      <c r="D38" s="21">
        <f>Rydberg!D42</f>
        <v>9.1093837139983745E-31</v>
      </c>
      <c r="E38" s="8">
        <v>7</v>
      </c>
      <c r="F38" s="21">
        <f>D38/F$8</f>
        <v>5.2418629257767277E-32</v>
      </c>
      <c r="G38" s="37"/>
      <c r="H38" s="269">
        <f t="shared" si="1"/>
        <v>-33</v>
      </c>
      <c r="I38" s="61">
        <f t="shared" si="2"/>
        <v>52.418629257767272</v>
      </c>
      <c r="J38" s="39"/>
    </row>
    <row r="39" spans="1:10" ht="15" customHeight="1" x14ac:dyDescent="0.2">
      <c r="A39" s="616"/>
      <c r="B39" s="3" t="str">
        <f>Rydberg!B44</f>
        <v>Newtonian constant of gravitation</v>
      </c>
      <c r="C39" s="3" t="str">
        <f>Rydberg!C44</f>
        <v>(m/s)^4/N</v>
      </c>
      <c r="D39" s="21">
        <f>Rydberg!D44</f>
        <v>6.6742999999999994E-11</v>
      </c>
      <c r="E39" s="8">
        <v>4</v>
      </c>
      <c r="F39" s="21">
        <f>D39/(POWER(F$3/F$4,4)/F$10)</f>
        <v>4.9823382527999984E-8</v>
      </c>
      <c r="G39" s="37"/>
      <c r="H39" s="269">
        <f t="shared" si="1"/>
        <v>-9</v>
      </c>
      <c r="I39" s="61">
        <f t="shared" si="2"/>
        <v>49.823382527999982</v>
      </c>
      <c r="J39" s="39"/>
    </row>
    <row r="40" spans="1:10" ht="15" customHeight="1" x14ac:dyDescent="0.2">
      <c r="A40" s="616"/>
      <c r="B40" s="3" t="str">
        <f>Rydberg!B45</f>
        <v>Planck force</v>
      </c>
      <c r="C40" s="3" t="str">
        <f>Rydberg!C45</f>
        <v>N</v>
      </c>
      <c r="D40" s="21">
        <f>Rydberg!D45</f>
        <v>1.2102555643382063E+44</v>
      </c>
      <c r="E40" s="8">
        <v>4</v>
      </c>
      <c r="F40" s="21">
        <f>D40/F$10</f>
        <v>2.0070897423273405E+43</v>
      </c>
      <c r="G40" s="37"/>
      <c r="H40" s="269">
        <f t="shared" si="1"/>
        <v>42</v>
      </c>
      <c r="I40" s="61">
        <f t="shared" si="2"/>
        <v>20.070897423273404</v>
      </c>
      <c r="J40" s="39"/>
    </row>
    <row r="41" spans="1:10" ht="15" customHeight="1" x14ac:dyDescent="0.2">
      <c r="A41" s="616"/>
      <c r="B41" s="3" t="str">
        <f>Rydberg!B46</f>
        <v>Gravitic meter</v>
      </c>
      <c r="C41" s="3" t="str">
        <f>Rydberg!C46</f>
        <v>m</v>
      </c>
      <c r="D41" s="21">
        <f>Rydberg!D46</f>
        <v>9.5618936743262592E-35</v>
      </c>
      <c r="E41" s="8">
        <v>4</v>
      </c>
      <c r="F41" s="21">
        <f>D41/F$3</f>
        <v>3.6915560322425606E-34</v>
      </c>
      <c r="G41" s="37"/>
      <c r="H41" s="269">
        <f t="shared" si="1"/>
        <v>-36</v>
      </c>
      <c r="I41" s="61">
        <f t="shared" si="2"/>
        <v>369.15560322425608</v>
      </c>
      <c r="J41" s="39"/>
    </row>
    <row r="42" spans="1:10" ht="15" customHeight="1" x14ac:dyDescent="0.2">
      <c r="A42" s="616"/>
      <c r="B42" s="3" t="str">
        <f>Rydberg!B47</f>
        <v>Planck length</v>
      </c>
      <c r="C42" s="3" t="str">
        <f>Rydberg!C47</f>
        <v>m</v>
      </c>
      <c r="D42" s="21">
        <f>Rydberg!D47</f>
        <v>1.6162550244237053E-35</v>
      </c>
      <c r="E42" s="8">
        <v>4</v>
      </c>
      <c r="F42" s="21">
        <f>D42/F$3</f>
        <v>6.2398685744370423E-35</v>
      </c>
      <c r="G42" s="37"/>
      <c r="H42" s="269">
        <f t="shared" si="1"/>
        <v>-36</v>
      </c>
      <c r="I42" s="61">
        <f t="shared" si="2"/>
        <v>62.398685744370425</v>
      </c>
      <c r="J42" s="39"/>
    </row>
    <row r="43" spans="1:10" ht="15" customHeight="1" x14ac:dyDescent="0.2">
      <c r="A43" s="616"/>
      <c r="B43" s="3" t="str">
        <f>Rydberg!B48</f>
        <v>Adjusted Planck length</v>
      </c>
      <c r="C43" s="3" t="str">
        <f>Rydberg!C48</f>
        <v>m</v>
      </c>
      <c r="D43" s="21">
        <f>Rydberg!D48</f>
        <v>1.8920265367777891E-34</v>
      </c>
      <c r="E43" s="8">
        <v>4</v>
      </c>
      <c r="F43" s="21">
        <f>D43/F$3</f>
        <v>7.3045384239719488E-34</v>
      </c>
      <c r="G43" s="37"/>
      <c r="H43" s="269">
        <f t="shared" si="1"/>
        <v>-36</v>
      </c>
      <c r="I43" s="61">
        <f t="shared" si="2"/>
        <v>730.45384239719488</v>
      </c>
      <c r="J43" s="39"/>
    </row>
    <row r="44" spans="1:10" ht="15" customHeight="1" x14ac:dyDescent="0.2">
      <c r="A44" s="616"/>
      <c r="B44" s="3" t="str">
        <f>Rydberg!B49</f>
        <v>Stefan-Boltzmann constant</v>
      </c>
      <c r="C44" s="64" t="str">
        <f>Rydberg!C49</f>
        <v>W/m^2/K^4</v>
      </c>
      <c r="D44" s="21">
        <f>Rydberg!D49</f>
        <v>5.6703744191844301E-8</v>
      </c>
      <c r="E44" s="8">
        <v>6</v>
      </c>
      <c r="F44" s="21">
        <f>D44/(F$9*POWER(F$3,-2)*POWER(F$6,-4))</f>
        <v>2.0047471624492212E-10</v>
      </c>
      <c r="G44" s="37"/>
      <c r="H44" s="269">
        <f t="shared" si="1"/>
        <v>-12</v>
      </c>
      <c r="I44" s="61">
        <f t="shared" si="2"/>
        <v>200.47471624492212</v>
      </c>
      <c r="J44" s="39"/>
    </row>
    <row r="45" spans="1:10" ht="15" customHeight="1" x14ac:dyDescent="0.2">
      <c r="A45" s="616"/>
      <c r="B45" s="3" t="str">
        <f>Rydberg!B50</f>
        <v>Black-body radiation at the ice point</v>
      </c>
      <c r="C45" s="3" t="str">
        <f>Rydberg!C50</f>
        <v>W/m^2</v>
      </c>
      <c r="D45" s="21">
        <f>Rydberg!D50</f>
        <v>315.65782231107141</v>
      </c>
      <c r="E45" s="8">
        <v>6</v>
      </c>
      <c r="F45" s="21">
        <f>D45/(F$9*POWER(F$3,-2))</f>
        <v>11.715327864858324</v>
      </c>
      <c r="G45" s="37"/>
      <c r="H45" s="269">
        <f t="shared" si="1"/>
        <v>0</v>
      </c>
      <c r="I45" s="61">
        <f t="shared" si="2"/>
        <v>11.715327864858324</v>
      </c>
      <c r="J45" s="39"/>
    </row>
    <row r="46" spans="1:10" ht="15" customHeight="1" x14ac:dyDescent="0.2">
      <c r="A46" s="616"/>
      <c r="B46" s="3" t="str">
        <f>Rydberg!B51</f>
        <v>Temperature of the triple point of water</v>
      </c>
      <c r="C46" s="3" t="str">
        <f>Rydberg!C51</f>
        <v>K</v>
      </c>
      <c r="D46" s="21">
        <f>Rydberg!D51</f>
        <v>273.16000000000003</v>
      </c>
      <c r="E46" s="8">
        <v>6</v>
      </c>
      <c r="F46" s="21">
        <f>D46/F$6</f>
        <v>491.68800000000005</v>
      </c>
      <c r="G46" s="37"/>
      <c r="H46" s="269">
        <f t="shared" si="1"/>
        <v>0</v>
      </c>
      <c r="I46" s="61">
        <f t="shared" si="2"/>
        <v>491.68800000000005</v>
      </c>
      <c r="J46" s="39"/>
    </row>
    <row r="47" spans="1:10" ht="15" customHeight="1" x14ac:dyDescent="0.2">
      <c r="A47" s="616"/>
      <c r="B47" s="3" t="str">
        <f>Rydberg!B52</f>
        <v>Molar volume of an ideal gas</v>
      </c>
      <c r="C47" s="3" t="str">
        <f>Rydberg!C52</f>
        <v>m^3/mol</v>
      </c>
      <c r="D47" s="21">
        <f>Rydberg!D52</f>
        <v>2.2413969539999998E-2</v>
      </c>
      <c r="E47" s="8">
        <v>6</v>
      </c>
      <c r="F47" s="21">
        <f>D47/(POWER(F$3,3)/F$7)</f>
        <v>22413.969539999995</v>
      </c>
      <c r="G47" s="37"/>
      <c r="H47" s="269">
        <f t="shared" si="1"/>
        <v>3</v>
      </c>
      <c r="I47" s="61">
        <f t="shared" si="2"/>
        <v>22.413969539999993</v>
      </c>
      <c r="J47" s="39"/>
    </row>
    <row r="48" spans="1:10" ht="15" customHeight="1" x14ac:dyDescent="0.2">
      <c r="A48" s="616"/>
      <c r="B48" s="67" t="str">
        <f>Rydberg!B53</f>
        <v>-log(Sqrt([H+][OH-])/(mol/m^3))</v>
      </c>
      <c r="C48" s="3" t="s">
        <v>723</v>
      </c>
      <c r="D48" s="21">
        <f>Rydberg!D53</f>
        <v>1.0039920318408906E-4</v>
      </c>
      <c r="E48" s="8">
        <v>4</v>
      </c>
      <c r="F48" s="21">
        <f>-LOG(D$48/(F$7*POWER(F$3,-3)))/LOG(10)</f>
        <v>9.9982697339452464</v>
      </c>
      <c r="G48" s="37"/>
      <c r="H48" s="269">
        <f t="shared" si="1"/>
        <v>0</v>
      </c>
      <c r="I48" s="61">
        <f t="shared" si="2"/>
        <v>9.9982697339452464</v>
      </c>
      <c r="J48" s="39"/>
    </row>
    <row r="49" spans="1:10" ht="15" customHeight="1" x14ac:dyDescent="0.2">
      <c r="A49" s="616"/>
      <c r="B49" s="272" t="str">
        <f>Rydberg!B54</f>
        <v>Maximum density of water</v>
      </c>
      <c r="C49" s="272" t="str">
        <f>Rydberg!C54</f>
        <v>kg/m^3</v>
      </c>
      <c r="D49" s="37">
        <f>Rydberg!D54</f>
        <v>999.97199999999998</v>
      </c>
      <c r="E49" s="38">
        <v>6</v>
      </c>
      <c r="F49" s="37">
        <f>D49/(F$8*POWER(F$3,-3))</f>
        <v>0.99997200000000031</v>
      </c>
      <c r="G49" s="37"/>
      <c r="H49" s="269">
        <f t="shared" si="1"/>
        <v>-3</v>
      </c>
      <c r="I49" s="273">
        <f t="shared" si="2"/>
        <v>999.97200000000032</v>
      </c>
      <c r="J49" s="39"/>
    </row>
    <row r="50" spans="1:10" ht="15" customHeight="1" x14ac:dyDescent="0.2">
      <c r="A50" s="616"/>
      <c r="B50" s="3" t="str">
        <f>Rydberg!B55</f>
        <v>Density of ice at the ice point</v>
      </c>
      <c r="C50" s="3" t="str">
        <f>Rydberg!C55</f>
        <v>kg/m^3</v>
      </c>
      <c r="D50" s="21">
        <f>Rydberg!D55</f>
        <v>916.8</v>
      </c>
      <c r="E50" s="8">
        <v>4</v>
      </c>
      <c r="F50" s="21">
        <f>D50/(F$8*POWER(F$3,-3))</f>
        <v>0.91680000000000028</v>
      </c>
      <c r="G50" s="37"/>
      <c r="H50" s="269">
        <f t="shared" si="1"/>
        <v>-3</v>
      </c>
      <c r="I50" s="61">
        <f t="shared" si="2"/>
        <v>916.8000000000003</v>
      </c>
      <c r="J50" s="39"/>
    </row>
    <row r="51" spans="1:10" ht="15" customHeight="1" x14ac:dyDescent="0.2">
      <c r="A51" s="616"/>
      <c r="B51" s="272" t="str">
        <f>Rydberg!B56</f>
        <v>Specific heat of water</v>
      </c>
      <c r="C51" s="272" t="str">
        <f>Rydberg!C56</f>
        <v>J/kg/K</v>
      </c>
      <c r="D51" s="37">
        <f>Rydberg!D56</f>
        <v>4184</v>
      </c>
      <c r="E51" s="38">
        <v>4</v>
      </c>
      <c r="F51" s="37">
        <f>D51/(F$5/F$8/F$6)</f>
        <v>25862.932414046336</v>
      </c>
      <c r="G51" s="37"/>
      <c r="H51" s="269">
        <f t="shared" si="1"/>
        <v>3</v>
      </c>
      <c r="I51" s="273">
        <f t="shared" si="2"/>
        <v>25.862932414046337</v>
      </c>
      <c r="J51" s="274"/>
    </row>
    <row r="52" spans="1:10" ht="15" customHeight="1" x14ac:dyDescent="0.2">
      <c r="A52" s="616"/>
      <c r="B52" s="3" t="str">
        <f>Rydberg!B57</f>
        <v>Surface tension of water at 25℃</v>
      </c>
      <c r="C52" s="3" t="str">
        <f>Rydberg!C57</f>
        <v>N/m</v>
      </c>
      <c r="D52" s="21">
        <f>Rydberg!D57</f>
        <v>7.1970000000000006E-2</v>
      </c>
      <c r="E52" s="8">
        <v>4</v>
      </c>
      <c r="F52" s="21">
        <f>D$52/(F$10/F$3)</f>
        <v>3.0915455625626972E-3</v>
      </c>
      <c r="G52" s="37"/>
      <c r="H52" s="269">
        <f t="shared" si="1"/>
        <v>-3</v>
      </c>
      <c r="I52" s="61">
        <f t="shared" si="2"/>
        <v>3.0915455625626973</v>
      </c>
      <c r="J52" s="39"/>
    </row>
    <row r="53" spans="1:10" ht="15" customHeight="1" x14ac:dyDescent="0.2">
      <c r="A53" s="616"/>
      <c r="B53" s="5" t="str">
        <f>Rydberg!B58</f>
        <v>photon energy at 540THz</v>
      </c>
      <c r="C53" s="3" t="str">
        <f>Rydberg!C58</f>
        <v>J</v>
      </c>
      <c r="D53" s="21">
        <f>D32*540000000000000*(2*PI())</f>
        <v>3.5780778809999999E-19</v>
      </c>
      <c r="E53" s="8">
        <v>7</v>
      </c>
      <c r="F53" s="21">
        <f>D53/F$5</f>
        <v>2.2908942763773882E-19</v>
      </c>
      <c r="G53" s="37"/>
      <c r="H53" s="269">
        <f t="shared" si="1"/>
        <v>-21</v>
      </c>
      <c r="I53" s="61">
        <f t="shared" si="2"/>
        <v>229.08942763773885</v>
      </c>
      <c r="J53" s="39"/>
    </row>
    <row r="54" spans="1:10" ht="15" customHeight="1" x14ac:dyDescent="0.2">
      <c r="A54" s="616"/>
      <c r="B54" s="224" t="str">
        <f>Rydberg!B59</f>
        <v>(according to the definition of candela)</v>
      </c>
      <c r="C54" s="3" t="str">
        <f>Rydberg!C59</f>
        <v>eΩA</v>
      </c>
      <c r="D54" s="21">
        <f>D53/D37</f>
        <v>2.2332605563388839</v>
      </c>
      <c r="E54" s="8">
        <v>7</v>
      </c>
      <c r="F54" s="21">
        <f>D54/F$17</f>
        <v>8.5577306322749402E-2</v>
      </c>
      <c r="G54" s="37"/>
      <c r="H54" s="269">
        <f t="shared" si="1"/>
        <v>-3</v>
      </c>
      <c r="I54" s="61">
        <f t="shared" si="2"/>
        <v>85.577306322749394</v>
      </c>
      <c r="J54" s="254"/>
    </row>
    <row r="55" spans="1:10" ht="15" customHeight="1" x14ac:dyDescent="0.2">
      <c r="A55" s="616"/>
      <c r="B55" s="267">
        <f>Rydberg!B60</f>
        <v>1.024</v>
      </c>
      <c r="C55" s="3" t="str">
        <f>Rydberg!C60</f>
        <v>P/m</v>
      </c>
      <c r="D55" s="21">
        <f>D49*D58*B55</f>
        <v>10041.728423731198</v>
      </c>
      <c r="E55" s="8">
        <v>6</v>
      </c>
      <c r="F55" s="21">
        <f>D55/(F11/F3)</f>
        <v>28.940198882867687</v>
      </c>
      <c r="G55" s="37"/>
      <c r="H55" s="269">
        <f t="shared" si="1"/>
        <v>0</v>
      </c>
      <c r="I55" s="61">
        <f t="shared" si="2"/>
        <v>28.940198882867687</v>
      </c>
      <c r="J55" s="39"/>
    </row>
    <row r="56" spans="1:10" ht="15" customHeight="1" x14ac:dyDescent="0.2">
      <c r="A56" s="616"/>
      <c r="B56" s="3" t="str">
        <f>Rydberg!B61</f>
        <v>Sea depth at standard atmosphere</v>
      </c>
      <c r="C56" s="3" t="str">
        <f>Rydberg!C61</f>
        <v>m</v>
      </c>
      <c r="D56" s="21">
        <f>D57/D55</f>
        <v>10.090394374791382</v>
      </c>
      <c r="E56" s="8">
        <v>6</v>
      </c>
      <c r="F56" s="21">
        <f>D56/F$3</f>
        <v>38.955940622914476</v>
      </c>
      <c r="G56" s="37"/>
      <c r="H56" s="269">
        <f t="shared" si="1"/>
        <v>0</v>
      </c>
      <c r="I56" s="61">
        <f t="shared" si="2"/>
        <v>38.955940622914476</v>
      </c>
      <c r="J56" s="39"/>
    </row>
    <row r="57" spans="1:10" ht="15" customHeight="1" x14ac:dyDescent="0.2">
      <c r="A57" s="616"/>
      <c r="B57" s="3" t="str">
        <f>Rydberg!B62</f>
        <v>Standard atmosphere</v>
      </c>
      <c r="C57" s="3" t="str">
        <f>Rydberg!C62</f>
        <v>P</v>
      </c>
      <c r="D57" s="21">
        <f>Rydberg!D62</f>
        <v>101325</v>
      </c>
      <c r="E57" s="8">
        <v>6</v>
      </c>
      <c r="F57" s="21">
        <f>D57/F$11</f>
        <v>1127.3926692963294</v>
      </c>
      <c r="G57" s="37"/>
      <c r="H57" s="269">
        <f t="shared" si="1"/>
        <v>3</v>
      </c>
      <c r="I57" s="61">
        <f t="shared" si="2"/>
        <v>1.1273926692963294</v>
      </c>
      <c r="J57" s="39"/>
    </row>
    <row r="58" spans="1:10" ht="15" customHeight="1" x14ac:dyDescent="0.2">
      <c r="A58" s="616"/>
      <c r="B58" s="272" t="str">
        <f>Rydberg!B63</f>
        <v>Standard gravitational acceleration</v>
      </c>
      <c r="C58" s="272" t="str">
        <f>Rydberg!C63</f>
        <v>m/s^2</v>
      </c>
      <c r="D58" s="37">
        <f>Rydberg!D63</f>
        <v>9.8066499999999994</v>
      </c>
      <c r="E58" s="38">
        <v>7</v>
      </c>
      <c r="F58" s="37">
        <f>D58/(F$3/F$4/F$4)</f>
        <v>28.262704327271635</v>
      </c>
      <c r="G58" s="37"/>
      <c r="H58" s="269">
        <f t="shared" si="1"/>
        <v>0</v>
      </c>
      <c r="I58" s="273">
        <f t="shared" si="2"/>
        <v>28.262704327271635</v>
      </c>
      <c r="J58" s="274"/>
    </row>
    <row r="59" spans="1:10" ht="15" customHeight="1" x14ac:dyDescent="0.2">
      <c r="A59" s="616"/>
      <c r="B59" s="3" t="str">
        <f>Rydberg!B64</f>
        <v>Gravitational radius of the Earth</v>
      </c>
      <c r="C59" s="3" t="str">
        <f>Rydberg!C64</f>
        <v>m</v>
      </c>
      <c r="D59" s="21">
        <f>Rydberg!D64</f>
        <v>4.4350280391176706E-3</v>
      </c>
      <c r="E59" s="8">
        <v>10</v>
      </c>
      <c r="F59" s="21">
        <f>D59/F$3</f>
        <v>1.712229299822593E-2</v>
      </c>
      <c r="G59" s="37"/>
      <c r="H59" s="269">
        <f t="shared" si="1"/>
        <v>-3</v>
      </c>
      <c r="I59" s="61">
        <f t="shared" si="2"/>
        <v>17.12229299822593</v>
      </c>
      <c r="J59" s="39"/>
    </row>
    <row r="60" spans="1:10" ht="15" customHeight="1" x14ac:dyDescent="0.2">
      <c r="A60" s="616"/>
      <c r="B60" s="3" t="str">
        <f>Rydberg!B65</f>
        <v>Equatorial radius of the Earth</v>
      </c>
      <c r="C60" s="3" t="str">
        <f>Rydberg!C65</f>
        <v>m</v>
      </c>
      <c r="D60" s="21">
        <f>Rydberg!D65</f>
        <v>6378137</v>
      </c>
      <c r="E60" s="8">
        <v>7</v>
      </c>
      <c r="F60" s="21">
        <f>D60/F$3</f>
        <v>24624045.109431203</v>
      </c>
      <c r="G60" s="37"/>
      <c r="H60" s="269">
        <f t="shared" si="1"/>
        <v>6</v>
      </c>
      <c r="I60" s="61">
        <f t="shared" si="2"/>
        <v>24.624045109431204</v>
      </c>
      <c r="J60" s="39"/>
    </row>
    <row r="61" spans="1:10" ht="15" customHeight="1" x14ac:dyDescent="0.2">
      <c r="A61" s="616"/>
      <c r="B61" s="3" t="str">
        <f>Rydberg!B66</f>
        <v>Meridian length of the Earth / 4</v>
      </c>
      <c r="C61" s="3" t="str">
        <f>Rydberg!C66</f>
        <v>m</v>
      </c>
      <c r="D61" s="21">
        <f>Rydberg!D66</f>
        <v>10001965.75</v>
      </c>
      <c r="E61" s="8">
        <v>7</v>
      </c>
      <c r="F61" s="21">
        <f>D61/F$3</f>
        <v>38614544.62501917</v>
      </c>
      <c r="G61" s="37"/>
      <c r="H61" s="269">
        <f t="shared" si="1"/>
        <v>6</v>
      </c>
      <c r="I61" s="61">
        <f t="shared" si="2"/>
        <v>38.614544625019171</v>
      </c>
      <c r="J61" s="39"/>
    </row>
    <row r="62" spans="1:10" ht="15" customHeight="1" x14ac:dyDescent="0.2">
      <c r="A62" s="616"/>
      <c r="B62" s="3" t="str">
        <f>Rydberg!B67</f>
        <v>Gravitational radius of the Sun</v>
      </c>
      <c r="C62" s="3" t="str">
        <f>Rydberg!C67</f>
        <v>m</v>
      </c>
      <c r="D62" s="21">
        <f>Rydberg!D67</f>
        <v>1476.6250385063113</v>
      </c>
      <c r="E62" s="8">
        <v>8</v>
      </c>
      <c r="F62" s="21">
        <f>D62/F$3</f>
        <v>5700.7997096793306</v>
      </c>
      <c r="G62" s="37"/>
      <c r="H62" s="269">
        <f t="shared" si="1"/>
        <v>3</v>
      </c>
      <c r="I62" s="61">
        <f t="shared" si="2"/>
        <v>5.7007997096793304</v>
      </c>
      <c r="J62" s="39"/>
    </row>
    <row r="63" spans="1:10" ht="15" customHeight="1" x14ac:dyDescent="0.2">
      <c r="A63" s="616"/>
      <c r="B63" s="3" t="str">
        <f>Rydberg!B68</f>
        <v>Astronomical unit</v>
      </c>
      <c r="C63" s="3" t="str">
        <f>Rydberg!C68</f>
        <v>m</v>
      </c>
      <c r="D63" s="21">
        <f>Rydberg!D68</f>
        <v>149597870000</v>
      </c>
      <c r="E63" s="8">
        <v>9</v>
      </c>
      <c r="F63" s="21">
        <f>D63/F$3</f>
        <v>577551830441.21265</v>
      </c>
      <c r="G63" s="37"/>
      <c r="H63" s="269">
        <f t="shared" si="1"/>
        <v>9</v>
      </c>
      <c r="I63" s="61">
        <f t="shared" si="2"/>
        <v>577.5518304412127</v>
      </c>
      <c r="J63" s="39"/>
    </row>
    <row r="64" spans="1:10" ht="15" customHeight="1" thickBot="1" x14ac:dyDescent="0.25">
      <c r="A64" s="617"/>
      <c r="B64" s="89" t="str">
        <f>Rydberg!B69</f>
        <v>Astronomical unit / c0</v>
      </c>
      <c r="C64" s="89" t="str">
        <f>Rydberg!C69</f>
        <v>s</v>
      </c>
      <c r="D64" s="32">
        <f>Rydberg!D69</f>
        <v>499.00478150120773</v>
      </c>
      <c r="E64" s="33">
        <v>9</v>
      </c>
      <c r="F64" s="32">
        <f>D64/F$4</f>
        <v>577.5518304412127</v>
      </c>
      <c r="G64" s="47"/>
      <c r="H64" s="271">
        <f t="shared" si="1"/>
        <v>0</v>
      </c>
      <c r="I64" s="63">
        <f t="shared" si="2"/>
        <v>577.5518304412127</v>
      </c>
      <c r="J64" s="49"/>
    </row>
  </sheetData>
  <mergeCells count="3">
    <mergeCell ref="A1:A26"/>
    <mergeCell ref="A27:A64"/>
    <mergeCell ref="H27:I27"/>
  </mergeCells>
  <phoneticPr fontId="1"/>
  <printOptions horizontalCentered="1"/>
  <pageMargins left="0.70866141732283472" right="0.70866141732283472" top="0.74803149606299213" bottom="0.74803149606299213" header="0.31496062992125984" footer="0.31496062992125984"/>
  <pageSetup paperSize="9" scale="8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K122"/>
  <sheetViews>
    <sheetView topLeftCell="A36" zoomScaleNormal="100" workbookViewId="0">
      <selection activeCell="D48" sqref="D48"/>
    </sheetView>
  </sheetViews>
  <sheetFormatPr defaultColWidth="9" defaultRowHeight="11.5" x14ac:dyDescent="0.2"/>
  <cols>
    <col min="1" max="1" width="2.7265625" style="14" customWidth="1"/>
    <col min="2" max="2" width="27.6328125" style="14" customWidth="1"/>
    <col min="3" max="3" width="8.6328125" style="14" customWidth="1"/>
    <col min="4" max="4" width="14.1796875" style="14" customWidth="1"/>
    <col min="5" max="5" width="3.453125" style="14" customWidth="1"/>
    <col min="6" max="6" width="13.81640625" style="14" customWidth="1"/>
    <col min="7" max="7" width="13.7265625" style="14" customWidth="1"/>
    <col min="8" max="8" width="7" style="14" customWidth="1"/>
    <col min="9" max="9" width="2.7265625" style="288" customWidth="1"/>
    <col min="10" max="10" width="3.6328125" style="14" customWidth="1"/>
    <col min="11" max="11" width="9.1796875" style="14" customWidth="1"/>
    <col min="12" max="12" width="15.63281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80" t="s">
        <v>26</v>
      </c>
      <c r="B1" s="17" t="s">
        <v>42</v>
      </c>
      <c r="C1" s="18" t="s">
        <v>95</v>
      </c>
      <c r="D1" s="17" t="s">
        <v>43</v>
      </c>
      <c r="E1" s="18" t="s">
        <v>44</v>
      </c>
      <c r="F1" s="17" t="s">
        <v>55</v>
      </c>
      <c r="G1" s="17" t="s">
        <v>105</v>
      </c>
      <c r="H1" s="18" t="s">
        <v>1390</v>
      </c>
      <c r="I1" s="293" t="s">
        <v>724</v>
      </c>
      <c r="J1" s="19"/>
      <c r="K1" s="56" t="s">
        <v>46</v>
      </c>
      <c r="L1" s="20"/>
    </row>
    <row r="2" spans="1:37" ht="13.5" customHeight="1" x14ac:dyDescent="0.2">
      <c r="A2" s="581"/>
      <c r="B2" s="2" t="s">
        <v>31</v>
      </c>
      <c r="C2" s="2" t="s">
        <v>56</v>
      </c>
      <c r="D2" s="21"/>
      <c r="E2" s="8"/>
      <c r="F2" s="8"/>
      <c r="G2" s="8"/>
      <c r="H2" s="8"/>
      <c r="I2" s="278"/>
      <c r="J2" s="8"/>
      <c r="K2" s="57"/>
      <c r="L2" s="118" t="s">
        <v>56</v>
      </c>
      <c r="M2" s="23"/>
      <c r="N2" s="24"/>
      <c r="O2" s="24"/>
      <c r="P2" s="24"/>
      <c r="Q2" s="24"/>
      <c r="R2" s="24"/>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
        <v>17</v>
      </c>
      <c r="C3" s="2" t="s">
        <v>57</v>
      </c>
      <c r="D3" s="21">
        <f>1/D$34</f>
        <v>9.1126705058263646E-8</v>
      </c>
      <c r="E3" s="8">
        <v>6</v>
      </c>
      <c r="F3" s="21">
        <f t="shared" ref="F3:F15" si="0">D3*POWER(12,E3)</f>
        <v>0.2721028832766943</v>
      </c>
      <c r="G3" s="21"/>
      <c r="H3" s="26"/>
      <c r="I3" s="279"/>
      <c r="J3" s="8">
        <v>-3</v>
      </c>
      <c r="K3" s="58">
        <f t="shared" ref="K3:K30" si="1">F3/POWER(10,J3)</f>
        <v>272.10288327669429</v>
      </c>
      <c r="L3" s="118" t="s">
        <v>226</v>
      </c>
      <c r="M3" s="23"/>
      <c r="N3" s="82">
        <f t="shared" ref="N3:N30" si="2">-LOG(F3)/(LOG(12)-LOG(10))</f>
        <v>7.1388982177997722</v>
      </c>
      <c r="O3" s="24"/>
      <c r="P3" s="83">
        <f t="shared" ref="P3:P30" si="3">POWER(12,N3)*F3/POWER(10,N3)</f>
        <v>0.99999999999999956</v>
      </c>
      <c r="Q3" s="24"/>
      <c r="R3" s="24"/>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
        <v>15</v>
      </c>
      <c r="C4" s="2" t="s">
        <v>56</v>
      </c>
      <c r="D4" s="21">
        <f>D$3/D$35</f>
        <v>3.0396596921148577E-16</v>
      </c>
      <c r="E4" s="8">
        <v>14</v>
      </c>
      <c r="F4" s="21">
        <f t="shared" si="0"/>
        <v>0.39026752046511809</v>
      </c>
      <c r="G4" s="21"/>
      <c r="H4" s="253"/>
      <c r="I4" s="280"/>
      <c r="J4" s="8">
        <v>-3</v>
      </c>
      <c r="K4" s="58">
        <f t="shared" si="1"/>
        <v>390.26752046511808</v>
      </c>
      <c r="L4" s="118" t="s">
        <v>227</v>
      </c>
      <c r="M4" s="23"/>
      <c r="N4" s="82">
        <f t="shared" si="2"/>
        <v>5.160787575806796</v>
      </c>
      <c r="O4" s="24"/>
      <c r="P4" s="83">
        <f t="shared" si="3"/>
        <v>0.99999999999999778</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
        <v>18</v>
      </c>
      <c r="C5" s="2" t="s">
        <v>58</v>
      </c>
      <c r="D5" s="21">
        <f>D$36/D$4</f>
        <v>3.4693746157894181E-19</v>
      </c>
      <c r="E5" s="8">
        <v>16</v>
      </c>
      <c r="F5" s="21">
        <f t="shared" si="0"/>
        <v>6.4143275466947827E-2</v>
      </c>
      <c r="G5" s="21"/>
      <c r="H5" s="21"/>
      <c r="I5" s="278"/>
      <c r="J5" s="8">
        <v>-3</v>
      </c>
      <c r="K5" s="58">
        <f t="shared" si="1"/>
        <v>64.143275466947827</v>
      </c>
      <c r="L5" s="118" t="s">
        <v>228</v>
      </c>
      <c r="M5" s="23"/>
      <c r="N5" s="82">
        <f t="shared" si="2"/>
        <v>15.064790290618603</v>
      </c>
      <c r="O5" s="24"/>
      <c r="P5" s="83">
        <f t="shared" si="3"/>
        <v>0.99999999999999445</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
        <v>19</v>
      </c>
      <c r="C6" s="2" t="s">
        <v>59</v>
      </c>
      <c r="D6" s="21">
        <f>D$5/D$37</f>
        <v>25128.57805126008</v>
      </c>
      <c r="E6" s="132">
        <v>-8</v>
      </c>
      <c r="F6" s="135">
        <f t="shared" si="0"/>
        <v>5.8441041293209098E-5</v>
      </c>
      <c r="G6" s="21"/>
      <c r="H6" s="21"/>
      <c r="I6" s="278"/>
      <c r="J6" s="132">
        <v>-6</v>
      </c>
      <c r="K6" s="136">
        <f t="shared" si="1"/>
        <v>58.441041293209103</v>
      </c>
      <c r="L6" s="133" t="s">
        <v>263</v>
      </c>
      <c r="M6" s="23"/>
      <c r="N6" s="82">
        <f t="shared" si="2"/>
        <v>53.463190664269071</v>
      </c>
      <c r="O6" s="24"/>
      <c r="P6" s="83">
        <f t="shared" si="3"/>
        <v>0.99999999999998623</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
        <v>262</v>
      </c>
      <c r="C7" s="2" t="s">
        <v>60</v>
      </c>
      <c r="D7" s="21">
        <f>1/D$33</f>
        <v>1.6605390671738466E-24</v>
      </c>
      <c r="E7" s="8">
        <v>24</v>
      </c>
      <c r="F7" s="21">
        <f t="shared" si="0"/>
        <v>132.00762049838045</v>
      </c>
      <c r="G7" s="21"/>
      <c r="H7" s="21"/>
      <c r="I7" s="278"/>
      <c r="J7" s="8">
        <v>0</v>
      </c>
      <c r="K7" s="58">
        <f t="shared" si="1"/>
        <v>132.00762049838045</v>
      </c>
      <c r="L7" s="118" t="s">
        <v>60</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
        <v>20</v>
      </c>
      <c r="C8" s="2" t="s">
        <v>215</v>
      </c>
      <c r="D8" s="21">
        <f>D$5/(D$35*D$35)</f>
        <v>3.860199860729097E-36</v>
      </c>
      <c r="E8" s="8">
        <f>E5+2*(E4-E3)</f>
        <v>32</v>
      </c>
      <c r="F8" s="21">
        <f t="shared" si="0"/>
        <v>0.13195008193971713</v>
      </c>
      <c r="G8" s="21"/>
      <c r="H8" s="21"/>
      <c r="I8" s="278"/>
      <c r="J8" s="8">
        <v>-3</v>
      </c>
      <c r="K8" s="58">
        <f t="shared" si="1"/>
        <v>131.95008193971714</v>
      </c>
      <c r="L8" s="118" t="s">
        <v>215</v>
      </c>
      <c r="M8" s="23"/>
      <c r="N8" s="82">
        <f t="shared" si="2"/>
        <v>11.108569006632649</v>
      </c>
      <c r="O8" s="24"/>
      <c r="P8" s="83">
        <f t="shared" si="3"/>
        <v>0.99999999999999467</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
        <v>1070</v>
      </c>
      <c r="C9" s="2" t="s">
        <v>62</v>
      </c>
      <c r="D9" s="21">
        <f>D$5/D$4</f>
        <v>1.1413694186850187E-3</v>
      </c>
      <c r="E9" s="8">
        <f>E5-E4</f>
        <v>2</v>
      </c>
      <c r="F9" s="21">
        <f t="shared" si="0"/>
        <v>0.16435719629064269</v>
      </c>
      <c r="G9" s="21"/>
      <c r="H9" s="21"/>
      <c r="I9" s="278"/>
      <c r="J9" s="8">
        <v>-3</v>
      </c>
      <c r="K9" s="58">
        <f t="shared" si="1"/>
        <v>164.35719629064269</v>
      </c>
      <c r="L9" s="118" t="s">
        <v>229</v>
      </c>
      <c r="M9" s="23"/>
      <c r="N9" s="82">
        <f t="shared" si="2"/>
        <v>9.9040027148118064</v>
      </c>
      <c r="O9" s="24"/>
      <c r="P9" s="83">
        <f t="shared" si="3"/>
        <v>0.99999999999999678</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
        <v>22</v>
      </c>
      <c r="C10" s="2" t="s">
        <v>63</v>
      </c>
      <c r="D10" s="21">
        <f>D$5/D$3</f>
        <v>3.8071985743050901E-12</v>
      </c>
      <c r="E10" s="8">
        <f>E5-E3</f>
        <v>10</v>
      </c>
      <c r="F10" s="21">
        <f t="shared" si="0"/>
        <v>0.2357317007983418</v>
      </c>
      <c r="G10" s="21"/>
      <c r="H10" s="21"/>
      <c r="I10" s="278"/>
      <c r="J10" s="8">
        <v>-3</v>
      </c>
      <c r="K10" s="58">
        <f t="shared" si="1"/>
        <v>235.73170079834179</v>
      </c>
      <c r="L10" s="118" t="s">
        <v>230</v>
      </c>
      <c r="M10" s="23"/>
      <c r="N10" s="82">
        <f t="shared" si="2"/>
        <v>7.9258920728188302</v>
      </c>
      <c r="O10" s="24"/>
      <c r="P10" s="83">
        <f t="shared" si="3"/>
        <v>0.99999999999999845</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
        <v>23</v>
      </c>
      <c r="C11" s="2" t="s">
        <v>216</v>
      </c>
      <c r="D11" s="21">
        <f>D$5/POWER(D$3,3)</f>
        <v>458.47345357633372</v>
      </c>
      <c r="E11" s="8">
        <f>E5-3*E3</f>
        <v>-2</v>
      </c>
      <c r="F11" s="21">
        <f t="shared" si="0"/>
        <v>3.1838434276134286</v>
      </c>
      <c r="G11" s="21"/>
      <c r="H11" s="21"/>
      <c r="I11" s="278"/>
      <c r="J11" s="8">
        <v>0</v>
      </c>
      <c r="K11" s="58">
        <f t="shared" si="1"/>
        <v>3.1838434276134286</v>
      </c>
      <c r="L11" s="118" t="s">
        <v>64</v>
      </c>
      <c r="M11" s="23"/>
      <c r="N11" s="82">
        <f t="shared" si="2"/>
        <v>-6.3519043627807141</v>
      </c>
      <c r="O11" s="24"/>
      <c r="P11" s="83">
        <f t="shared" si="3"/>
        <v>1.0000000000000011</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
        <v>24</v>
      </c>
      <c r="C12" s="2" t="s">
        <v>65</v>
      </c>
      <c r="D12" s="21">
        <f>SQRT(D$36/29.9792458)</f>
        <v>1.8755460382902114E-18</v>
      </c>
      <c r="E12" s="8">
        <f>(E5+E4)/2</f>
        <v>15</v>
      </c>
      <c r="F12" s="21">
        <f t="shared" si="0"/>
        <v>2.8896578276067276E-2</v>
      </c>
      <c r="G12" s="21"/>
      <c r="H12" s="21"/>
      <c r="I12" s="278"/>
      <c r="J12" s="8">
        <v>-3</v>
      </c>
      <c r="K12" s="58">
        <f t="shared" si="1"/>
        <v>28.896578276067274</v>
      </c>
      <c r="L12" s="118" t="s">
        <v>231</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6" t="s">
        <v>682</v>
      </c>
      <c r="C13" s="6" t="s">
        <v>66</v>
      </c>
      <c r="D13" s="29">
        <f>D$12/D$4</f>
        <v>6.1702500551477565E-3</v>
      </c>
      <c r="E13" s="30">
        <f>E12-E4</f>
        <v>1</v>
      </c>
      <c r="F13" s="29">
        <f t="shared" si="0"/>
        <v>7.4043000661773078E-2</v>
      </c>
      <c r="G13" s="29"/>
      <c r="H13" s="21"/>
      <c r="I13" s="278"/>
      <c r="J13" s="30">
        <v>-3</v>
      </c>
      <c r="K13" s="59">
        <f t="shared" si="1"/>
        <v>74.043000661773078</v>
      </c>
      <c r="L13" s="119" t="s">
        <v>232</v>
      </c>
      <c r="M13" s="23"/>
      <c r="N13" s="82">
        <f t="shared" si="2"/>
        <v>14.277572604666076</v>
      </c>
      <c r="O13" s="24"/>
      <c r="P13" s="83">
        <f t="shared" si="3"/>
        <v>0.99999999999999734</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
        <v>332</v>
      </c>
      <c r="C14" s="2" t="s">
        <v>333</v>
      </c>
      <c r="D14" s="21">
        <f>D13/D3</f>
        <v>67710.667813597407</v>
      </c>
      <c r="E14" s="8">
        <f>E13-E3</f>
        <v>-5</v>
      </c>
      <c r="F14" s="21">
        <f t="shared" si="0"/>
        <v>0.27211398780541657</v>
      </c>
      <c r="G14" s="21"/>
      <c r="H14" s="21"/>
      <c r="I14" s="278"/>
      <c r="J14" s="8">
        <v>-3</v>
      </c>
      <c r="K14" s="58">
        <f t="shared" si="1"/>
        <v>272.11398780541657</v>
      </c>
      <c r="L14" s="118" t="s">
        <v>336</v>
      </c>
      <c r="M14" s="23"/>
      <c r="N14" s="82">
        <f t="shared" si="2"/>
        <v>7.1386743868663025</v>
      </c>
      <c r="O14" s="24"/>
      <c r="P14" s="83">
        <f t="shared" si="3"/>
        <v>0.99999999999999778</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
        <v>334</v>
      </c>
      <c r="C15" s="2" t="s">
        <v>335</v>
      </c>
      <c r="D15" s="21">
        <f>D12/D3/D3</f>
        <v>2.2585847644505258E-4</v>
      </c>
      <c r="E15" s="8">
        <f>E12-2*E3</f>
        <v>3</v>
      </c>
      <c r="F15" s="21">
        <f t="shared" si="0"/>
        <v>0.39028344729705083</v>
      </c>
      <c r="G15" s="21"/>
      <c r="H15" s="21"/>
      <c r="I15" s="278"/>
      <c r="J15" s="8">
        <v>-3</v>
      </c>
      <c r="K15" s="58">
        <f t="shared" si="1"/>
        <v>390.28344729705083</v>
      </c>
      <c r="L15" s="118" t="s">
        <v>337</v>
      </c>
      <c r="M15" s="23"/>
      <c r="N15" s="82">
        <f t="shared" si="2"/>
        <v>5.1605637448733273</v>
      </c>
      <c r="O15" s="24"/>
      <c r="P15" s="83">
        <f t="shared" si="3"/>
        <v>0.99999999999999778</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6" t="s">
        <v>96</v>
      </c>
      <c r="C16" s="6" t="s">
        <v>214</v>
      </c>
      <c r="D16" s="29">
        <f>D32*D36/ (D41*D41)</f>
        <v>29.979245795870352</v>
      </c>
      <c r="E16" s="30">
        <v>0</v>
      </c>
      <c r="F16" s="29">
        <f t="shared" ref="F16:F22" si="4">D16*POWER(12,E16)</f>
        <v>29.979245795870352</v>
      </c>
      <c r="G16" s="29"/>
      <c r="H16" s="21"/>
      <c r="I16" s="278"/>
      <c r="J16" s="30">
        <v>0</v>
      </c>
      <c r="K16" s="59">
        <f t="shared" si="1"/>
        <v>29.979245795870352</v>
      </c>
      <c r="L16" s="119" t="s">
        <v>214</v>
      </c>
      <c r="M16" s="111"/>
      <c r="N16" s="112">
        <f t="shared" si="2"/>
        <v>-18.651142493764809</v>
      </c>
      <c r="O16" s="113"/>
      <c r="P16" s="114">
        <f t="shared" si="3"/>
        <v>1.0000000000000011</v>
      </c>
      <c r="Q16" s="113"/>
      <c r="R16" s="113"/>
      <c r="S16" s="113"/>
      <c r="T16" s="113"/>
      <c r="U16" s="113"/>
      <c r="V16" s="113"/>
      <c r="W16" s="113"/>
      <c r="X16" s="113"/>
      <c r="Y16" s="113"/>
      <c r="Z16" s="113"/>
      <c r="AA16" s="113"/>
      <c r="AB16" s="113"/>
      <c r="AC16" s="113"/>
      <c r="AD16" s="113"/>
      <c r="AE16" s="113"/>
      <c r="AF16" s="113"/>
      <c r="AG16" s="113"/>
      <c r="AH16" s="113"/>
      <c r="AI16" s="113"/>
      <c r="AJ16" s="113"/>
      <c r="AK16" s="113"/>
    </row>
    <row r="17" spans="1:37" ht="14.25" customHeight="1" x14ac:dyDescent="0.2">
      <c r="A17" s="581"/>
      <c r="B17" s="2" t="s">
        <v>687</v>
      </c>
      <c r="C17" s="6" t="s">
        <v>1387</v>
      </c>
      <c r="D17" s="21">
        <f>D13*D$16</f>
        <v>0.18497944302525718</v>
      </c>
      <c r="E17" s="8">
        <f>E13</f>
        <v>1</v>
      </c>
      <c r="F17" s="21">
        <f t="shared" ref="F17" si="5">D17*POWER(12,E17)</f>
        <v>2.2197533163030863</v>
      </c>
      <c r="G17" s="21"/>
      <c r="H17" s="21"/>
      <c r="I17" s="278"/>
      <c r="J17" s="8">
        <v>0</v>
      </c>
      <c r="K17" s="58">
        <f t="shared" si="1"/>
        <v>2.2197533163030863</v>
      </c>
      <c r="L17" s="118" t="s">
        <v>78</v>
      </c>
      <c r="M17" s="115"/>
      <c r="N17" s="116">
        <f t="shared" si="2"/>
        <v>-4.3735698890987331</v>
      </c>
      <c r="O17" s="76"/>
      <c r="P17" s="117">
        <f t="shared" si="3"/>
        <v>1.000000000000002</v>
      </c>
      <c r="Q17" s="76"/>
      <c r="R17" s="76"/>
      <c r="S17" s="76"/>
      <c r="T17" s="76"/>
      <c r="U17" s="76"/>
      <c r="V17" s="76"/>
      <c r="W17" s="76"/>
      <c r="X17" s="76"/>
      <c r="Y17" s="76"/>
      <c r="Z17" s="76"/>
      <c r="AA17" s="76"/>
      <c r="AB17" s="76"/>
      <c r="AC17" s="76"/>
      <c r="AD17" s="76"/>
      <c r="AE17" s="76"/>
      <c r="AF17" s="76"/>
      <c r="AG17" s="76"/>
      <c r="AH17" s="76"/>
      <c r="AI17" s="76"/>
      <c r="AJ17" s="76"/>
      <c r="AK17" s="76"/>
    </row>
    <row r="18" spans="1:37" ht="14.25" customHeight="1" x14ac:dyDescent="0.2">
      <c r="A18" s="581"/>
      <c r="B18" s="2" t="s">
        <v>688</v>
      </c>
      <c r="C18" s="2" t="s">
        <v>218</v>
      </c>
      <c r="D18" s="21">
        <f>D4/D16</f>
        <v>1.0139213350502538E-17</v>
      </c>
      <c r="E18" s="8">
        <f>E4</f>
        <v>14</v>
      </c>
      <c r="F18" s="21">
        <f t="shared" si="4"/>
        <v>1.3017923236710562E-2</v>
      </c>
      <c r="G18" s="21"/>
      <c r="H18" s="21"/>
      <c r="I18" s="278"/>
      <c r="J18" s="8">
        <v>-3</v>
      </c>
      <c r="K18" s="58">
        <f t="shared" si="1"/>
        <v>13.017923236710562</v>
      </c>
      <c r="L18" s="118" t="s">
        <v>233</v>
      </c>
      <c r="M18" s="115"/>
      <c r="N18" s="116">
        <f t="shared" si="2"/>
        <v>23.811930069571606</v>
      </c>
      <c r="O18" s="76"/>
      <c r="P18" s="117">
        <f t="shared" si="3"/>
        <v>0.99999999999999301</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
        <v>219</v>
      </c>
      <c r="C19" s="2" t="s">
        <v>1388</v>
      </c>
      <c r="D19" s="21">
        <f>D12*D16</f>
        <v>5.6227455683373112E-17</v>
      </c>
      <c r="E19" s="8">
        <f>E12</f>
        <v>15</v>
      </c>
      <c r="F19" s="21">
        <f t="shared" si="4"/>
        <v>0.8662976227978284</v>
      </c>
      <c r="G19" s="21"/>
      <c r="H19" s="21"/>
      <c r="I19" s="278"/>
      <c r="J19" s="8">
        <v>0</v>
      </c>
      <c r="K19" s="58">
        <f t="shared" si="1"/>
        <v>0.8662976227978284</v>
      </c>
      <c r="L19" s="118" t="s">
        <v>220</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
        <v>221</v>
      </c>
      <c r="C20" s="2" t="s">
        <v>1389</v>
      </c>
      <c r="D20" s="21">
        <f>D19/D3/D3</f>
        <v>6.7710667804270243E-3</v>
      </c>
      <c r="E20" s="8">
        <f>E15</f>
        <v>3</v>
      </c>
      <c r="F20" s="21">
        <f t="shared" si="4"/>
        <v>11.700403396577897</v>
      </c>
      <c r="G20" s="21"/>
      <c r="H20" s="21"/>
      <c r="I20" s="278"/>
      <c r="J20" s="8">
        <v>0</v>
      </c>
      <c r="K20" s="58">
        <f t="shared" si="1"/>
        <v>11.700403396577897</v>
      </c>
      <c r="L20" s="118" t="s">
        <v>222</v>
      </c>
      <c r="M20" s="115"/>
      <c r="N20" s="116">
        <f t="shared" si="2"/>
        <v>-13.490578748891481</v>
      </c>
      <c r="O20" s="76"/>
      <c r="P20" s="117">
        <f t="shared" si="3"/>
        <v>1.0000000000000075</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
        <v>223</v>
      </c>
      <c r="C21" s="6" t="s">
        <v>224</v>
      </c>
      <c r="D21" s="29">
        <f>D4*D$16</f>
        <v>9.1126705045710913E-15</v>
      </c>
      <c r="E21" s="30">
        <f>E4</f>
        <v>14</v>
      </c>
      <c r="F21" s="29">
        <f t="shared" si="4"/>
        <v>11.699925922168637</v>
      </c>
      <c r="G21" s="29"/>
      <c r="H21" s="29"/>
      <c r="I21" s="281"/>
      <c r="J21" s="30">
        <v>0</v>
      </c>
      <c r="K21" s="59">
        <f t="shared" si="1"/>
        <v>11.699925922168637</v>
      </c>
      <c r="L21" s="31" t="s">
        <v>225</v>
      </c>
      <c r="M21" s="115"/>
      <c r="N21" s="116">
        <f t="shared" si="2"/>
        <v>-13.490354917958012</v>
      </c>
      <c r="O21" s="76"/>
      <c r="P21" s="117">
        <f t="shared" si="3"/>
        <v>1.0000000000000024</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
        <v>733</v>
      </c>
      <c r="C22" s="2" t="s">
        <v>673</v>
      </c>
      <c r="D22" s="29">
        <f>1/D4</f>
        <v>3289841960249982</v>
      </c>
      <c r="E22" s="30">
        <f>-E4</f>
        <v>-14</v>
      </c>
      <c r="F22" s="29">
        <f t="shared" si="4"/>
        <v>2.5623449238312404</v>
      </c>
      <c r="G22" s="21"/>
      <c r="H22" s="21"/>
      <c r="I22" s="278"/>
      <c r="J22" s="8">
        <v>0</v>
      </c>
      <c r="K22" s="58">
        <f t="shared" si="1"/>
        <v>2.5623449238312404</v>
      </c>
      <c r="L22" s="118" t="s">
        <v>674</v>
      </c>
      <c r="M22" s="23"/>
      <c r="N22" s="82">
        <f t="shared" si="2"/>
        <v>-5.1607875758067969</v>
      </c>
      <c r="O22" s="24"/>
      <c r="P22" s="83">
        <f t="shared" si="3"/>
        <v>1.000000000000002</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
        <v>726</v>
      </c>
      <c r="C23" s="2" t="s">
        <v>1524</v>
      </c>
      <c r="D23" s="21">
        <f>D9*683/R23</f>
        <v>0.80398052422200439</v>
      </c>
      <c r="E23" s="8">
        <f>E9</f>
        <v>2</v>
      </c>
      <c r="F23" s="21">
        <f t="shared" ref="F23" si="6">D23*POWER(12,E23)</f>
        <v>115.77319548796864</v>
      </c>
      <c r="G23" s="21"/>
      <c r="H23" s="21"/>
      <c r="I23" s="278"/>
      <c r="J23" s="8">
        <v>0</v>
      </c>
      <c r="K23" s="58">
        <f t="shared" si="1"/>
        <v>115.77319548796864</v>
      </c>
      <c r="L23" s="118" t="s">
        <v>659</v>
      </c>
      <c r="M23" s="23"/>
      <c r="N23" s="82">
        <f t="shared" si="2"/>
        <v>-26.061828065920238</v>
      </c>
      <c r="O23" s="24"/>
      <c r="P23" s="83">
        <f t="shared" si="3"/>
        <v>0.99999999999999922</v>
      </c>
      <c r="Q23" s="24"/>
      <c r="R23" s="258">
        <f>1/K58</f>
        <v>0.96961964808317658</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
        <v>727</v>
      </c>
      <c r="C24" s="2" t="s">
        <v>1525</v>
      </c>
      <c r="D24" s="21">
        <f>D23</f>
        <v>0.80398052422200439</v>
      </c>
      <c r="E24" s="8">
        <f>E9</f>
        <v>2</v>
      </c>
      <c r="F24" s="21">
        <f t="shared" ref="F24" si="7">D24*POWER(12,E24)</f>
        <v>115.77319548796864</v>
      </c>
      <c r="G24" s="21"/>
      <c r="H24" s="21"/>
      <c r="I24" s="278"/>
      <c r="J24" s="8">
        <v>0</v>
      </c>
      <c r="K24" s="58">
        <f t="shared" si="1"/>
        <v>115.77319548796864</v>
      </c>
      <c r="L24" s="118" t="s">
        <v>662</v>
      </c>
      <c r="M24" s="23"/>
      <c r="N24" s="82">
        <f t="shared" si="2"/>
        <v>-26.061828065920238</v>
      </c>
      <c r="O24" s="24"/>
      <c r="P24" s="83">
        <f t="shared" si="3"/>
        <v>0.99999999999999922</v>
      </c>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1"/>
      <c r="B25" s="260"/>
      <c r="C25" s="2" t="s">
        <v>1526</v>
      </c>
      <c r="D25" s="21">
        <f>D23/(4*PI())</f>
        <v>6.3978737289772644E-2</v>
      </c>
      <c r="E25" s="8">
        <f>E9</f>
        <v>2</v>
      </c>
      <c r="F25" s="21">
        <f t="shared" ref="F25" si="8">D25*POWER(12,E25)</f>
        <v>9.212938169727261</v>
      </c>
      <c r="G25" s="21"/>
      <c r="H25" s="21"/>
      <c r="I25" s="278"/>
      <c r="J25" s="8">
        <v>0</v>
      </c>
      <c r="K25" s="58">
        <f t="shared" si="1"/>
        <v>9.212938169727261</v>
      </c>
      <c r="L25" s="118" t="s">
        <v>662</v>
      </c>
      <c r="M25" s="23"/>
      <c r="N25" s="82">
        <f t="shared" si="2"/>
        <v>-12.179628443032795</v>
      </c>
      <c r="O25" s="24"/>
      <c r="P25" s="83">
        <f t="shared" si="3"/>
        <v>1.0000000000000036</v>
      </c>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1"/>
      <c r="B26" s="2" t="s">
        <v>728</v>
      </c>
      <c r="C26" s="2" t="s">
        <v>1527</v>
      </c>
      <c r="D26" s="21">
        <f>D23/D3/D3</f>
        <v>96817573434675.141</v>
      </c>
      <c r="E26" s="8">
        <f>E9-2*E3</f>
        <v>-10</v>
      </c>
      <c r="F26" s="21">
        <f t="shared" ref="F26" si="9">D26*POWER(12,E26)</f>
        <v>1563.657863154765</v>
      </c>
      <c r="G26" s="21"/>
      <c r="H26" s="21"/>
      <c r="I26" s="278"/>
      <c r="J26" s="8">
        <v>3</v>
      </c>
      <c r="K26" s="58">
        <f t="shared" si="1"/>
        <v>1.5636578631547651</v>
      </c>
      <c r="L26" s="118" t="s">
        <v>663</v>
      </c>
      <c r="M26" s="23"/>
      <c r="N26" s="82">
        <f t="shared" si="2"/>
        <v>-40.339624501519786</v>
      </c>
      <c r="O26" s="24"/>
      <c r="P26" s="83">
        <f t="shared" si="3"/>
        <v>1.0000000000000071</v>
      </c>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1"/>
      <c r="B27" s="2" t="s">
        <v>729</v>
      </c>
      <c r="C27" s="2" t="s">
        <v>667</v>
      </c>
      <c r="D27" s="21">
        <f>D7/D4</f>
        <v>5.4629110998228837E-9</v>
      </c>
      <c r="E27" s="8">
        <f>E7-E4</f>
        <v>10</v>
      </c>
      <c r="F27" s="21">
        <f t="shared" ref="F27" si="10">D27*POWER(12,E27)</f>
        <v>338.24905629106593</v>
      </c>
      <c r="G27" s="21"/>
      <c r="H27" s="21"/>
      <c r="I27" s="278"/>
      <c r="J27" s="8">
        <v>0</v>
      </c>
      <c r="K27" s="58">
        <f t="shared" si="1"/>
        <v>338.24905629106593</v>
      </c>
      <c r="L27" s="118" t="s">
        <v>666</v>
      </c>
      <c r="M27" s="23"/>
      <c r="N27" s="82">
        <f t="shared" si="2"/>
        <v>-31.942369182673794</v>
      </c>
      <c r="O27" s="24"/>
      <c r="P27" s="83">
        <f t="shared" si="3"/>
        <v>1.000000000000002</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
        <v>730</v>
      </c>
      <c r="C28" s="2" t="s">
        <v>665</v>
      </c>
      <c r="D28" s="21">
        <f>1/D4</f>
        <v>3289841960249982</v>
      </c>
      <c r="E28" s="8">
        <f>-E4</f>
        <v>-14</v>
      </c>
      <c r="F28" s="21">
        <f t="shared" ref="F28" si="11">D28*POWER(12,E28)</f>
        <v>2.5623449238312404</v>
      </c>
      <c r="G28" s="21"/>
      <c r="H28" s="21"/>
      <c r="I28" s="278"/>
      <c r="J28" s="8">
        <v>0</v>
      </c>
      <c r="K28" s="58">
        <f t="shared" si="1"/>
        <v>2.5623449238312404</v>
      </c>
      <c r="L28" s="118" t="s">
        <v>668</v>
      </c>
      <c r="M28" s="23"/>
      <c r="N28" s="82">
        <f t="shared" si="2"/>
        <v>-5.1607875758067969</v>
      </c>
      <c r="O28" s="24"/>
      <c r="P28" s="83">
        <f t="shared" si="3"/>
        <v>1.000000000000002</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
        <v>731</v>
      </c>
      <c r="C29" s="2" t="s">
        <v>669</v>
      </c>
      <c r="D29" s="21">
        <f>D5/D8</f>
        <v>8.987551787368176E+16</v>
      </c>
      <c r="E29" s="8">
        <f>E5-E8</f>
        <v>-16</v>
      </c>
      <c r="F29" s="21">
        <f t="shared" ref="F29" si="12">D29*POWER(12,E29)</f>
        <v>0.48611773879952869</v>
      </c>
      <c r="G29" s="21"/>
      <c r="H29" s="21"/>
      <c r="I29" s="278"/>
      <c r="J29" s="8">
        <v>0</v>
      </c>
      <c r="K29" s="58">
        <f t="shared" si="1"/>
        <v>0.48611773879952869</v>
      </c>
      <c r="L29" s="118" t="s">
        <v>670</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
        <v>732</v>
      </c>
      <c r="C30" s="4" t="s">
        <v>1528</v>
      </c>
      <c r="D30" s="21">
        <f>D5/D8/R30</f>
        <v>8.987551787368176E+16</v>
      </c>
      <c r="E30" s="33">
        <f>E5-E8</f>
        <v>-16</v>
      </c>
      <c r="F30" s="32">
        <f t="shared" ref="F30" si="13">D30*POWER(12,E30)</f>
        <v>0.48611773879952869</v>
      </c>
      <c r="G30" s="29"/>
      <c r="H30" s="32"/>
      <c r="I30" s="282"/>
      <c r="J30" s="30">
        <v>0</v>
      </c>
      <c r="K30" s="59">
        <f t="shared" si="1"/>
        <v>0.48611773879952869</v>
      </c>
      <c r="L30" s="119" t="s">
        <v>671</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17" t="s">
        <v>42</v>
      </c>
      <c r="C31" s="18" t="s">
        <v>95</v>
      </c>
      <c r="D31" s="17" t="s">
        <v>43</v>
      </c>
      <c r="E31" s="18" t="s">
        <v>54</v>
      </c>
      <c r="F31" s="17" t="s">
        <v>47</v>
      </c>
      <c r="G31" s="17" t="s">
        <v>45</v>
      </c>
      <c r="H31" s="18" t="str">
        <f>Rydberg!H$1</f>
        <v>difference</v>
      </c>
      <c r="I31" s="283"/>
      <c r="J31" s="575" t="s">
        <v>80</v>
      </c>
      <c r="K31" s="576"/>
      <c r="L31" s="20" t="s">
        <v>44</v>
      </c>
      <c r="M31" s="255">
        <v>0</v>
      </c>
      <c r="N31" s="256"/>
      <c r="O31" s="256">
        <f>M31+1</f>
        <v>1</v>
      </c>
      <c r="P31" s="256"/>
      <c r="Q31" s="256">
        <f>O31+1</f>
        <v>2</v>
      </c>
      <c r="R31" s="256"/>
      <c r="S31" s="256">
        <f>Q31+1</f>
        <v>3</v>
      </c>
      <c r="T31" s="256"/>
      <c r="U31" s="256">
        <f>S31+1</f>
        <v>4</v>
      </c>
      <c r="V31" s="256"/>
      <c r="W31" s="256">
        <f>U31+1</f>
        <v>5</v>
      </c>
      <c r="X31" s="256"/>
      <c r="Y31" s="256">
        <f>W31+1</f>
        <v>6</v>
      </c>
      <c r="Z31" s="256"/>
      <c r="AA31" s="256">
        <f>Y31+1</f>
        <v>7</v>
      </c>
      <c r="AB31" s="256"/>
      <c r="AC31" s="256">
        <f>AA31+1</f>
        <v>8</v>
      </c>
      <c r="AD31" s="256"/>
      <c r="AE31" s="256">
        <f>AC31+1</f>
        <v>9</v>
      </c>
      <c r="AF31" s="256"/>
      <c r="AG31" s="256">
        <f>AE31+1</f>
        <v>10</v>
      </c>
      <c r="AH31" s="256"/>
      <c r="AI31" s="256">
        <f>AG31+1</f>
        <v>11</v>
      </c>
      <c r="AJ31" s="256"/>
      <c r="AK31" s="256">
        <f>AI31+1</f>
        <v>12</v>
      </c>
    </row>
    <row r="32" spans="1:37" ht="14.25" customHeight="1" x14ac:dyDescent="0.2">
      <c r="A32" s="581"/>
      <c r="B32" s="2" t="s">
        <v>28</v>
      </c>
      <c r="C32" s="65" t="s">
        <v>110</v>
      </c>
      <c r="D32" s="21">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14">IF($E32&gt;=M$31,MID($J$31,IF($E32&gt;M$31,INT(K32),ROUND(K32,0))+1,1),"")</f>
        <v>1</v>
      </c>
      <c r="N32" s="24">
        <f>(K32-INT(K32))*12</f>
        <v>0.60982523111040177</v>
      </c>
      <c r="O32" s="41" t="str">
        <f t="shared" ref="O32:O70" si="15">IF($E32&gt;=O$31,MID($J$31,IF($E32&gt;O$31,INT(N32),ROUND(N32,0))+1,1),"")</f>
        <v>0</v>
      </c>
      <c r="P32" s="24">
        <f>(N32-INT(N32))*12</f>
        <v>7.3179027733248212</v>
      </c>
      <c r="Q32" s="41" t="str">
        <f t="shared" ref="Q32:Q70" si="16">IF($E32&gt;=Q$31,MID($J$31,IF($E32&gt;Q$31,INT(P32),ROUND(P32,0))+1,1),"")</f>
        <v>7</v>
      </c>
      <c r="R32" s="24">
        <f>(P32-INT(P32))*12</f>
        <v>3.8148332798978544</v>
      </c>
      <c r="S32" s="41" t="str">
        <f t="shared" ref="S32:S70" si="17">IF($E32&gt;=S$31,MID($J$31,IF($E32&gt;S$31,INT(R32),ROUND(R32,0))+1,1),"")</f>
        <v>3</v>
      </c>
      <c r="T32" s="24">
        <f>(R32-INT(R32))*12</f>
        <v>9.7779993587742524</v>
      </c>
      <c r="U32" s="41" t="str">
        <f t="shared" ref="U32:U70" si="18">IF($E32&gt;=U$31,MID($J$31,IF($E32&gt;U$31,INT(T32),ROUND(T32,0))+1,1),"")</f>
        <v>9</v>
      </c>
      <c r="V32" s="24">
        <f>(T32-INT(T32))*12</f>
        <v>9.335992305291029</v>
      </c>
      <c r="W32" s="41" t="str">
        <f t="shared" ref="W32:W70" si="19">IF($E32&gt;=W$31,MID($J$31,IF($E32&gt;W$31,INT(V32),ROUND(V32,0))+1,1),"")</f>
        <v>9</v>
      </c>
      <c r="X32" s="24">
        <f>(V32-INT(V32))*12</f>
        <v>4.0319076634923476</v>
      </c>
      <c r="Y32" s="41" t="str">
        <f t="shared" ref="Y32:Y70" si="20">IF($E32&gt;=Y$31,MID($J$31,IF($E32&gt;Y$31,INT(X32),ROUND(X32,0))+1,1),"")</f>
        <v>4</v>
      </c>
      <c r="Z32" s="24">
        <f>(X32-INT(X32))*12</f>
        <v>0.38289196190817165</v>
      </c>
      <c r="AA32" s="41" t="str">
        <f t="shared" ref="AA32:AA70" si="21">IF($E32&gt;=AA$31,MID($J$31,IF($E32&gt;AA$31,INT(Z32),ROUND(Z32,0))+1,1),"")</f>
        <v>0</v>
      </c>
      <c r="AB32" s="24">
        <f>(Z32-INT(Z32))*12</f>
        <v>4.5947035428980598</v>
      </c>
      <c r="AC32" s="41" t="str">
        <f t="shared" ref="AC32:AC70" si="22">IF($E32&gt;=AC$31,MID($J$31,IF($E32&gt;AC$31,INT(AB32),ROUND(AB32,0))+1,1),"")</f>
        <v>4</v>
      </c>
      <c r="AD32" s="24">
        <f>(AB32-INT(AB32))*12</f>
        <v>7.1364425147767179</v>
      </c>
      <c r="AE32" s="41" t="str">
        <f t="shared" ref="AE32:AE70" si="23">IF($E32&gt;=AE$31,MID($J$31,IF($E32&gt;AE$31,INT(AD32),ROUND(AD32,0))+1,1),"")</f>
        <v>7</v>
      </c>
      <c r="AF32" s="24">
        <f>(AD32-INT(AD32))*12</f>
        <v>1.6373101773206145</v>
      </c>
      <c r="AG32" s="41" t="str">
        <f t="shared" ref="AG32:AG70" si="24">IF($E32&gt;=AG$31,MID($J$31,IF($E32&gt;AG$31,INT(AF32),ROUND(AF32,0))+1,1),"")</f>
        <v>2</v>
      </c>
      <c r="AH32" s="24">
        <f>(AF32-INT(AF32))*12</f>
        <v>7.6477221278473735</v>
      </c>
      <c r="AI32" s="41" t="str">
        <f t="shared" ref="AI32:AI70" si="25">IF($E32&gt;=AI$31,MID($J$31,IF($E32&gt;AI$31,INT(AH32),ROUND(AH32,0))+1,1),"")</f>
        <v/>
      </c>
      <c r="AJ32" s="24">
        <f>(AH32-INT(AH32))*12</f>
        <v>7.7726655341684818</v>
      </c>
      <c r="AK32" s="41" t="str">
        <f t="shared" ref="AK32:AK70" si="26">IF($E32&gt;=AK$31,MID($J$31,IF($E32&gt;AK$31,INT(AJ32),ROUND(AJ32,0))+1,1),"")</f>
        <v/>
      </c>
    </row>
    <row r="33" spans="1:37" ht="15" customHeight="1" x14ac:dyDescent="0.2">
      <c r="A33" s="581"/>
      <c r="B33" s="3" t="s">
        <v>0</v>
      </c>
      <c r="C33" s="3" t="s">
        <v>67</v>
      </c>
      <c r="D33" s="21">
        <v>6.0221407599999999E+23</v>
      </c>
      <c r="E33" s="8">
        <v>10</v>
      </c>
      <c r="F33" s="21">
        <f>D33/(1/F$7)</f>
        <v>7.9496847203390844E+25</v>
      </c>
      <c r="G33" s="37" t="str">
        <f t="shared" ref="G33:G70" si="27">M33&amp;";"&amp;O33&amp;Q33&amp;S33&amp;U33&amp;W33&amp;Y33&amp;AA33&amp;AC33&amp;AE33&amp;AG33&amp;AI33&amp;AK33</f>
        <v>1;0000000000</v>
      </c>
      <c r="H33" s="275">
        <f t="shared" ref="H33:H50" si="28">K33*POWER(12,I33)/ROUND(K33*POWER(12,I33),0)-1</f>
        <v>1.000088900582341E-12</v>
      </c>
      <c r="I33" s="278"/>
      <c r="J33" s="38">
        <v>24</v>
      </c>
      <c r="K33" s="61">
        <f>F33/POWER(12,J33)+0.000000000001</f>
        <v>1.0000000000010001</v>
      </c>
      <c r="L33" s="39" t="str">
        <f>INDEX(powers!$H$2:$H$75,33+J33)</f>
        <v>ter-cosmic</v>
      </c>
      <c r="M33" s="40" t="str">
        <f t="shared" si="14"/>
        <v>1</v>
      </c>
      <c r="N33" s="24">
        <f t="shared" ref="N33:N68" si="29">(K33-INT(K33))*12</f>
        <v>1.2001066806988092E-11</v>
      </c>
      <c r="O33" s="41" t="str">
        <f t="shared" si="15"/>
        <v>0</v>
      </c>
      <c r="P33" s="24">
        <f t="shared" ref="P33:P68" si="30">(N33-INT(N33))*12</f>
        <v>1.4401280168385711E-10</v>
      </c>
      <c r="Q33" s="41" t="str">
        <f t="shared" si="16"/>
        <v>0</v>
      </c>
      <c r="R33" s="24">
        <f t="shared" ref="R33:R68" si="31">(P33-INT(P33))*12</f>
        <v>1.7281536202062853E-9</v>
      </c>
      <c r="S33" s="41" t="str">
        <f t="shared" si="17"/>
        <v>0</v>
      </c>
      <c r="T33" s="24">
        <f t="shared" ref="T33:T68" si="32">(R33-INT(R33))*12</f>
        <v>2.0737843442475423E-8</v>
      </c>
      <c r="U33" s="41" t="str">
        <f t="shared" si="18"/>
        <v>0</v>
      </c>
      <c r="V33" s="24">
        <f t="shared" ref="V33:V68" si="33">(T33-INT(T33))*12</f>
        <v>2.4885412130970508E-7</v>
      </c>
      <c r="W33" s="41" t="str">
        <f t="shared" si="19"/>
        <v>0</v>
      </c>
      <c r="X33" s="24">
        <f t="shared" ref="X33:X68" si="34">(V33-INT(V33))*12</f>
        <v>2.9862494557164609E-6</v>
      </c>
      <c r="Y33" s="41" t="str">
        <f t="shared" si="20"/>
        <v>0</v>
      </c>
      <c r="Z33" s="24">
        <f t="shared" ref="Z33:Z68" si="35">(X33-INT(X33))*12</f>
        <v>3.5834993468597531E-5</v>
      </c>
      <c r="AA33" s="41" t="str">
        <f t="shared" si="21"/>
        <v>0</v>
      </c>
      <c r="AB33" s="24">
        <f t="shared" ref="AB33:AB68" si="36">(Z33-INT(Z33))*12</f>
        <v>4.3001992162317038E-4</v>
      </c>
      <c r="AC33" s="41" t="str">
        <f t="shared" si="22"/>
        <v>0</v>
      </c>
      <c r="AD33" s="24">
        <f t="shared" ref="AD33:AD68" si="37">(AB33-INT(AB33))*12</f>
        <v>5.1602390594780445E-3</v>
      </c>
      <c r="AE33" s="41" t="str">
        <f t="shared" si="23"/>
        <v>0</v>
      </c>
      <c r="AF33" s="24">
        <f t="shared" ref="AF33:AF68" si="38">(AD33-INT(AD33))*12</f>
        <v>6.1922868713736534E-2</v>
      </c>
      <c r="AG33" s="41" t="str">
        <f t="shared" si="24"/>
        <v>0</v>
      </c>
      <c r="AH33" s="24">
        <f t="shared" ref="AH33:AH68" si="39">(AF33-INT(AF33))*12</f>
        <v>0.74307442456483841</v>
      </c>
      <c r="AI33" s="41" t="str">
        <f t="shared" si="25"/>
        <v/>
      </c>
      <c r="AJ33" s="24">
        <f t="shared" ref="AJ33:AJ68" si="40">(AH33-INT(AH33))*12</f>
        <v>8.9168930947780609</v>
      </c>
      <c r="AK33" s="41" t="str">
        <f t="shared" si="26"/>
        <v/>
      </c>
    </row>
    <row r="34" spans="1:37" ht="15" customHeight="1" x14ac:dyDescent="0.2">
      <c r="A34" s="581"/>
      <c r="B34" s="3" t="s">
        <v>1</v>
      </c>
      <c r="C34" s="3" t="s">
        <v>661</v>
      </c>
      <c r="D34" s="53">
        <v>10973731.568157</v>
      </c>
      <c r="E34" s="8">
        <v>12</v>
      </c>
      <c r="F34" s="21">
        <f>D34/(1/F$3)</f>
        <v>2985984</v>
      </c>
      <c r="G34" s="37" t="str">
        <f t="shared" si="27"/>
        <v>1;000000000000</v>
      </c>
      <c r="H34" s="275">
        <f t="shared" si="28"/>
        <v>9.9920072216264089E-15</v>
      </c>
      <c r="I34" s="278"/>
      <c r="J34" s="38">
        <v>6</v>
      </c>
      <c r="K34" s="61">
        <f>F34/POWER(12,J34)+0.00000000000001</f>
        <v>1.00000000000001</v>
      </c>
      <c r="L34" s="39" t="str">
        <f>INDEX(powers!$H$2:$H$75,33+J34)</f>
        <v>dino cosmic</v>
      </c>
      <c r="M34" s="40" t="str">
        <f t="shared" si="14"/>
        <v>1</v>
      </c>
      <c r="N34" s="24">
        <f t="shared" si="29"/>
        <v>1.1990408665951691E-13</v>
      </c>
      <c r="O34" s="41" t="str">
        <f t="shared" si="15"/>
        <v>0</v>
      </c>
      <c r="P34" s="24">
        <f t="shared" si="30"/>
        <v>1.4388490399142029E-12</v>
      </c>
      <c r="Q34" s="41" t="str">
        <f t="shared" si="16"/>
        <v>0</v>
      </c>
      <c r="R34" s="24">
        <f t="shared" si="31"/>
        <v>1.7266188478970435E-11</v>
      </c>
      <c r="S34" s="41" t="str">
        <f t="shared" si="17"/>
        <v>0</v>
      </c>
      <c r="T34" s="24">
        <f t="shared" si="32"/>
        <v>2.0719426174764521E-10</v>
      </c>
      <c r="U34" s="41" t="str">
        <f t="shared" si="18"/>
        <v>0</v>
      </c>
      <c r="V34" s="24">
        <f t="shared" si="33"/>
        <v>2.4863311409717426E-9</v>
      </c>
      <c r="W34" s="41" t="str">
        <f t="shared" si="19"/>
        <v>0</v>
      </c>
      <c r="X34" s="24">
        <f t="shared" si="34"/>
        <v>2.9835973691660911E-8</v>
      </c>
      <c r="Y34" s="41" t="str">
        <f t="shared" si="20"/>
        <v>0</v>
      </c>
      <c r="Z34" s="24">
        <f t="shared" si="35"/>
        <v>3.5803168429993093E-7</v>
      </c>
      <c r="AA34" s="41" t="str">
        <f t="shared" si="21"/>
        <v>0</v>
      </c>
      <c r="AB34" s="24">
        <f t="shared" si="36"/>
        <v>4.2963802115991712E-6</v>
      </c>
      <c r="AC34" s="41" t="str">
        <f t="shared" si="22"/>
        <v>0</v>
      </c>
      <c r="AD34" s="24">
        <f t="shared" si="37"/>
        <v>5.1556562539190054E-5</v>
      </c>
      <c r="AE34" s="41" t="str">
        <f t="shared" si="23"/>
        <v>0</v>
      </c>
      <c r="AF34" s="24">
        <f t="shared" si="38"/>
        <v>6.1867875047028065E-4</v>
      </c>
      <c r="AG34" s="41" t="str">
        <f t="shared" si="24"/>
        <v>0</v>
      </c>
      <c r="AH34" s="24">
        <f t="shared" si="39"/>
        <v>7.4241450056433678E-3</v>
      </c>
      <c r="AI34" s="41" t="str">
        <f t="shared" si="25"/>
        <v>0</v>
      </c>
      <c r="AJ34" s="24">
        <f t="shared" si="40"/>
        <v>8.9089740067720413E-2</v>
      </c>
      <c r="AK34" s="41" t="str">
        <f t="shared" si="26"/>
        <v>0</v>
      </c>
    </row>
    <row r="35" spans="1:37" ht="15" customHeight="1" x14ac:dyDescent="0.2">
      <c r="A35" s="581"/>
      <c r="B35" s="3" t="s">
        <v>30</v>
      </c>
      <c r="C35" s="3" t="s">
        <v>68</v>
      </c>
      <c r="D35" s="21">
        <v>299792458</v>
      </c>
      <c r="E35" s="8">
        <v>12</v>
      </c>
      <c r="F35" s="21">
        <f>D35/(F$3/F$4)</f>
        <v>429981696</v>
      </c>
      <c r="G35" s="37" t="str">
        <f t="shared" si="27"/>
        <v>1;000000000000</v>
      </c>
      <c r="H35" s="275">
        <f t="shared" si="28"/>
        <v>0</v>
      </c>
      <c r="I35" s="278"/>
      <c r="J35" s="38">
        <v>8</v>
      </c>
      <c r="K35" s="61">
        <f>F35/POWER(12,J35)</f>
        <v>1</v>
      </c>
      <c r="L35" s="39" t="str">
        <f>INDEX(powers!$H$2:$H$75,33+J35)</f>
        <v>cosmic</v>
      </c>
      <c r="M35" s="40" t="str">
        <f t="shared" si="14"/>
        <v>1</v>
      </c>
      <c r="N35" s="24">
        <f t="shared" si="29"/>
        <v>0</v>
      </c>
      <c r="O35" s="41" t="str">
        <f t="shared" si="15"/>
        <v>0</v>
      </c>
      <c r="P35" s="24">
        <f t="shared" si="30"/>
        <v>0</v>
      </c>
      <c r="Q35" s="41" t="str">
        <f t="shared" si="16"/>
        <v>0</v>
      </c>
      <c r="R35" s="24">
        <f t="shared" si="31"/>
        <v>0</v>
      </c>
      <c r="S35" s="41" t="str">
        <f t="shared" si="17"/>
        <v>0</v>
      </c>
      <c r="T35" s="24">
        <f t="shared" si="32"/>
        <v>0</v>
      </c>
      <c r="U35" s="41" t="str">
        <f t="shared" si="18"/>
        <v>0</v>
      </c>
      <c r="V35" s="24">
        <f t="shared" si="33"/>
        <v>0</v>
      </c>
      <c r="W35" s="41" t="str">
        <f t="shared" si="19"/>
        <v>0</v>
      </c>
      <c r="X35" s="24">
        <f t="shared" si="34"/>
        <v>0</v>
      </c>
      <c r="Y35" s="41" t="str">
        <f t="shared" si="20"/>
        <v>0</v>
      </c>
      <c r="Z35" s="24">
        <f t="shared" si="35"/>
        <v>0</v>
      </c>
      <c r="AA35" s="41" t="str">
        <f t="shared" si="21"/>
        <v>0</v>
      </c>
      <c r="AB35" s="24">
        <f t="shared" si="36"/>
        <v>0</v>
      </c>
      <c r="AC35" s="41" t="str">
        <f t="shared" si="22"/>
        <v>0</v>
      </c>
      <c r="AD35" s="24">
        <f t="shared" si="37"/>
        <v>0</v>
      </c>
      <c r="AE35" s="41" t="str">
        <f t="shared" si="23"/>
        <v>0</v>
      </c>
      <c r="AF35" s="24">
        <f t="shared" si="38"/>
        <v>0</v>
      </c>
      <c r="AG35" s="41" t="str">
        <f t="shared" si="24"/>
        <v>0</v>
      </c>
      <c r="AH35" s="24">
        <f t="shared" si="39"/>
        <v>0</v>
      </c>
      <c r="AI35" s="41" t="str">
        <f t="shared" si="25"/>
        <v>0</v>
      </c>
      <c r="AJ35" s="24">
        <f t="shared" si="40"/>
        <v>0</v>
      </c>
      <c r="AK35" s="41" t="str">
        <f t="shared" si="26"/>
        <v>0</v>
      </c>
    </row>
    <row r="36" spans="1:37" ht="15" customHeight="1" x14ac:dyDescent="0.2">
      <c r="A36" s="581"/>
      <c r="B36" s="3" t="s">
        <v>2</v>
      </c>
      <c r="C36" s="3" t="s">
        <v>69</v>
      </c>
      <c r="D36" s="21">
        <f>6.62607015E-34/(2*PI())</f>
        <v>1.0545718176461565E-34</v>
      </c>
      <c r="E36" s="8">
        <v>10</v>
      </c>
      <c r="F36" s="21">
        <f>D36/(F$5*F$4)</f>
        <v>4.2127202330874246E-33</v>
      </c>
      <c r="G36" s="37" t="str">
        <f t="shared" si="27"/>
        <v>1;0000000000</v>
      </c>
      <c r="H36" s="275">
        <f t="shared" si="28"/>
        <v>9.9986685597741598E-13</v>
      </c>
      <c r="I36" s="278"/>
      <c r="J36" s="38">
        <v>-30</v>
      </c>
      <c r="K36" s="61">
        <f>F36/POWER(12,J36)+0.000000000001</f>
        <v>1.0000000000009999</v>
      </c>
      <c r="L36" s="39" t="str">
        <f>INDEX(powers!$H$2:$H$75,33+J36)</f>
        <v>gross tetra-atomic</v>
      </c>
      <c r="M36" s="40" t="str">
        <f t="shared" si="14"/>
        <v>1</v>
      </c>
      <c r="N36" s="24">
        <f t="shared" si="29"/>
        <v>1.1998402271728992E-11</v>
      </c>
      <c r="O36" s="41" t="str">
        <f t="shared" si="15"/>
        <v>0</v>
      </c>
      <c r="P36" s="24">
        <f t="shared" si="30"/>
        <v>1.439808272607479E-10</v>
      </c>
      <c r="Q36" s="41" t="str">
        <f t="shared" si="16"/>
        <v>0</v>
      </c>
      <c r="R36" s="24">
        <f t="shared" si="31"/>
        <v>1.7277699271289748E-9</v>
      </c>
      <c r="S36" s="41" t="str">
        <f t="shared" si="17"/>
        <v>0</v>
      </c>
      <c r="T36" s="24">
        <f t="shared" si="32"/>
        <v>2.0733239125547698E-8</v>
      </c>
      <c r="U36" s="41" t="str">
        <f t="shared" si="18"/>
        <v>0</v>
      </c>
      <c r="V36" s="24">
        <f t="shared" si="33"/>
        <v>2.4879886950657237E-7</v>
      </c>
      <c r="W36" s="41" t="str">
        <f t="shared" si="19"/>
        <v>0</v>
      </c>
      <c r="X36" s="24">
        <f t="shared" si="34"/>
        <v>2.9855864340788685E-6</v>
      </c>
      <c r="Y36" s="41" t="str">
        <f t="shared" si="20"/>
        <v>0</v>
      </c>
      <c r="Z36" s="24">
        <f t="shared" si="35"/>
        <v>3.5827037208946422E-5</v>
      </c>
      <c r="AA36" s="41" t="str">
        <f t="shared" si="21"/>
        <v>0</v>
      </c>
      <c r="AB36" s="24">
        <f t="shared" si="36"/>
        <v>4.2992444650735706E-4</v>
      </c>
      <c r="AC36" s="41" t="str">
        <f t="shared" si="22"/>
        <v>0</v>
      </c>
      <c r="AD36" s="24">
        <f t="shared" si="37"/>
        <v>5.1590933580882847E-3</v>
      </c>
      <c r="AE36" s="41" t="str">
        <f t="shared" si="23"/>
        <v>0</v>
      </c>
      <c r="AF36" s="24">
        <f t="shared" si="38"/>
        <v>6.1909120297059417E-2</v>
      </c>
      <c r="AG36" s="41" t="str">
        <f t="shared" si="24"/>
        <v>0</v>
      </c>
      <c r="AH36" s="24">
        <f t="shared" si="39"/>
        <v>0.742909443564713</v>
      </c>
      <c r="AI36" s="41" t="str">
        <f t="shared" si="25"/>
        <v/>
      </c>
      <c r="AJ36" s="24">
        <f t="shared" si="40"/>
        <v>8.914913322776556</v>
      </c>
      <c r="AK36" s="41" t="str">
        <f t="shared" si="26"/>
        <v/>
      </c>
    </row>
    <row r="37" spans="1:37" ht="15" customHeight="1" x14ac:dyDescent="0.2">
      <c r="A37" s="581"/>
      <c r="B37" s="3" t="s">
        <v>3</v>
      </c>
      <c r="C37" s="3" t="s">
        <v>70</v>
      </c>
      <c r="D37" s="21">
        <v>1.3806490000000001E-23</v>
      </c>
      <c r="E37" s="8">
        <v>10</v>
      </c>
      <c r="F37" s="21">
        <f>D37/(F$5/F$6)</f>
        <v>1.2579115212475321E-26</v>
      </c>
      <c r="G37" s="37" t="str">
        <f t="shared" si="27"/>
        <v>1;0000000000</v>
      </c>
      <c r="H37" s="275">
        <f t="shared" si="28"/>
        <v>0</v>
      </c>
      <c r="I37" s="278"/>
      <c r="J37" s="131">
        <v>-24</v>
      </c>
      <c r="K37" s="61">
        <f t="shared" ref="K37:K70" si="41">F37/POWER(12,J37)</f>
        <v>1</v>
      </c>
      <c r="L37" s="134" t="str">
        <f>INDEX(powers!$H$2:$H$75,33+J37)</f>
        <v>ter-atomic</v>
      </c>
      <c r="M37" s="40" t="str">
        <f t="shared" si="14"/>
        <v>1</v>
      </c>
      <c r="N37" s="24">
        <f t="shared" si="29"/>
        <v>0</v>
      </c>
      <c r="O37" s="41" t="str">
        <f t="shared" si="15"/>
        <v>0</v>
      </c>
      <c r="P37" s="24">
        <f t="shared" si="30"/>
        <v>0</v>
      </c>
      <c r="Q37" s="41" t="str">
        <f t="shared" si="16"/>
        <v>0</v>
      </c>
      <c r="R37" s="24">
        <f t="shared" si="31"/>
        <v>0</v>
      </c>
      <c r="S37" s="41" t="str">
        <f t="shared" si="17"/>
        <v>0</v>
      </c>
      <c r="T37" s="24">
        <f t="shared" si="32"/>
        <v>0</v>
      </c>
      <c r="U37" s="41" t="str">
        <f t="shared" si="18"/>
        <v>0</v>
      </c>
      <c r="V37" s="24">
        <f t="shared" si="33"/>
        <v>0</v>
      </c>
      <c r="W37" s="41" t="str">
        <f t="shared" si="19"/>
        <v>0</v>
      </c>
      <c r="X37" s="24">
        <f t="shared" si="34"/>
        <v>0</v>
      </c>
      <c r="Y37" s="41" t="str">
        <f t="shared" si="20"/>
        <v>0</v>
      </c>
      <c r="Z37" s="24">
        <f t="shared" si="35"/>
        <v>0</v>
      </c>
      <c r="AA37" s="41" t="str">
        <f t="shared" si="21"/>
        <v>0</v>
      </c>
      <c r="AB37" s="24">
        <f t="shared" si="36"/>
        <v>0</v>
      </c>
      <c r="AC37" s="41" t="str">
        <f t="shared" si="22"/>
        <v>0</v>
      </c>
      <c r="AD37" s="24">
        <f t="shared" si="37"/>
        <v>0</v>
      </c>
      <c r="AE37" s="41" t="str">
        <f t="shared" si="23"/>
        <v>0</v>
      </c>
      <c r="AF37" s="24">
        <f t="shared" si="38"/>
        <v>0</v>
      </c>
      <c r="AG37" s="41" t="str">
        <f t="shared" si="24"/>
        <v>0</v>
      </c>
      <c r="AH37" s="24">
        <f t="shared" si="39"/>
        <v>0</v>
      </c>
      <c r="AI37" s="41" t="str">
        <f t="shared" si="25"/>
        <v/>
      </c>
      <c r="AJ37" s="24">
        <f t="shared" si="40"/>
        <v>0</v>
      </c>
      <c r="AK37" s="41" t="str">
        <f t="shared" si="26"/>
        <v/>
      </c>
    </row>
    <row r="38" spans="1:37" ht="15" customHeight="1" x14ac:dyDescent="0.2">
      <c r="A38" s="581"/>
      <c r="B38" s="3" t="s">
        <v>4</v>
      </c>
      <c r="C38" s="3" t="s">
        <v>71</v>
      </c>
      <c r="D38" s="21">
        <f>D37*D33</f>
        <v>8.3144626181532395</v>
      </c>
      <c r="E38" s="8">
        <v>10</v>
      </c>
      <c r="F38" s="21">
        <f>D38/(F$5/F$6/F$7)</f>
        <v>0.99999999999999978</v>
      </c>
      <c r="G38" s="37" t="e">
        <f t="shared" si="27"/>
        <v>#VALUE!</v>
      </c>
      <c r="H38" s="275">
        <f t="shared" si="28"/>
        <v>0</v>
      </c>
      <c r="I38" s="278"/>
      <c r="J38" s="131">
        <v>0</v>
      </c>
      <c r="K38" s="61">
        <f t="shared" si="41"/>
        <v>0.99999999999999978</v>
      </c>
      <c r="L38" s="134" t="str">
        <f>INDEX(powers!$H$2:$H$75,33+J38)</f>
        <v xml:space="preserve"> </v>
      </c>
      <c r="M38" s="40" t="str">
        <f t="shared" si="14"/>
        <v>1</v>
      </c>
      <c r="N38" s="24">
        <f t="shared" si="29"/>
        <v>-2.6645352591003757E-15</v>
      </c>
      <c r="O38" s="41" t="e">
        <f t="shared" si="15"/>
        <v>#VALUE!</v>
      </c>
      <c r="P38" s="24">
        <f t="shared" si="30"/>
        <v>11.999999999999968</v>
      </c>
      <c r="Q38" s="41" t="str">
        <f t="shared" si="16"/>
        <v/>
      </c>
      <c r="R38" s="24">
        <f t="shared" si="31"/>
        <v>-3.836930773104541E-13</v>
      </c>
      <c r="S38" s="41" t="e">
        <f t="shared" si="17"/>
        <v>#VALUE!</v>
      </c>
      <c r="T38" s="24">
        <f t="shared" si="32"/>
        <v>11.999999999995396</v>
      </c>
      <c r="U38" s="41" t="str">
        <f t="shared" si="18"/>
        <v>E</v>
      </c>
      <c r="V38" s="24">
        <f t="shared" si="33"/>
        <v>11.999999999944748</v>
      </c>
      <c r="W38" s="41" t="str">
        <f t="shared" si="19"/>
        <v>E</v>
      </c>
      <c r="X38" s="24">
        <f t="shared" si="34"/>
        <v>11.999999999336978</v>
      </c>
      <c r="Y38" s="41" t="str">
        <f t="shared" si="20"/>
        <v>E</v>
      </c>
      <c r="Z38" s="24">
        <f t="shared" si="35"/>
        <v>11.99999999204374</v>
      </c>
      <c r="AA38" s="41" t="str">
        <f t="shared" si="21"/>
        <v>E</v>
      </c>
      <c r="AB38" s="24">
        <f t="shared" si="36"/>
        <v>11.999999904524884</v>
      </c>
      <c r="AC38" s="41" t="str">
        <f t="shared" si="22"/>
        <v>E</v>
      </c>
      <c r="AD38" s="24">
        <f t="shared" si="37"/>
        <v>11.99999885429861</v>
      </c>
      <c r="AE38" s="41" t="str">
        <f t="shared" si="23"/>
        <v>E</v>
      </c>
      <c r="AF38" s="24">
        <f t="shared" si="38"/>
        <v>11.999986251583323</v>
      </c>
      <c r="AG38" s="41" t="str">
        <f t="shared" si="24"/>
        <v/>
      </c>
      <c r="AH38" s="24">
        <f t="shared" si="39"/>
        <v>11.999835018999875</v>
      </c>
      <c r="AI38" s="41" t="str">
        <f t="shared" si="25"/>
        <v/>
      </c>
      <c r="AJ38" s="24">
        <f t="shared" si="40"/>
        <v>11.998020227998495</v>
      </c>
      <c r="AK38" s="41" t="str">
        <f t="shared" si="26"/>
        <v/>
      </c>
    </row>
    <row r="39" spans="1:37" ht="15" customHeight="1" x14ac:dyDescent="0.2">
      <c r="A39" s="581"/>
      <c r="B39" s="3" t="s">
        <v>5</v>
      </c>
      <c r="C39" s="3" t="s">
        <v>61</v>
      </c>
      <c r="D39" s="21">
        <v>1.6605390689199999E-27</v>
      </c>
      <c r="E39" s="8">
        <v>10</v>
      </c>
      <c r="F39" s="21">
        <f>D39/F$8</f>
        <v>1.2584600513386841E-26</v>
      </c>
      <c r="G39" s="37" t="str">
        <f t="shared" si="27"/>
        <v>1;0009060E71</v>
      </c>
      <c r="H39" s="275">
        <f t="shared" si="28"/>
        <v>4.3606412842756015E-4</v>
      </c>
      <c r="I39" s="278"/>
      <c r="J39" s="38">
        <v>-24</v>
      </c>
      <c r="K39" s="61">
        <f t="shared" si="41"/>
        <v>1.0004360641284276</v>
      </c>
      <c r="L39" s="39" t="str">
        <f>INDEX(powers!$H$2:$H$75,33+J39)</f>
        <v>ter-atomic</v>
      </c>
      <c r="M39" s="40" t="str">
        <f t="shared" si="14"/>
        <v>1</v>
      </c>
      <c r="N39" s="24">
        <f t="shared" si="29"/>
        <v>5.2327695411307218E-3</v>
      </c>
      <c r="O39" s="41" t="str">
        <f t="shared" si="15"/>
        <v>0</v>
      </c>
      <c r="P39" s="24">
        <f t="shared" si="30"/>
        <v>6.2793234493568661E-2</v>
      </c>
      <c r="Q39" s="41" t="str">
        <f t="shared" si="16"/>
        <v>0</v>
      </c>
      <c r="R39" s="24">
        <f t="shared" si="31"/>
        <v>0.75351881392282394</v>
      </c>
      <c r="S39" s="41" t="str">
        <f t="shared" si="17"/>
        <v>0</v>
      </c>
      <c r="T39" s="24">
        <f t="shared" si="32"/>
        <v>9.0422257670738873</v>
      </c>
      <c r="U39" s="41" t="str">
        <f t="shared" si="18"/>
        <v>9</v>
      </c>
      <c r="V39" s="24">
        <f t="shared" si="33"/>
        <v>0.50670920488664706</v>
      </c>
      <c r="W39" s="41" t="str">
        <f t="shared" si="19"/>
        <v>0</v>
      </c>
      <c r="X39" s="24">
        <f t="shared" si="34"/>
        <v>6.0805104586397647</v>
      </c>
      <c r="Y39" s="41" t="str">
        <f t="shared" si="20"/>
        <v>6</v>
      </c>
      <c r="Z39" s="24">
        <f t="shared" si="35"/>
        <v>0.96612550367717631</v>
      </c>
      <c r="AA39" s="41" t="str">
        <f t="shared" si="21"/>
        <v>0</v>
      </c>
      <c r="AB39" s="24">
        <f t="shared" si="36"/>
        <v>11.593506044126116</v>
      </c>
      <c r="AC39" s="41" t="str">
        <f t="shared" si="22"/>
        <v>E</v>
      </c>
      <c r="AD39" s="24">
        <f t="shared" si="37"/>
        <v>7.1220725295133889</v>
      </c>
      <c r="AE39" s="41" t="str">
        <f t="shared" si="23"/>
        <v>7</v>
      </c>
      <c r="AF39" s="24">
        <f t="shared" si="38"/>
        <v>1.4648703541606665</v>
      </c>
      <c r="AG39" s="41" t="str">
        <f t="shared" si="24"/>
        <v>1</v>
      </c>
      <c r="AH39" s="24">
        <f t="shared" si="39"/>
        <v>5.5784442499279976</v>
      </c>
      <c r="AI39" s="41" t="str">
        <f t="shared" si="25"/>
        <v/>
      </c>
      <c r="AJ39" s="24">
        <f t="shared" si="40"/>
        <v>6.9413309991359711</v>
      </c>
      <c r="AK39" s="41" t="str">
        <f t="shared" si="26"/>
        <v/>
      </c>
    </row>
    <row r="40" spans="1:37" ht="15" customHeight="1" x14ac:dyDescent="0.2">
      <c r="A40" s="581"/>
      <c r="B40" s="3" t="s">
        <v>6</v>
      </c>
      <c r="C40" s="3" t="s">
        <v>57</v>
      </c>
      <c r="D40" s="21">
        <f>D32/(4*PI()*D34)</f>
        <v>5.2917721054102549E-11</v>
      </c>
      <c r="E40" s="8">
        <v>10</v>
      </c>
      <c r="F40" s="21">
        <f>D40/F$3</f>
        <v>1.9447688468736989E-10</v>
      </c>
      <c r="G40" s="37" t="str">
        <f t="shared" si="27"/>
        <v>1;005E856846</v>
      </c>
      <c r="H40" s="275">
        <f t="shared" si="28"/>
        <v>3.4580085280608852E-3</v>
      </c>
      <c r="I40" s="278"/>
      <c r="J40" s="38">
        <v>-9</v>
      </c>
      <c r="K40" s="61">
        <f t="shared" si="41"/>
        <v>1.0034580085280609</v>
      </c>
      <c r="L40" s="39" t="str">
        <f>INDEX(powers!$H$2:$H$75,33+J40)</f>
        <v>unino atomic</v>
      </c>
      <c r="M40" s="40" t="str">
        <f t="shared" si="14"/>
        <v>1</v>
      </c>
      <c r="N40" s="24">
        <f t="shared" si="29"/>
        <v>4.1496102336730623E-2</v>
      </c>
      <c r="O40" s="41" t="str">
        <f t="shared" si="15"/>
        <v>0</v>
      </c>
      <c r="P40" s="24">
        <f t="shared" si="30"/>
        <v>0.49795322804076747</v>
      </c>
      <c r="Q40" s="41" t="str">
        <f t="shared" si="16"/>
        <v>0</v>
      </c>
      <c r="R40" s="24">
        <f t="shared" si="31"/>
        <v>5.9754387364892096</v>
      </c>
      <c r="S40" s="41" t="str">
        <f t="shared" si="17"/>
        <v>5</v>
      </c>
      <c r="T40" s="24">
        <f t="shared" si="32"/>
        <v>11.705264837870516</v>
      </c>
      <c r="U40" s="41" t="str">
        <f t="shared" si="18"/>
        <v>E</v>
      </c>
      <c r="V40" s="24">
        <f t="shared" si="33"/>
        <v>8.463178054446189</v>
      </c>
      <c r="W40" s="41" t="str">
        <f t="shared" si="19"/>
        <v>8</v>
      </c>
      <c r="X40" s="24">
        <f t="shared" si="34"/>
        <v>5.5581366533542678</v>
      </c>
      <c r="Y40" s="41" t="str">
        <f t="shared" si="20"/>
        <v>5</v>
      </c>
      <c r="Z40" s="24">
        <f t="shared" si="35"/>
        <v>6.6976398402512132</v>
      </c>
      <c r="AA40" s="41" t="str">
        <f t="shared" si="21"/>
        <v>6</v>
      </c>
      <c r="AB40" s="24">
        <f t="shared" si="36"/>
        <v>8.3716780830145581</v>
      </c>
      <c r="AC40" s="41" t="str">
        <f t="shared" si="22"/>
        <v>8</v>
      </c>
      <c r="AD40" s="24">
        <f t="shared" si="37"/>
        <v>4.4601369961746968</v>
      </c>
      <c r="AE40" s="41" t="str">
        <f t="shared" si="23"/>
        <v>4</v>
      </c>
      <c r="AF40" s="24">
        <f t="shared" si="38"/>
        <v>5.521643954096362</v>
      </c>
      <c r="AG40" s="41" t="str">
        <f t="shared" si="24"/>
        <v>6</v>
      </c>
      <c r="AH40" s="24">
        <f t="shared" si="39"/>
        <v>6.2597274491563439</v>
      </c>
      <c r="AI40" s="41" t="str">
        <f t="shared" si="25"/>
        <v/>
      </c>
      <c r="AJ40" s="24">
        <f t="shared" si="40"/>
        <v>3.1167293898761272</v>
      </c>
      <c r="AK40" s="41" t="str">
        <f t="shared" si="26"/>
        <v/>
      </c>
    </row>
    <row r="41" spans="1:37" ht="15" customHeight="1" x14ac:dyDescent="0.2">
      <c r="A41" s="581"/>
      <c r="B41" s="3" t="s">
        <v>7</v>
      </c>
      <c r="C41" s="3" t="s">
        <v>65</v>
      </c>
      <c r="D41" s="21">
        <v>1.6021766339999999E-19</v>
      </c>
      <c r="E41" s="8">
        <v>10</v>
      </c>
      <c r="F41" s="21">
        <f>D41/F$12</f>
        <v>5.5445202497451214E-18</v>
      </c>
      <c r="G41" s="37" t="str">
        <f t="shared" si="27"/>
        <v>1;0374439E14</v>
      </c>
      <c r="H41" s="275">
        <f t="shared" si="28"/>
        <v>2.5094517302649111E-2</v>
      </c>
      <c r="I41" s="278"/>
      <c r="J41" s="38">
        <v>-16</v>
      </c>
      <c r="K41" s="61">
        <f t="shared" si="41"/>
        <v>1.0250945173026491</v>
      </c>
      <c r="L41" s="39" t="str">
        <f>INDEX(powers!$H$2:$H$75,33+J41)</f>
        <v>di-atomic</v>
      </c>
      <c r="M41" s="40" t="str">
        <f t="shared" si="14"/>
        <v>1</v>
      </c>
      <c r="N41" s="24">
        <f t="shared" si="29"/>
        <v>0.30113420763178933</v>
      </c>
      <c r="O41" s="41" t="str">
        <f t="shared" si="15"/>
        <v>0</v>
      </c>
      <c r="P41" s="24">
        <f t="shared" si="30"/>
        <v>3.613610491581472</v>
      </c>
      <c r="Q41" s="41" t="str">
        <f t="shared" si="16"/>
        <v>3</v>
      </c>
      <c r="R41" s="24">
        <f t="shared" si="31"/>
        <v>7.3633258989776635</v>
      </c>
      <c r="S41" s="41" t="str">
        <f t="shared" si="17"/>
        <v>7</v>
      </c>
      <c r="T41" s="24">
        <f t="shared" si="32"/>
        <v>4.3599107877319625</v>
      </c>
      <c r="U41" s="41" t="str">
        <f t="shared" si="18"/>
        <v>4</v>
      </c>
      <c r="V41" s="24">
        <f t="shared" si="33"/>
        <v>4.31892945278355</v>
      </c>
      <c r="W41" s="41" t="str">
        <f t="shared" si="19"/>
        <v>4</v>
      </c>
      <c r="X41" s="24">
        <f t="shared" si="34"/>
        <v>3.8271534334026001</v>
      </c>
      <c r="Y41" s="41" t="str">
        <f t="shared" si="20"/>
        <v>3</v>
      </c>
      <c r="Z41" s="24">
        <f t="shared" si="35"/>
        <v>9.9258412008312007</v>
      </c>
      <c r="AA41" s="41" t="str">
        <f t="shared" si="21"/>
        <v>9</v>
      </c>
      <c r="AB41" s="24">
        <f t="shared" si="36"/>
        <v>11.110094409974408</v>
      </c>
      <c r="AC41" s="41" t="str">
        <f t="shared" si="22"/>
        <v>E</v>
      </c>
      <c r="AD41" s="24">
        <f t="shared" si="37"/>
        <v>1.3211329196929</v>
      </c>
      <c r="AE41" s="41" t="str">
        <f t="shared" si="23"/>
        <v>1</v>
      </c>
      <c r="AF41" s="24">
        <f t="shared" si="38"/>
        <v>3.8535950363148004</v>
      </c>
      <c r="AG41" s="41" t="str">
        <f t="shared" si="24"/>
        <v>4</v>
      </c>
      <c r="AH41" s="24">
        <f t="shared" si="39"/>
        <v>10.243140435777605</v>
      </c>
      <c r="AI41" s="41" t="str">
        <f t="shared" si="25"/>
        <v/>
      </c>
      <c r="AJ41" s="24">
        <f t="shared" si="40"/>
        <v>2.917685229331255</v>
      </c>
      <c r="AK41" s="41" t="str">
        <f t="shared" si="26"/>
        <v/>
      </c>
    </row>
    <row r="42" spans="1:37" ht="15" customHeight="1" x14ac:dyDescent="0.2">
      <c r="A42" s="581"/>
      <c r="B42" s="3" t="s">
        <v>50</v>
      </c>
      <c r="C42" s="3" t="s">
        <v>61</v>
      </c>
      <c r="D42" s="21">
        <f>D36*D34/D35*4*PI()/(D32*D32)</f>
        <v>9.1093837139983745E-31</v>
      </c>
      <c r="E42" s="8">
        <v>10</v>
      </c>
      <c r="F42" s="21">
        <f>D42/F$8</f>
        <v>6.903659005047149E-30</v>
      </c>
      <c r="G42" s="37" t="str">
        <f t="shared" si="27"/>
        <v>0;E4692217E0</v>
      </c>
      <c r="H42" s="275">
        <f t="shared" si="28"/>
        <v>-5.16405518815517E-2</v>
      </c>
      <c r="I42" s="278"/>
      <c r="J42" s="38">
        <v>-27</v>
      </c>
      <c r="K42" s="61">
        <f t="shared" si="41"/>
        <v>0.9483594481184483</v>
      </c>
      <c r="L42" s="39" t="str">
        <f>INDEX(powers!$H$2:$H$75,33+J42)</f>
        <v>terno ter-atomic</v>
      </c>
      <c r="M42" s="40" t="str">
        <f t="shared" si="14"/>
        <v>0</v>
      </c>
      <c r="N42" s="24">
        <f t="shared" si="29"/>
        <v>11.38031337742138</v>
      </c>
      <c r="O42" s="41" t="str">
        <f t="shared" si="15"/>
        <v>E</v>
      </c>
      <c r="P42" s="24">
        <f t="shared" si="30"/>
        <v>4.5637605290565659</v>
      </c>
      <c r="Q42" s="41" t="str">
        <f t="shared" si="16"/>
        <v>4</v>
      </c>
      <c r="R42" s="24">
        <f t="shared" si="31"/>
        <v>6.7651263486787911</v>
      </c>
      <c r="S42" s="41" t="str">
        <f t="shared" si="17"/>
        <v>6</v>
      </c>
      <c r="T42" s="24">
        <f t="shared" si="32"/>
        <v>9.1815161841454938</v>
      </c>
      <c r="U42" s="41" t="str">
        <f t="shared" si="18"/>
        <v>9</v>
      </c>
      <c r="V42" s="24">
        <f t="shared" si="33"/>
        <v>2.178194209745925</v>
      </c>
      <c r="W42" s="41" t="str">
        <f t="shared" si="19"/>
        <v>2</v>
      </c>
      <c r="X42" s="24">
        <f t="shared" si="34"/>
        <v>2.1383305169511004</v>
      </c>
      <c r="Y42" s="41" t="str">
        <f t="shared" si="20"/>
        <v>2</v>
      </c>
      <c r="Z42" s="24">
        <f t="shared" si="35"/>
        <v>1.6599662034132052</v>
      </c>
      <c r="AA42" s="41" t="str">
        <f t="shared" si="21"/>
        <v>1</v>
      </c>
      <c r="AB42" s="24">
        <f t="shared" si="36"/>
        <v>7.9195944409584627</v>
      </c>
      <c r="AC42" s="41" t="str">
        <f t="shared" si="22"/>
        <v>7</v>
      </c>
      <c r="AD42" s="24">
        <f t="shared" si="37"/>
        <v>11.035133291501552</v>
      </c>
      <c r="AE42" s="41" t="str">
        <f t="shared" si="23"/>
        <v>E</v>
      </c>
      <c r="AF42" s="24">
        <f t="shared" si="38"/>
        <v>0.4215994980186224</v>
      </c>
      <c r="AG42" s="41" t="str">
        <f t="shared" si="24"/>
        <v>0</v>
      </c>
      <c r="AH42" s="24">
        <f t="shared" si="39"/>
        <v>5.0591939762234688</v>
      </c>
      <c r="AI42" s="41" t="str">
        <f t="shared" si="25"/>
        <v/>
      </c>
      <c r="AJ42" s="24">
        <f t="shared" si="40"/>
        <v>0.71032771468162537</v>
      </c>
      <c r="AK42" s="41" t="str">
        <f t="shared" si="26"/>
        <v/>
      </c>
    </row>
    <row r="43" spans="1:37" ht="15" customHeight="1" x14ac:dyDescent="0.2">
      <c r="A43" s="581"/>
      <c r="B43" s="3" t="s">
        <v>1217</v>
      </c>
      <c r="C43" s="3" t="s">
        <v>61</v>
      </c>
      <c r="D43" s="21">
        <f>D39*1.0072764665789</f>
        <v>1.6726219259579541E-27</v>
      </c>
      <c r="E43" s="8">
        <v>10</v>
      </c>
      <c r="F43" s="21">
        <f>D43/F$8</f>
        <v>1.2676171938431308E-26</v>
      </c>
      <c r="G43" s="37" t="str">
        <f t="shared" ref="G43" si="42">M43&amp;";"&amp;O43&amp;Q43&amp;S43&amp;U43&amp;W43&amp;Y43&amp;AA43&amp;AC43&amp;AE43&amp;AG43&amp;AI43&amp;AK43</f>
        <v>1;0113EXE745</v>
      </c>
      <c r="H43" s="275">
        <f t="shared" ref="H43" si="43">K43*POWER(12,I43)/ROUND(K43*POWER(12,I43),0)-1</f>
        <v>7.7157037133843698E-3</v>
      </c>
      <c r="I43" s="278"/>
      <c r="J43" s="38">
        <v>-24</v>
      </c>
      <c r="K43" s="61">
        <f t="shared" ref="K43" si="44">F43/POWER(12,J43)</f>
        <v>1.0077157037133844</v>
      </c>
      <c r="L43" s="39" t="str">
        <f>INDEX(powers!$H$2:$H$75,33+J43)</f>
        <v>ter-atomic</v>
      </c>
      <c r="M43" s="40" t="str">
        <f t="shared" ref="M43" si="45">IF($E43&gt;=M$31,MID($J$31,IF($E43&gt;M$31,INT(K43),ROUND(K43,0))+1,1),"")</f>
        <v>1</v>
      </c>
      <c r="N43" s="24">
        <f t="shared" ref="N43" si="46">(K43-INT(K43))*12</f>
        <v>9.2588444560612437E-2</v>
      </c>
      <c r="O43" s="41" t="str">
        <f t="shared" ref="O43" si="47">IF($E43&gt;=O$31,MID($J$31,IF($E43&gt;O$31,INT(N43),ROUND(N43,0))+1,1),"")</f>
        <v>0</v>
      </c>
      <c r="P43" s="24">
        <f t="shared" ref="P43" si="48">(N43-INT(N43))*12</f>
        <v>1.1110613347273492</v>
      </c>
      <c r="Q43" s="41" t="str">
        <f t="shared" ref="Q43" si="49">IF($E43&gt;=Q$31,MID($J$31,IF($E43&gt;Q$31,INT(P43),ROUND(P43,0))+1,1),"")</f>
        <v>1</v>
      </c>
      <c r="R43" s="24">
        <f t="shared" ref="R43" si="50">(P43-INT(P43))*12</f>
        <v>1.332736016728191</v>
      </c>
      <c r="S43" s="41" t="str">
        <f t="shared" ref="S43" si="51">IF($E43&gt;=S$31,MID($J$31,IF($E43&gt;S$31,INT(R43),ROUND(R43,0))+1,1),"")</f>
        <v>1</v>
      </c>
      <c r="T43" s="24">
        <f t="shared" ref="T43" si="52">(R43-INT(R43))*12</f>
        <v>3.9928322007382917</v>
      </c>
      <c r="U43" s="41" t="str">
        <f t="shared" ref="U43" si="53">IF($E43&gt;=U$31,MID($J$31,IF($E43&gt;U$31,INT(T43),ROUND(T43,0))+1,1),"")</f>
        <v>3</v>
      </c>
      <c r="V43" s="24">
        <f t="shared" ref="V43" si="54">(T43-INT(T43))*12</f>
        <v>11.9139864088595</v>
      </c>
      <c r="W43" s="41" t="str">
        <f t="shared" ref="W43" si="55">IF($E43&gt;=W$31,MID($J$31,IF($E43&gt;W$31,INT(V43),ROUND(V43,0))+1,1),"")</f>
        <v>E</v>
      </c>
      <c r="X43" s="24">
        <f t="shared" ref="X43" si="56">(V43-INT(V43))*12</f>
        <v>10.967836906314005</v>
      </c>
      <c r="Y43" s="41" t="str">
        <f t="shared" ref="Y43" si="57">IF($E43&gt;=Y$31,MID($J$31,IF($E43&gt;Y$31,INT(X43),ROUND(X43,0))+1,1),"")</f>
        <v>X</v>
      </c>
      <c r="Z43" s="24">
        <f t="shared" ref="Z43" si="58">(X43-INT(X43))*12</f>
        <v>11.614042875768064</v>
      </c>
      <c r="AA43" s="41" t="str">
        <f t="shared" ref="AA43" si="59">IF($E43&gt;=AA$31,MID($J$31,IF($E43&gt;AA$31,INT(Z43),ROUND(Z43,0))+1,1),"")</f>
        <v>E</v>
      </c>
      <c r="AB43" s="24">
        <f t="shared" ref="AB43" si="60">(Z43-INT(Z43))*12</f>
        <v>7.3685145092167659</v>
      </c>
      <c r="AC43" s="41" t="str">
        <f t="shared" ref="AC43" si="61">IF($E43&gt;=AC$31,MID($J$31,IF($E43&gt;AC$31,INT(AB43),ROUND(AB43,0))+1,1),"")</f>
        <v>7</v>
      </c>
      <c r="AD43" s="24">
        <f t="shared" ref="AD43" si="62">(AB43-INT(AB43))*12</f>
        <v>4.4221741106011905</v>
      </c>
      <c r="AE43" s="41" t="str">
        <f t="shared" ref="AE43" si="63">IF($E43&gt;=AE$31,MID($J$31,IF($E43&gt;AE$31,INT(AD43),ROUND(AD43,0))+1,1),"")</f>
        <v>4</v>
      </c>
      <c r="AF43" s="24">
        <f t="shared" ref="AF43" si="64">(AD43-INT(AD43))*12</f>
        <v>5.0660893272142857</v>
      </c>
      <c r="AG43" s="41" t="str">
        <f t="shared" ref="AG43" si="65">IF($E43&gt;=AG$31,MID($J$31,IF($E43&gt;AG$31,INT(AF43),ROUND(AF43,0))+1,1),"")</f>
        <v>5</v>
      </c>
      <c r="AH43" s="24">
        <f t="shared" ref="AH43" si="66">(AF43-INT(AF43))*12</f>
        <v>0.79307192657142878</v>
      </c>
      <c r="AI43" s="41" t="str">
        <f t="shared" ref="AI43" si="67">IF($E43&gt;=AI$31,MID($J$31,IF($E43&gt;AI$31,INT(AH43),ROUND(AH43,0))+1,1),"")</f>
        <v/>
      </c>
      <c r="AJ43" s="24">
        <f t="shared" ref="AJ43" si="68">(AH43-INT(AH43))*12</f>
        <v>9.5168631188571453</v>
      </c>
      <c r="AK43" s="41" t="str">
        <f t="shared" ref="AK43" si="69">IF($E43&gt;=AK$31,MID($J$31,IF($E43&gt;AK$31,INT(AJ43),ROUND(AJ43,0))+1,1),"")</f>
        <v/>
      </c>
    </row>
    <row r="44" spans="1:37" ht="15" customHeight="1" x14ac:dyDescent="0.2">
      <c r="A44" s="581"/>
      <c r="B44" s="3" t="s">
        <v>8</v>
      </c>
      <c r="C44" s="3" t="s">
        <v>72</v>
      </c>
      <c r="D44" s="21">
        <f>gravitation!D34</f>
        <v>6.6742999999999994E-11</v>
      </c>
      <c r="E44" s="8">
        <v>5</v>
      </c>
      <c r="F44" s="21">
        <f>D44/(POWER(F$3/F$4,4)/F$10)</f>
        <v>6.6579537673993021E-11</v>
      </c>
      <c r="G44" s="37" t="str">
        <f t="shared" si="27"/>
        <v>4;15768</v>
      </c>
      <c r="H44" s="275">
        <f t="shared" si="28"/>
        <v>3.0607371006538875E-2</v>
      </c>
      <c r="I44" s="278"/>
      <c r="J44" s="38">
        <v>-10</v>
      </c>
      <c r="K44" s="61">
        <f t="shared" si="41"/>
        <v>4.1224294840261555</v>
      </c>
      <c r="L44" s="39" t="str">
        <f>INDEX(powers!$H$2:$H$75,33+J44)</f>
        <v>dino atomic</v>
      </c>
      <c r="M44" s="40" t="str">
        <f t="shared" si="14"/>
        <v>4</v>
      </c>
      <c r="N44" s="24">
        <f t="shared" si="29"/>
        <v>1.469153808313866</v>
      </c>
      <c r="O44" s="41" t="str">
        <f t="shared" si="15"/>
        <v>1</v>
      </c>
      <c r="P44" s="24">
        <f t="shared" si="30"/>
        <v>5.6298456997663919</v>
      </c>
      <c r="Q44" s="41" t="str">
        <f t="shared" si="16"/>
        <v>5</v>
      </c>
      <c r="R44" s="24">
        <f t="shared" si="31"/>
        <v>7.5581483971967032</v>
      </c>
      <c r="S44" s="41" t="str">
        <f t="shared" si="17"/>
        <v>7</v>
      </c>
      <c r="T44" s="24">
        <f t="shared" si="32"/>
        <v>6.6977807663604381</v>
      </c>
      <c r="U44" s="41" t="str">
        <f t="shared" si="18"/>
        <v>6</v>
      </c>
      <c r="V44" s="24">
        <f t="shared" si="33"/>
        <v>8.3733691963252568</v>
      </c>
      <c r="W44" s="41" t="str">
        <f t="shared" si="19"/>
        <v>8</v>
      </c>
      <c r="X44" s="24">
        <f t="shared" si="34"/>
        <v>4.4804303559030814</v>
      </c>
      <c r="Y44" s="41" t="str">
        <f t="shared" si="20"/>
        <v/>
      </c>
      <c r="Z44" s="24">
        <f t="shared" si="35"/>
        <v>5.7651642708369764</v>
      </c>
      <c r="AA44" s="41" t="str">
        <f t="shared" si="21"/>
        <v/>
      </c>
      <c r="AB44" s="24">
        <f t="shared" si="36"/>
        <v>9.1819712500437163</v>
      </c>
      <c r="AC44" s="41" t="str">
        <f t="shared" si="22"/>
        <v/>
      </c>
      <c r="AD44" s="24">
        <f t="shared" si="37"/>
        <v>2.1836550005245954</v>
      </c>
      <c r="AE44" s="41" t="str">
        <f t="shared" si="23"/>
        <v/>
      </c>
      <c r="AF44" s="24">
        <f t="shared" si="38"/>
        <v>2.2038600062951446</v>
      </c>
      <c r="AG44" s="41" t="str">
        <f t="shared" si="24"/>
        <v/>
      </c>
      <c r="AH44" s="24">
        <f t="shared" si="39"/>
        <v>2.4463200755417347</v>
      </c>
      <c r="AI44" s="41" t="str">
        <f t="shared" si="25"/>
        <v/>
      </c>
      <c r="AJ44" s="24">
        <f t="shared" si="40"/>
        <v>5.3558409065008163</v>
      </c>
      <c r="AK44" s="41" t="str">
        <f t="shared" si="26"/>
        <v/>
      </c>
    </row>
    <row r="45" spans="1:37" ht="15" customHeight="1" x14ac:dyDescent="0.2">
      <c r="A45" s="581"/>
      <c r="B45" s="3" t="s">
        <v>1219</v>
      </c>
      <c r="C45" s="3" t="s">
        <v>63</v>
      </c>
      <c r="D45" s="21">
        <f>POWER(D$35,4)/D$44</f>
        <v>1.2102555643382063E+44</v>
      </c>
      <c r="E45" s="8">
        <v>5</v>
      </c>
      <c r="F45" s="21">
        <f>D45/F$10</f>
        <v>5.1340382317672547E+44</v>
      </c>
      <c r="G45" s="37" t="str">
        <f t="shared" ref="G45:G46" si="70">M45&amp;";"&amp;O45&amp;Q45&amp;S45&amp;U45&amp;W45&amp;Y45&amp;AA45&amp;AC45&amp;AE45&amp;AG45&amp;AI45&amp;AK45</f>
        <v>2;XE206</v>
      </c>
      <c r="H45" s="276">
        <f t="shared" si="28"/>
        <v>-1.975478239712336E-3</v>
      </c>
      <c r="I45" s="284">
        <v>1</v>
      </c>
      <c r="J45" s="38">
        <v>41</v>
      </c>
      <c r="K45" s="61">
        <f t="shared" si="41"/>
        <v>2.9109048551341723</v>
      </c>
      <c r="L45" s="39" t="str">
        <f>INDEX(powers!$H$2:$H$75,33+J45)</f>
        <v>dozen penta-cosmic</v>
      </c>
      <c r="M45" s="40" t="str">
        <f t="shared" si="14"/>
        <v>2</v>
      </c>
      <c r="N45" s="24">
        <f t="shared" ref="N45:N46" si="71">(K45-INT(K45))*12</f>
        <v>10.930858261610068</v>
      </c>
      <c r="O45" s="41" t="str">
        <f t="shared" si="15"/>
        <v>X</v>
      </c>
      <c r="P45" s="24">
        <f t="shared" ref="P45:P46" si="72">(N45-INT(N45))*12</f>
        <v>11.170299139320811</v>
      </c>
      <c r="Q45" s="41" t="str">
        <f t="shared" si="16"/>
        <v>E</v>
      </c>
      <c r="R45" s="24">
        <f t="shared" ref="R45:R46" si="73">(P45-INT(P45))*12</f>
        <v>2.0435896718497304</v>
      </c>
      <c r="S45" s="41" t="str">
        <f t="shared" si="17"/>
        <v>2</v>
      </c>
      <c r="T45" s="24">
        <f t="shared" ref="T45:T46" si="74">(R45-INT(R45))*12</f>
        <v>0.52307606219676472</v>
      </c>
      <c r="U45" s="41" t="str">
        <f t="shared" si="18"/>
        <v>0</v>
      </c>
      <c r="V45" s="24">
        <f t="shared" ref="V45:V46" si="75">(T45-INT(T45))*12</f>
        <v>6.2769127463611767</v>
      </c>
      <c r="W45" s="41" t="str">
        <f t="shared" si="19"/>
        <v>6</v>
      </c>
      <c r="X45" s="24">
        <f t="shared" ref="X45:X46" si="76">(V45-INT(V45))*12</f>
        <v>3.3229529563341202</v>
      </c>
      <c r="Y45" s="41" t="str">
        <f t="shared" si="20"/>
        <v/>
      </c>
      <c r="Z45" s="24">
        <f t="shared" ref="Z45:Z46" si="77">(X45-INT(X45))*12</f>
        <v>3.8754354760094429</v>
      </c>
      <c r="AA45" s="41" t="str">
        <f t="shared" si="21"/>
        <v/>
      </c>
      <c r="AB45" s="24">
        <f t="shared" ref="AB45:AB46" si="78">(Z45-INT(Z45))*12</f>
        <v>10.505225712113315</v>
      </c>
      <c r="AC45" s="41" t="str">
        <f t="shared" si="22"/>
        <v/>
      </c>
      <c r="AD45" s="24">
        <f t="shared" ref="AD45:AD46" si="79">(AB45-INT(AB45))*12</f>
        <v>6.0627085453597829</v>
      </c>
      <c r="AE45" s="41" t="str">
        <f t="shared" si="23"/>
        <v/>
      </c>
      <c r="AF45" s="24">
        <f t="shared" ref="AF45:AF46" si="80">(AD45-INT(AD45))*12</f>
        <v>0.7525025443173945</v>
      </c>
      <c r="AG45" s="41" t="str">
        <f t="shared" si="24"/>
        <v/>
      </c>
      <c r="AH45" s="24">
        <f t="shared" ref="AH45:AH46" si="81">(AF45-INT(AF45))*12</f>
        <v>9.0300305318087339</v>
      </c>
      <c r="AI45" s="41" t="str">
        <f t="shared" si="25"/>
        <v/>
      </c>
      <c r="AJ45" s="24">
        <f t="shared" ref="AJ45:AJ46" si="82">(AH45-INT(AH45))*12</f>
        <v>0.36036638170480728</v>
      </c>
      <c r="AK45" s="41" t="str">
        <f t="shared" si="26"/>
        <v/>
      </c>
    </row>
    <row r="46" spans="1:37" ht="15" customHeight="1" x14ac:dyDescent="0.2">
      <c r="A46" s="581"/>
      <c r="B46" s="3" t="s">
        <v>1159</v>
      </c>
      <c r="C46" s="3" t="s">
        <v>629</v>
      </c>
      <c r="D46" s="21">
        <f>D$47*SQRT(35)</f>
        <v>9.5618936743262592E-35</v>
      </c>
      <c r="E46" s="8">
        <v>5</v>
      </c>
      <c r="F46" s="21">
        <f>D46/F$3</f>
        <v>3.514072897420576E-34</v>
      </c>
      <c r="G46" s="37" t="str">
        <f t="shared" si="70"/>
        <v>1;00186</v>
      </c>
      <c r="H46" s="275">
        <f t="shared" si="28"/>
        <v>9.8920497604759738E-4</v>
      </c>
      <c r="I46" s="278"/>
      <c r="J46" s="38">
        <v>-31</v>
      </c>
      <c r="K46" s="61">
        <f t="shared" si="41"/>
        <v>1.0009892049760476</v>
      </c>
      <c r="L46" s="39" t="str">
        <f>INDEX(powers!$H$2:$H$75,33+J46)</f>
        <v>dozen tetra-atomic</v>
      </c>
      <c r="M46" s="40" t="str">
        <f t="shared" si="14"/>
        <v>1</v>
      </c>
      <c r="N46" s="24">
        <f t="shared" si="71"/>
        <v>1.1870459712571169E-2</v>
      </c>
      <c r="O46" s="41" t="str">
        <f t="shared" si="15"/>
        <v>0</v>
      </c>
      <c r="P46" s="24">
        <f t="shared" si="72"/>
        <v>0.14244551655085402</v>
      </c>
      <c r="Q46" s="41" t="str">
        <f t="shared" si="16"/>
        <v>0</v>
      </c>
      <c r="R46" s="24">
        <f t="shared" si="73"/>
        <v>1.7093461986102483</v>
      </c>
      <c r="S46" s="41" t="str">
        <f t="shared" si="17"/>
        <v>1</v>
      </c>
      <c r="T46" s="24">
        <f t="shared" si="74"/>
        <v>8.5121543833229794</v>
      </c>
      <c r="U46" s="41" t="str">
        <f t="shared" si="18"/>
        <v>8</v>
      </c>
      <c r="V46" s="24">
        <f t="shared" si="75"/>
        <v>6.1458525998757523</v>
      </c>
      <c r="W46" s="41" t="str">
        <f t="shared" si="19"/>
        <v>6</v>
      </c>
      <c r="X46" s="24">
        <f t="shared" si="76"/>
        <v>1.7502311985090273</v>
      </c>
      <c r="Y46" s="41" t="str">
        <f t="shared" si="20"/>
        <v/>
      </c>
      <c r="Z46" s="24">
        <f t="shared" si="77"/>
        <v>9.0027743821083277</v>
      </c>
      <c r="AA46" s="41" t="str">
        <f t="shared" si="21"/>
        <v/>
      </c>
      <c r="AB46" s="24">
        <f t="shared" si="78"/>
        <v>3.3292585299932398E-2</v>
      </c>
      <c r="AC46" s="41" t="str">
        <f t="shared" si="22"/>
        <v/>
      </c>
      <c r="AD46" s="24">
        <f t="shared" si="79"/>
        <v>0.39951102359918877</v>
      </c>
      <c r="AE46" s="41" t="str">
        <f t="shared" si="23"/>
        <v/>
      </c>
      <c r="AF46" s="24">
        <f t="shared" si="80"/>
        <v>4.7941322831902653</v>
      </c>
      <c r="AG46" s="41" t="str">
        <f t="shared" si="24"/>
        <v/>
      </c>
      <c r="AH46" s="24">
        <f t="shared" si="81"/>
        <v>9.5295873982831836</v>
      </c>
      <c r="AI46" s="41" t="str">
        <f t="shared" si="25"/>
        <v/>
      </c>
      <c r="AJ46" s="24">
        <f t="shared" si="82"/>
        <v>6.3550487793982029</v>
      </c>
      <c r="AK46" s="41" t="str">
        <f t="shared" si="26"/>
        <v/>
      </c>
    </row>
    <row r="47" spans="1:37" ht="15" customHeight="1" x14ac:dyDescent="0.2">
      <c r="A47" s="581"/>
      <c r="B47" s="3" t="s">
        <v>29</v>
      </c>
      <c r="C47" s="3" t="s">
        <v>57</v>
      </c>
      <c r="D47" s="21">
        <f>SQRT(D36*D44/D35/D35/D35)</f>
        <v>1.6162550244237053E-35</v>
      </c>
      <c r="E47" s="8">
        <v>5</v>
      </c>
      <c r="F47" s="21">
        <f>D47/F$3</f>
        <v>5.9398673213623314E-35</v>
      </c>
      <c r="G47" s="37" t="str">
        <f t="shared" si="27"/>
        <v>2;0445E</v>
      </c>
      <c r="H47" s="275">
        <f t="shared" si="28"/>
        <v>1.518834262738622E-2</v>
      </c>
      <c r="I47" s="278"/>
      <c r="J47" s="38">
        <v>-32</v>
      </c>
      <c r="K47" s="61">
        <f t="shared" si="41"/>
        <v>2.0303766852547724</v>
      </c>
      <c r="L47" s="39" t="str">
        <f>INDEX(powers!$H$2:$H$75,33+J47)</f>
        <v>tetra-atomic</v>
      </c>
      <c r="M47" s="40" t="str">
        <f t="shared" si="14"/>
        <v>2</v>
      </c>
      <c r="N47" s="24">
        <f t="shared" si="29"/>
        <v>0.36452022305726928</v>
      </c>
      <c r="O47" s="41" t="str">
        <f t="shared" si="15"/>
        <v>0</v>
      </c>
      <c r="P47" s="24">
        <f t="shared" si="30"/>
        <v>4.3742426766872313</v>
      </c>
      <c r="Q47" s="41" t="str">
        <f t="shared" si="16"/>
        <v>4</v>
      </c>
      <c r="R47" s="24">
        <f t="shared" si="31"/>
        <v>4.4909121202467759</v>
      </c>
      <c r="S47" s="41" t="str">
        <f t="shared" si="17"/>
        <v>4</v>
      </c>
      <c r="T47" s="24">
        <f t="shared" si="32"/>
        <v>5.8909454429613106</v>
      </c>
      <c r="U47" s="41" t="str">
        <f t="shared" si="18"/>
        <v>5</v>
      </c>
      <c r="V47" s="24">
        <f t="shared" si="33"/>
        <v>10.691345315535727</v>
      </c>
      <c r="W47" s="41" t="str">
        <f t="shared" si="19"/>
        <v>E</v>
      </c>
      <c r="X47" s="24">
        <f t="shared" si="34"/>
        <v>8.2961437864287291</v>
      </c>
      <c r="Y47" s="41" t="str">
        <f t="shared" si="20"/>
        <v/>
      </c>
      <c r="Z47" s="24">
        <f t="shared" si="35"/>
        <v>3.5537254371447489</v>
      </c>
      <c r="AA47" s="41" t="str">
        <f t="shared" si="21"/>
        <v/>
      </c>
      <c r="AB47" s="24">
        <f t="shared" si="36"/>
        <v>6.6447052457369864</v>
      </c>
      <c r="AC47" s="41" t="str">
        <f t="shared" si="22"/>
        <v/>
      </c>
      <c r="AD47" s="24">
        <f t="shared" si="37"/>
        <v>7.7364629488438368</v>
      </c>
      <c r="AE47" s="41" t="str">
        <f t="shared" si="23"/>
        <v/>
      </c>
      <c r="AF47" s="24">
        <f t="shared" si="38"/>
        <v>8.8375553861260414</v>
      </c>
      <c r="AG47" s="41" t="str">
        <f t="shared" si="24"/>
        <v/>
      </c>
      <c r="AH47" s="24">
        <f t="shared" si="39"/>
        <v>10.050664633512497</v>
      </c>
      <c r="AI47" s="41" t="str">
        <f t="shared" si="25"/>
        <v/>
      </c>
      <c r="AJ47" s="24">
        <f t="shared" si="40"/>
        <v>0.60797560214996338</v>
      </c>
      <c r="AK47" s="41" t="str">
        <f t="shared" si="26"/>
        <v/>
      </c>
    </row>
    <row r="48" spans="1:37" ht="15" customHeight="1" x14ac:dyDescent="0.2">
      <c r="A48" s="581"/>
      <c r="B48" s="3" t="s">
        <v>9</v>
      </c>
      <c r="C48" s="3" t="s">
        <v>57</v>
      </c>
      <c r="D48" s="21">
        <f>D47/SQRT(D$32)</f>
        <v>1.8920265367777891E-34</v>
      </c>
      <c r="E48" s="8">
        <v>5</v>
      </c>
      <c r="F48" s="21">
        <f>D48/F$3</f>
        <v>6.9533498285420112E-34</v>
      </c>
      <c r="G48" s="37" t="str">
        <f t="shared" si="27"/>
        <v>1;E9273</v>
      </c>
      <c r="H48" s="275">
        <f t="shared" si="28"/>
        <v>-9.6636694842615611E-3</v>
      </c>
      <c r="I48" s="278"/>
      <c r="J48" s="38">
        <v>-31</v>
      </c>
      <c r="K48" s="61">
        <f t="shared" si="41"/>
        <v>1.9806726610314769</v>
      </c>
      <c r="L48" s="39" t="str">
        <f>INDEX(powers!$H$2:$H$75,33+J48)</f>
        <v>dozen tetra-atomic</v>
      </c>
      <c r="M48" s="40" t="str">
        <f t="shared" si="14"/>
        <v>1</v>
      </c>
      <c r="N48" s="24">
        <f t="shared" si="29"/>
        <v>11.768071932377723</v>
      </c>
      <c r="O48" s="41" t="str">
        <f t="shared" si="15"/>
        <v>E</v>
      </c>
      <c r="P48" s="24">
        <f t="shared" si="30"/>
        <v>9.2168631885326704</v>
      </c>
      <c r="Q48" s="41" t="str">
        <f t="shared" si="16"/>
        <v>9</v>
      </c>
      <c r="R48" s="24">
        <f t="shared" si="31"/>
        <v>2.6023582623920447</v>
      </c>
      <c r="S48" s="41" t="str">
        <f t="shared" si="17"/>
        <v>2</v>
      </c>
      <c r="T48" s="24">
        <f t="shared" si="32"/>
        <v>7.2282991487045365</v>
      </c>
      <c r="U48" s="41" t="str">
        <f t="shared" si="18"/>
        <v>7</v>
      </c>
      <c r="V48" s="24">
        <f t="shared" si="33"/>
        <v>2.7395897844544379</v>
      </c>
      <c r="W48" s="41" t="str">
        <f t="shared" si="19"/>
        <v>3</v>
      </c>
      <c r="X48" s="24">
        <f t="shared" si="34"/>
        <v>8.8750774134532548</v>
      </c>
      <c r="Y48" s="41" t="str">
        <f t="shared" si="20"/>
        <v/>
      </c>
      <c r="Z48" s="24">
        <f t="shared" si="35"/>
        <v>10.500928961439058</v>
      </c>
      <c r="AA48" s="41" t="str">
        <f t="shared" si="21"/>
        <v/>
      </c>
      <c r="AB48" s="24">
        <f t="shared" si="36"/>
        <v>6.0111475372686982</v>
      </c>
      <c r="AC48" s="41" t="str">
        <f t="shared" si="22"/>
        <v/>
      </c>
      <c r="AD48" s="24">
        <f t="shared" si="37"/>
        <v>0.13377044722437859</v>
      </c>
      <c r="AE48" s="41" t="str">
        <f t="shared" si="23"/>
        <v/>
      </c>
      <c r="AF48" s="24">
        <f t="shared" si="38"/>
        <v>1.605245366692543</v>
      </c>
      <c r="AG48" s="41" t="str">
        <f t="shared" si="24"/>
        <v/>
      </c>
      <c r="AH48" s="24">
        <f t="shared" si="39"/>
        <v>7.2629444003105164</v>
      </c>
      <c r="AI48" s="41" t="str">
        <f t="shared" si="25"/>
        <v/>
      </c>
      <c r="AJ48" s="24">
        <f t="shared" si="40"/>
        <v>3.1553328037261963</v>
      </c>
      <c r="AK48" s="41" t="str">
        <f t="shared" si="26"/>
        <v/>
      </c>
    </row>
    <row r="49" spans="1:37" ht="15" customHeight="1" x14ac:dyDescent="0.2">
      <c r="A49" s="581"/>
      <c r="B49" s="3" t="s">
        <v>1160</v>
      </c>
      <c r="C49" s="64" t="s">
        <v>76</v>
      </c>
      <c r="D49" s="21">
        <f>PI()*PI()*POWER(D$37,4)/(60*POWER(D$36,3)*POWER(D$35,2))</f>
        <v>5.6703744191844301E-8</v>
      </c>
      <c r="E49" s="8">
        <v>10</v>
      </c>
      <c r="F49" s="21">
        <f>D49/(F$9*POWER(F$3,-2)*POWER(F$6,-4))</f>
        <v>2.979621380708558E-25</v>
      </c>
      <c r="G49" s="37" t="str">
        <f t="shared" si="27"/>
        <v>1;E82E281EX2</v>
      </c>
      <c r="H49" s="275">
        <f t="shared" si="28"/>
        <v>-1.3039559891063868E-2</v>
      </c>
      <c r="I49" s="278"/>
      <c r="J49" s="131">
        <v>-23</v>
      </c>
      <c r="K49" s="61">
        <f t="shared" si="41"/>
        <v>1.9739208802178723</v>
      </c>
      <c r="L49" s="134" t="str">
        <f>INDEX(powers!$H$2:$H$75,33+J49)</f>
        <v>dozen ter-atomic</v>
      </c>
      <c r="M49" s="40" t="str">
        <f t="shared" si="14"/>
        <v>1</v>
      </c>
      <c r="N49" s="24">
        <f t="shared" si="29"/>
        <v>11.687050562614466</v>
      </c>
      <c r="O49" s="41" t="str">
        <f t="shared" si="15"/>
        <v>E</v>
      </c>
      <c r="P49" s="24">
        <f t="shared" si="30"/>
        <v>8.2446067513735954</v>
      </c>
      <c r="Q49" s="41" t="str">
        <f t="shared" si="16"/>
        <v>8</v>
      </c>
      <c r="R49" s="24">
        <f t="shared" si="31"/>
        <v>2.9352810164831453</v>
      </c>
      <c r="S49" s="41" t="str">
        <f t="shared" si="17"/>
        <v>2</v>
      </c>
      <c r="T49" s="24">
        <f t="shared" si="32"/>
        <v>11.223372197797744</v>
      </c>
      <c r="U49" s="41" t="str">
        <f t="shared" si="18"/>
        <v>E</v>
      </c>
      <c r="V49" s="24">
        <f t="shared" si="33"/>
        <v>2.6804663735729264</v>
      </c>
      <c r="W49" s="41" t="str">
        <f t="shared" si="19"/>
        <v>2</v>
      </c>
      <c r="X49" s="24">
        <f t="shared" si="34"/>
        <v>8.1655964828751166</v>
      </c>
      <c r="Y49" s="41" t="str">
        <f t="shared" si="20"/>
        <v>8</v>
      </c>
      <c r="Z49" s="24">
        <f t="shared" si="35"/>
        <v>1.9871577945013996</v>
      </c>
      <c r="AA49" s="41" t="str">
        <f t="shared" si="21"/>
        <v>1</v>
      </c>
      <c r="AB49" s="24">
        <f t="shared" si="36"/>
        <v>11.845893534016795</v>
      </c>
      <c r="AC49" s="41" t="str">
        <f t="shared" si="22"/>
        <v>E</v>
      </c>
      <c r="AD49" s="24">
        <f t="shared" si="37"/>
        <v>10.150722408201545</v>
      </c>
      <c r="AE49" s="41" t="str">
        <f t="shared" si="23"/>
        <v>X</v>
      </c>
      <c r="AF49" s="24">
        <f t="shared" si="38"/>
        <v>1.8086688984185457</v>
      </c>
      <c r="AG49" s="41" t="str">
        <f t="shared" si="24"/>
        <v>2</v>
      </c>
      <c r="AH49" s="24">
        <f t="shared" si="39"/>
        <v>9.7040267810225487</v>
      </c>
      <c r="AI49" s="41" t="str">
        <f t="shared" si="25"/>
        <v/>
      </c>
      <c r="AJ49" s="24">
        <f t="shared" si="40"/>
        <v>8.4483213722705841</v>
      </c>
      <c r="AK49" s="41" t="str">
        <f t="shared" si="26"/>
        <v/>
      </c>
    </row>
    <row r="50" spans="1:37" ht="15" customHeight="1" x14ac:dyDescent="0.2">
      <c r="A50" s="581"/>
      <c r="B50" s="3" t="s">
        <v>13</v>
      </c>
      <c r="C50" s="3" t="s">
        <v>109</v>
      </c>
      <c r="D50" s="21">
        <f>D$49*POWER(273.15,4)</f>
        <v>315.65782231107141</v>
      </c>
      <c r="E50" s="8">
        <v>6</v>
      </c>
      <c r="F50" s="21">
        <f>D50/(F$9*POWER(F$3,-2))</f>
        <v>142.19820665099198</v>
      </c>
      <c r="G50" s="37" t="str">
        <f t="shared" si="27"/>
        <v>0;EX2466</v>
      </c>
      <c r="H50" s="275">
        <f t="shared" si="28"/>
        <v>-1.2512453812555724E-2</v>
      </c>
      <c r="I50" s="278"/>
      <c r="J50" s="38">
        <v>2</v>
      </c>
      <c r="K50" s="61">
        <f t="shared" si="41"/>
        <v>0.98748754618744428</v>
      </c>
      <c r="L50" s="39" t="str">
        <f>INDEX(powers!$H$2:$H$75,33+J50)</f>
        <v>gross</v>
      </c>
      <c r="M50" s="40" t="str">
        <f t="shared" si="14"/>
        <v>0</v>
      </c>
      <c r="N50" s="24">
        <f t="shared" si="29"/>
        <v>11.849850554249331</v>
      </c>
      <c r="O50" s="41" t="str">
        <f t="shared" si="15"/>
        <v>E</v>
      </c>
      <c r="P50" s="24">
        <f t="shared" si="30"/>
        <v>10.19820665099197</v>
      </c>
      <c r="Q50" s="41" t="str">
        <f t="shared" si="16"/>
        <v>X</v>
      </c>
      <c r="R50" s="24">
        <f t="shared" si="31"/>
        <v>2.3784798119036452</v>
      </c>
      <c r="S50" s="41" t="str">
        <f t="shared" si="17"/>
        <v>2</v>
      </c>
      <c r="T50" s="24">
        <f t="shared" si="32"/>
        <v>4.5417577428437426</v>
      </c>
      <c r="U50" s="41" t="str">
        <f t="shared" si="18"/>
        <v>4</v>
      </c>
      <c r="V50" s="24">
        <f t="shared" si="33"/>
        <v>6.5010929141249107</v>
      </c>
      <c r="W50" s="41" t="str">
        <f t="shared" si="19"/>
        <v>6</v>
      </c>
      <c r="X50" s="24">
        <f t="shared" si="34"/>
        <v>6.013114969498929</v>
      </c>
      <c r="Y50" s="41" t="str">
        <f t="shared" si="20"/>
        <v>6</v>
      </c>
      <c r="Z50" s="24">
        <f t="shared" si="35"/>
        <v>0.15737963398714783</v>
      </c>
      <c r="AA50" s="41" t="str">
        <f t="shared" si="21"/>
        <v/>
      </c>
      <c r="AB50" s="24">
        <f t="shared" si="36"/>
        <v>1.8885556078457739</v>
      </c>
      <c r="AC50" s="41" t="str">
        <f t="shared" si="22"/>
        <v/>
      </c>
      <c r="AD50" s="24">
        <f t="shared" si="37"/>
        <v>10.662667294149287</v>
      </c>
      <c r="AE50" s="41" t="str">
        <f t="shared" si="23"/>
        <v/>
      </c>
      <c r="AF50" s="24">
        <f t="shared" si="38"/>
        <v>7.9520075297914445</v>
      </c>
      <c r="AG50" s="41" t="str">
        <f t="shared" si="24"/>
        <v/>
      </c>
      <c r="AH50" s="24">
        <f t="shared" si="39"/>
        <v>11.424090357497334</v>
      </c>
      <c r="AI50" s="41" t="str">
        <f t="shared" si="25"/>
        <v/>
      </c>
      <c r="AJ50" s="24">
        <f t="shared" si="40"/>
        <v>5.0890842899680138</v>
      </c>
      <c r="AK50" s="41" t="str">
        <f t="shared" si="26"/>
        <v/>
      </c>
    </row>
    <row r="51" spans="1:37" ht="15" customHeight="1" x14ac:dyDescent="0.2">
      <c r="A51" s="581"/>
      <c r="B51" s="3" t="s">
        <v>93</v>
      </c>
      <c r="C51" s="3" t="s">
        <v>59</v>
      </c>
      <c r="D51" s="21">
        <v>273.16000000000003</v>
      </c>
      <c r="E51" s="8">
        <v>6</v>
      </c>
      <c r="F51" s="21">
        <f>D51/F$6</f>
        <v>4674112.4722522944</v>
      </c>
      <c r="G51" s="37" t="str">
        <f t="shared" si="27"/>
        <v>1;694E14</v>
      </c>
      <c r="H51" s="275"/>
      <c r="I51" s="278"/>
      <c r="J51" s="131">
        <v>6</v>
      </c>
      <c r="K51" s="61">
        <f t="shared" si="41"/>
        <v>1.5653508097338413</v>
      </c>
      <c r="L51" s="134" t="str">
        <f>INDEX(powers!$H$2:$H$75,33+J51)</f>
        <v>dino cosmic</v>
      </c>
      <c r="M51" s="40" t="str">
        <f t="shared" si="14"/>
        <v>1</v>
      </c>
      <c r="N51" s="24">
        <f t="shared" si="29"/>
        <v>6.784209716806096</v>
      </c>
      <c r="O51" s="41" t="str">
        <f t="shared" si="15"/>
        <v>6</v>
      </c>
      <c r="P51" s="24">
        <f t="shared" si="30"/>
        <v>9.4105166016731516</v>
      </c>
      <c r="Q51" s="41" t="str">
        <f t="shared" si="16"/>
        <v>9</v>
      </c>
      <c r="R51" s="24">
        <f t="shared" si="31"/>
        <v>4.9261992200778195</v>
      </c>
      <c r="S51" s="41" t="str">
        <f t="shared" si="17"/>
        <v>4</v>
      </c>
      <c r="T51" s="24">
        <f t="shared" si="32"/>
        <v>11.114390640933834</v>
      </c>
      <c r="U51" s="41" t="str">
        <f t="shared" si="18"/>
        <v>E</v>
      </c>
      <c r="V51" s="24">
        <f t="shared" si="33"/>
        <v>1.3726876912060106</v>
      </c>
      <c r="W51" s="41" t="str">
        <f t="shared" si="19"/>
        <v>1</v>
      </c>
      <c r="X51" s="24">
        <f t="shared" si="34"/>
        <v>4.4722522944721277</v>
      </c>
      <c r="Y51" s="41" t="str">
        <f t="shared" si="20"/>
        <v>4</v>
      </c>
      <c r="Z51" s="24">
        <f t="shared" si="35"/>
        <v>5.6670275336655322</v>
      </c>
      <c r="AA51" s="41" t="str">
        <f t="shared" si="21"/>
        <v/>
      </c>
      <c r="AB51" s="24">
        <f t="shared" si="36"/>
        <v>8.004330403986387</v>
      </c>
      <c r="AC51" s="41" t="str">
        <f t="shared" si="22"/>
        <v/>
      </c>
      <c r="AD51" s="24">
        <f t="shared" si="37"/>
        <v>5.1964847836643457E-2</v>
      </c>
      <c r="AE51" s="41" t="str">
        <f t="shared" si="23"/>
        <v/>
      </c>
      <c r="AF51" s="24">
        <f t="shared" si="38"/>
        <v>0.62357817403972149</v>
      </c>
      <c r="AG51" s="41" t="str">
        <f t="shared" si="24"/>
        <v/>
      </c>
      <c r="AH51" s="24">
        <f t="shared" si="39"/>
        <v>7.4829380884766579</v>
      </c>
      <c r="AI51" s="41" t="str">
        <f t="shared" si="25"/>
        <v/>
      </c>
      <c r="AJ51" s="24">
        <f t="shared" si="40"/>
        <v>5.7952570617198944</v>
      </c>
      <c r="AK51" s="41" t="str">
        <f t="shared" si="26"/>
        <v/>
      </c>
    </row>
    <row r="52" spans="1:37" ht="15" customHeight="1" x14ac:dyDescent="0.2">
      <c r="A52" s="581"/>
      <c r="B52" s="3" t="s">
        <v>14</v>
      </c>
      <c r="C52" s="3" t="s">
        <v>73</v>
      </c>
      <c r="D52" s="21">
        <v>2.2413969539999998E-2</v>
      </c>
      <c r="E52" s="8">
        <v>6</v>
      </c>
      <c r="F52" s="21">
        <f>D52/(POWER(F$3,3)/F$7)</f>
        <v>146.86501332909</v>
      </c>
      <c r="G52" s="37" t="str">
        <f t="shared" ref="G52:G53" si="83">M52&amp;";"&amp;O52&amp;Q52&amp;S52&amp;U52&amp;W52&amp;Y52&amp;AA52&amp;AC52&amp;AE52&amp;AG52&amp;AI52&amp;AK52</f>
        <v>1;02X469</v>
      </c>
      <c r="H52" s="275">
        <f>K52*POWER(12,I52)/ROUND(K52*POWER(12,I52),0)-1</f>
        <v>1.9895925896458388E-2</v>
      </c>
      <c r="I52" s="278"/>
      <c r="J52" s="38">
        <v>2</v>
      </c>
      <c r="K52" s="61">
        <f t="shared" si="41"/>
        <v>1.0198959258964584</v>
      </c>
      <c r="L52" s="39" t="str">
        <f>INDEX(powers!$H$2:$H$75,33+J52)</f>
        <v>gross</v>
      </c>
      <c r="M52" s="40" t="str">
        <f t="shared" si="14"/>
        <v>1</v>
      </c>
      <c r="N52" s="24">
        <f t="shared" ref="N52:N53" si="84">(K52-INT(K52))*12</f>
        <v>0.23875111075750066</v>
      </c>
      <c r="O52" s="41" t="str">
        <f t="shared" si="15"/>
        <v>0</v>
      </c>
      <c r="P52" s="24">
        <f t="shared" ref="P52:P53" si="85">(N52-INT(N52))*12</f>
        <v>2.8650133290900079</v>
      </c>
      <c r="Q52" s="41" t="str">
        <f t="shared" si="16"/>
        <v>2</v>
      </c>
      <c r="R52" s="24">
        <f t="shared" ref="R52:R53" si="86">(P52-INT(P52))*12</f>
        <v>10.380159949080095</v>
      </c>
      <c r="S52" s="41" t="str">
        <f t="shared" si="17"/>
        <v>X</v>
      </c>
      <c r="T52" s="24">
        <f t="shared" ref="T52:T53" si="87">(R52-INT(R52))*12</f>
        <v>4.5619193889611438</v>
      </c>
      <c r="U52" s="41" t="str">
        <f t="shared" si="18"/>
        <v>4</v>
      </c>
      <c r="V52" s="24">
        <f t="shared" ref="V52:V53" si="88">(T52-INT(T52))*12</f>
        <v>6.7430326675337255</v>
      </c>
      <c r="W52" s="41" t="str">
        <f t="shared" si="19"/>
        <v>6</v>
      </c>
      <c r="X52" s="24">
        <f t="shared" ref="X52:X53" si="89">(V52-INT(V52))*12</f>
        <v>8.9163920104047065</v>
      </c>
      <c r="Y52" s="41" t="str">
        <f t="shared" si="20"/>
        <v>9</v>
      </c>
      <c r="Z52" s="24">
        <f t="shared" ref="Z52:Z53" si="90">(X52-INT(X52))*12</f>
        <v>10.996704124856478</v>
      </c>
      <c r="AA52" s="41" t="str">
        <f t="shared" si="21"/>
        <v/>
      </c>
      <c r="AB52" s="24">
        <f t="shared" ref="AB52:AB53" si="91">(Z52-INT(Z52))*12</f>
        <v>11.96044949827774</v>
      </c>
      <c r="AC52" s="41" t="str">
        <f t="shared" si="22"/>
        <v/>
      </c>
      <c r="AD52" s="24">
        <f t="shared" ref="AD52:AD53" si="92">(AB52-INT(AB52))*12</f>
        <v>11.525393979332875</v>
      </c>
      <c r="AE52" s="41" t="str">
        <f t="shared" si="23"/>
        <v/>
      </c>
      <c r="AF52" s="24">
        <f t="shared" ref="AF52:AF53" si="93">(AD52-INT(AD52))*12</f>
        <v>6.3047277519945055</v>
      </c>
      <c r="AG52" s="41" t="str">
        <f t="shared" si="24"/>
        <v/>
      </c>
      <c r="AH52" s="24">
        <f t="shared" ref="AH52:AH53" si="94">(AF52-INT(AF52))*12</f>
        <v>3.6567330239340663</v>
      </c>
      <c r="AI52" s="41" t="str">
        <f t="shared" si="25"/>
        <v/>
      </c>
      <c r="AJ52" s="24">
        <f t="shared" ref="AJ52:AJ53" si="95">(AH52-INT(AH52))*12</f>
        <v>7.8807962872087955</v>
      </c>
      <c r="AK52" s="41" t="str">
        <f t="shared" si="26"/>
        <v/>
      </c>
    </row>
    <row r="53" spans="1:37" ht="15" customHeight="1" x14ac:dyDescent="0.2">
      <c r="A53" s="581"/>
      <c r="B53" s="67" t="s">
        <v>111</v>
      </c>
      <c r="C53" s="3" t="s">
        <v>112</v>
      </c>
      <c r="D53" s="21">
        <f>SQRT(0.00000001008)</f>
        <v>1.0039920318408906E-4</v>
      </c>
      <c r="E53" s="8">
        <v>4</v>
      </c>
      <c r="F53" s="21">
        <f>-LOG(D$53/(F$7*POWER(F$3,-3)))/LOG(12)</f>
        <v>7.2412945779044104</v>
      </c>
      <c r="G53" s="37" t="str">
        <f t="shared" si="83"/>
        <v>7;2X8E</v>
      </c>
      <c r="H53" s="275"/>
      <c r="I53" s="278"/>
      <c r="J53" s="38">
        <v>0</v>
      </c>
      <c r="K53" s="61">
        <f t="shared" si="41"/>
        <v>7.2412945779044104</v>
      </c>
      <c r="L53" s="39" t="str">
        <f>INDEX(powers!$H$2:$H$75,33+J53)</f>
        <v xml:space="preserve"> </v>
      </c>
      <c r="M53" s="40" t="str">
        <f t="shared" si="14"/>
        <v>7</v>
      </c>
      <c r="N53" s="24">
        <f t="shared" si="84"/>
        <v>2.8955349348529253</v>
      </c>
      <c r="O53" s="41" t="str">
        <f t="shared" si="15"/>
        <v>2</v>
      </c>
      <c r="P53" s="24">
        <f t="shared" si="85"/>
        <v>10.746419218235104</v>
      </c>
      <c r="Q53" s="41" t="str">
        <f t="shared" si="16"/>
        <v>X</v>
      </c>
      <c r="R53" s="24">
        <f t="shared" si="86"/>
        <v>8.9570306188212498</v>
      </c>
      <c r="S53" s="41" t="str">
        <f t="shared" si="17"/>
        <v>8</v>
      </c>
      <c r="T53" s="24">
        <f t="shared" si="87"/>
        <v>11.484367425854998</v>
      </c>
      <c r="U53" s="41" t="str">
        <f t="shared" si="18"/>
        <v>E</v>
      </c>
      <c r="V53" s="24">
        <f t="shared" si="88"/>
        <v>5.8124091102599778</v>
      </c>
      <c r="W53" s="41" t="str">
        <f t="shared" si="19"/>
        <v/>
      </c>
      <c r="X53" s="24">
        <f t="shared" si="89"/>
        <v>9.748909323119733</v>
      </c>
      <c r="Y53" s="41" t="str">
        <f t="shared" si="20"/>
        <v/>
      </c>
      <c r="Z53" s="24">
        <f t="shared" si="90"/>
        <v>8.9869118774367962</v>
      </c>
      <c r="AA53" s="41" t="str">
        <f t="shared" si="21"/>
        <v/>
      </c>
      <c r="AB53" s="24">
        <f t="shared" si="91"/>
        <v>11.842942529241554</v>
      </c>
      <c r="AC53" s="41" t="str">
        <f t="shared" si="22"/>
        <v/>
      </c>
      <c r="AD53" s="24">
        <f t="shared" si="92"/>
        <v>10.115310350898653</v>
      </c>
      <c r="AE53" s="41" t="str">
        <f t="shared" si="23"/>
        <v/>
      </c>
      <c r="AF53" s="24">
        <f t="shared" si="93"/>
        <v>1.3837242107838392</v>
      </c>
      <c r="AG53" s="41" t="str">
        <f t="shared" si="24"/>
        <v/>
      </c>
      <c r="AH53" s="24">
        <f t="shared" si="94"/>
        <v>4.6046905294060707</v>
      </c>
      <c r="AI53" s="41" t="str">
        <f t="shared" si="25"/>
        <v/>
      </c>
      <c r="AJ53" s="24">
        <f t="shared" si="95"/>
        <v>7.2562863528728485</v>
      </c>
      <c r="AK53" s="41" t="str">
        <f t="shared" si="26"/>
        <v/>
      </c>
    </row>
    <row r="54" spans="1:37" ht="15" customHeight="1" x14ac:dyDescent="0.2">
      <c r="A54" s="581"/>
      <c r="B54" s="3" t="s">
        <v>10</v>
      </c>
      <c r="C54" s="3" t="s">
        <v>74</v>
      </c>
      <c r="D54" s="21">
        <v>999.97199999999998</v>
      </c>
      <c r="E54" s="8">
        <v>6</v>
      </c>
      <c r="F54" s="21">
        <f>D54/(F$8*POWER(F$3,-3))</f>
        <v>152.67840223764401</v>
      </c>
      <c r="G54" s="37" t="str">
        <f t="shared" si="27"/>
        <v>1;088183</v>
      </c>
      <c r="H54" s="294">
        <f t="shared" ref="H54:H62" si="96">K54*POWER(12,I54)/ROUND(K54*POWER(12,I54),0)-1</f>
        <v>6.0266682205861066E-2</v>
      </c>
      <c r="I54" s="295"/>
      <c r="J54" s="38">
        <v>2</v>
      </c>
      <c r="K54" s="61">
        <f t="shared" si="41"/>
        <v>1.0602666822058611</v>
      </c>
      <c r="L54" s="39" t="str">
        <f>INDEX(powers!$H$2:$H$75,33+J54)</f>
        <v>gross</v>
      </c>
      <c r="M54" s="40" t="str">
        <f t="shared" si="14"/>
        <v>1</v>
      </c>
      <c r="N54" s="24">
        <f t="shared" si="29"/>
        <v>0.7232001864703328</v>
      </c>
      <c r="O54" s="41" t="str">
        <f t="shared" si="15"/>
        <v>0</v>
      </c>
      <c r="P54" s="24">
        <f t="shared" si="30"/>
        <v>8.6784022376439935</v>
      </c>
      <c r="Q54" s="41" t="str">
        <f t="shared" si="16"/>
        <v>8</v>
      </c>
      <c r="R54" s="24">
        <f t="shared" si="31"/>
        <v>8.1408268517279225</v>
      </c>
      <c r="S54" s="41" t="str">
        <f t="shared" si="17"/>
        <v>8</v>
      </c>
      <c r="T54" s="24">
        <f t="shared" si="32"/>
        <v>1.6899222207350704</v>
      </c>
      <c r="U54" s="41" t="str">
        <f t="shared" si="18"/>
        <v>1</v>
      </c>
      <c r="V54" s="24">
        <f t="shared" si="33"/>
        <v>8.2790666488208444</v>
      </c>
      <c r="W54" s="41" t="str">
        <f t="shared" si="19"/>
        <v>8</v>
      </c>
      <c r="X54" s="24">
        <f t="shared" si="34"/>
        <v>3.348799785850133</v>
      </c>
      <c r="Y54" s="41" t="str">
        <f t="shared" si="20"/>
        <v>3</v>
      </c>
      <c r="Z54" s="24">
        <f t="shared" si="35"/>
        <v>4.1855974302015966</v>
      </c>
      <c r="AA54" s="41" t="str">
        <f t="shared" si="21"/>
        <v/>
      </c>
      <c r="AB54" s="24">
        <f t="shared" si="36"/>
        <v>2.227169162419159</v>
      </c>
      <c r="AC54" s="41" t="str">
        <f t="shared" si="22"/>
        <v/>
      </c>
      <c r="AD54" s="24">
        <f t="shared" si="37"/>
        <v>2.7260299490299076</v>
      </c>
      <c r="AE54" s="41" t="str">
        <f t="shared" si="23"/>
        <v/>
      </c>
      <c r="AF54" s="24">
        <f t="shared" si="38"/>
        <v>8.712359388358891</v>
      </c>
      <c r="AG54" s="41" t="str">
        <f t="shared" si="24"/>
        <v/>
      </c>
      <c r="AH54" s="24">
        <f t="shared" si="39"/>
        <v>8.5483126603066921</v>
      </c>
      <c r="AI54" s="41" t="str">
        <f t="shared" si="25"/>
        <v/>
      </c>
      <c r="AJ54" s="24">
        <f t="shared" si="40"/>
        <v>6.5797519236803055</v>
      </c>
      <c r="AK54" s="41" t="str">
        <f t="shared" si="26"/>
        <v/>
      </c>
    </row>
    <row r="55" spans="1:37" ht="15" customHeight="1" x14ac:dyDescent="0.2">
      <c r="A55" s="581"/>
      <c r="B55" s="3" t="s">
        <v>53</v>
      </c>
      <c r="C55" s="3" t="s">
        <v>74</v>
      </c>
      <c r="D55" s="21">
        <v>916.8</v>
      </c>
      <c r="E55" s="8">
        <v>4</v>
      </c>
      <c r="F55" s="21">
        <f>D55/(F$8*POWER(F$3,-3))</f>
        <v>139.97947859687272</v>
      </c>
      <c r="G55" s="37" t="str">
        <f t="shared" si="27"/>
        <v>0;E7E9</v>
      </c>
      <c r="H55" s="275">
        <f t="shared" si="96"/>
        <v>-2.7920287521717158E-2</v>
      </c>
      <c r="I55" s="278"/>
      <c r="J55" s="38">
        <v>2</v>
      </c>
      <c r="K55" s="61">
        <f t="shared" si="41"/>
        <v>0.97207971247828284</v>
      </c>
      <c r="L55" s="39" t="str">
        <f>INDEX(powers!$H$2:$H$75,33+J55)</f>
        <v>gross</v>
      </c>
      <c r="M55" s="40" t="str">
        <f t="shared" si="14"/>
        <v>0</v>
      </c>
      <c r="N55" s="24">
        <f t="shared" si="29"/>
        <v>11.664956549739394</v>
      </c>
      <c r="O55" s="41" t="str">
        <f t="shared" si="15"/>
        <v>E</v>
      </c>
      <c r="P55" s="24">
        <f t="shared" si="30"/>
        <v>7.979478596872724</v>
      </c>
      <c r="Q55" s="41" t="str">
        <f t="shared" si="16"/>
        <v>7</v>
      </c>
      <c r="R55" s="24">
        <f t="shared" si="31"/>
        <v>11.753743162472688</v>
      </c>
      <c r="S55" s="41" t="str">
        <f t="shared" si="17"/>
        <v>E</v>
      </c>
      <c r="T55" s="24">
        <f t="shared" si="32"/>
        <v>9.0449179496722536</v>
      </c>
      <c r="U55" s="41" t="str">
        <f t="shared" si="18"/>
        <v>9</v>
      </c>
      <c r="V55" s="24">
        <f t="shared" si="33"/>
        <v>0.53901539606704318</v>
      </c>
      <c r="W55" s="41" t="str">
        <f t="shared" si="19"/>
        <v/>
      </c>
      <c r="X55" s="24">
        <f t="shared" si="34"/>
        <v>6.4681847528045182</v>
      </c>
      <c r="Y55" s="41" t="str">
        <f t="shared" si="20"/>
        <v/>
      </c>
      <c r="Z55" s="24">
        <f t="shared" si="35"/>
        <v>5.6182170336542185</v>
      </c>
      <c r="AA55" s="41" t="str">
        <f t="shared" si="21"/>
        <v/>
      </c>
      <c r="AB55" s="24">
        <f t="shared" si="36"/>
        <v>7.4186044038506225</v>
      </c>
      <c r="AC55" s="41" t="str">
        <f t="shared" si="22"/>
        <v/>
      </c>
      <c r="AD55" s="24">
        <f t="shared" si="37"/>
        <v>5.0232528462074697</v>
      </c>
      <c r="AE55" s="41" t="str">
        <f t="shared" si="23"/>
        <v/>
      </c>
      <c r="AF55" s="24">
        <f t="shared" si="38"/>
        <v>0.27903415448963642</v>
      </c>
      <c r="AG55" s="41" t="str">
        <f t="shared" si="24"/>
        <v/>
      </c>
      <c r="AH55" s="24">
        <f t="shared" si="39"/>
        <v>3.3484098538756371</v>
      </c>
      <c r="AI55" s="41" t="str">
        <f t="shared" si="25"/>
        <v/>
      </c>
      <c r="AJ55" s="24">
        <f t="shared" si="40"/>
        <v>4.1809182465076447</v>
      </c>
      <c r="AK55" s="41" t="str">
        <f t="shared" si="26"/>
        <v/>
      </c>
    </row>
    <row r="56" spans="1:37" ht="15" customHeight="1" x14ac:dyDescent="0.2">
      <c r="A56" s="581"/>
      <c r="B56" s="3" t="s">
        <v>48</v>
      </c>
      <c r="C56" s="3" t="s">
        <v>97</v>
      </c>
      <c r="D56" s="21">
        <v>4184</v>
      </c>
      <c r="E56" s="8">
        <v>4</v>
      </c>
      <c r="F56" s="21">
        <f>D56/(F$5/F$8/F$6)</f>
        <v>0.50300019368687121</v>
      </c>
      <c r="G56" s="37" t="str">
        <f t="shared" si="27"/>
        <v>6;0523</v>
      </c>
      <c r="H56" s="294">
        <f t="shared" si="96"/>
        <v>6.0003873737424218E-3</v>
      </c>
      <c r="I56" s="295"/>
      <c r="J56" s="131">
        <v>-1</v>
      </c>
      <c r="K56" s="61">
        <f t="shared" si="41"/>
        <v>6.036002324242455</v>
      </c>
      <c r="L56" s="134" t="str">
        <f>INDEX(powers!$H$2:$H$75,33+J56)</f>
        <v>unino</v>
      </c>
      <c r="M56" s="40" t="str">
        <f t="shared" si="14"/>
        <v>6</v>
      </c>
      <c r="N56" s="24">
        <f t="shared" si="29"/>
        <v>0.4320278909094597</v>
      </c>
      <c r="O56" s="41" t="str">
        <f t="shared" si="15"/>
        <v>0</v>
      </c>
      <c r="P56" s="24">
        <f t="shared" si="30"/>
        <v>5.1843346909135164</v>
      </c>
      <c r="Q56" s="41" t="str">
        <f t="shared" si="16"/>
        <v>5</v>
      </c>
      <c r="R56" s="24">
        <f t="shared" si="31"/>
        <v>2.2120162909621968</v>
      </c>
      <c r="S56" s="41" t="str">
        <f t="shared" si="17"/>
        <v>2</v>
      </c>
      <c r="T56" s="24">
        <f t="shared" si="32"/>
        <v>2.5441954915463612</v>
      </c>
      <c r="U56" s="41" t="str">
        <f t="shared" si="18"/>
        <v>3</v>
      </c>
      <c r="V56" s="24">
        <f t="shared" si="33"/>
        <v>6.5303458985563339</v>
      </c>
      <c r="W56" s="41" t="str">
        <f t="shared" si="19"/>
        <v/>
      </c>
      <c r="X56" s="24">
        <f t="shared" si="34"/>
        <v>6.3641507826760062</v>
      </c>
      <c r="Y56" s="41" t="str">
        <f t="shared" si="20"/>
        <v/>
      </c>
      <c r="Z56" s="24">
        <f t="shared" si="35"/>
        <v>4.3698093921120744</v>
      </c>
      <c r="AA56" s="41" t="str">
        <f t="shared" si="21"/>
        <v/>
      </c>
      <c r="AB56" s="24">
        <f t="shared" si="36"/>
        <v>4.437712705344893</v>
      </c>
      <c r="AC56" s="41" t="str">
        <f t="shared" si="22"/>
        <v/>
      </c>
      <c r="AD56" s="24">
        <f t="shared" si="37"/>
        <v>5.2525524641387165</v>
      </c>
      <c r="AE56" s="41" t="str">
        <f t="shared" si="23"/>
        <v/>
      </c>
      <c r="AF56" s="24">
        <f t="shared" si="38"/>
        <v>3.0306295696645975</v>
      </c>
      <c r="AG56" s="41" t="str">
        <f t="shared" si="24"/>
        <v/>
      </c>
      <c r="AH56" s="24">
        <f t="shared" si="39"/>
        <v>0.36755483597517014</v>
      </c>
      <c r="AI56" s="41" t="str">
        <f t="shared" si="25"/>
        <v/>
      </c>
      <c r="AJ56" s="24">
        <f t="shared" si="40"/>
        <v>4.4106580317020416</v>
      </c>
      <c r="AK56" s="41" t="str">
        <f t="shared" si="26"/>
        <v/>
      </c>
    </row>
    <row r="57" spans="1:37" ht="15" customHeight="1" x14ac:dyDescent="0.2">
      <c r="A57" s="581"/>
      <c r="B57" s="3" t="s">
        <v>113</v>
      </c>
      <c r="C57" s="3" t="s">
        <v>114</v>
      </c>
      <c r="D57" s="21">
        <v>7.1970000000000006E-2</v>
      </c>
      <c r="E57" s="8">
        <v>4</v>
      </c>
      <c r="F57" s="21">
        <f>D$57/(F$10/F$3)</f>
        <v>8.307429354262498E-2</v>
      </c>
      <c r="G57" s="37" t="str">
        <f t="shared" ref="G57:G58" si="97">M57&amp;";"&amp;O57&amp;Q57&amp;S57&amp;U57&amp;W57&amp;Y57&amp;AA57&amp;AC57&amp;AE57&amp;AG57&amp;AI57&amp;AK57</f>
        <v>0;EE68</v>
      </c>
      <c r="H57" s="275">
        <f t="shared" si="96"/>
        <v>-3.1084774885001831E-3</v>
      </c>
      <c r="I57" s="278"/>
      <c r="J57" s="38">
        <v>-1</v>
      </c>
      <c r="K57" s="61">
        <f t="shared" si="41"/>
        <v>0.99689152251149982</v>
      </c>
      <c r="L57" s="39" t="str">
        <f>INDEX(powers!$H$2:$H$75,33+J57)</f>
        <v>unino</v>
      </c>
      <c r="M57" s="40" t="str">
        <f t="shared" si="14"/>
        <v>0</v>
      </c>
      <c r="N57" s="24">
        <f t="shared" ref="N57:N58" si="98">(K57-INT(K57))*12</f>
        <v>11.962698270137999</v>
      </c>
      <c r="O57" s="41" t="str">
        <f t="shared" si="15"/>
        <v>E</v>
      </c>
      <c r="P57" s="24">
        <f t="shared" ref="P57:P58" si="99">(N57-INT(N57))*12</f>
        <v>11.552379241655984</v>
      </c>
      <c r="Q57" s="41" t="str">
        <f t="shared" si="16"/>
        <v>E</v>
      </c>
      <c r="R57" s="24">
        <f t="shared" ref="R57:R58" si="100">(P57-INT(P57))*12</f>
        <v>6.6285508998718115</v>
      </c>
      <c r="S57" s="41" t="str">
        <f t="shared" si="17"/>
        <v>6</v>
      </c>
      <c r="T57" s="24">
        <f t="shared" ref="T57:T58" si="101">(R57-INT(R57))*12</f>
        <v>7.5426107984617374</v>
      </c>
      <c r="U57" s="41" t="str">
        <f t="shared" si="18"/>
        <v>8</v>
      </c>
      <c r="V57" s="24">
        <f t="shared" ref="V57:V58" si="102">(T57-INT(T57))*12</f>
        <v>6.5113295815408492</v>
      </c>
      <c r="W57" s="41" t="str">
        <f t="shared" si="19"/>
        <v/>
      </c>
      <c r="X57" s="24">
        <f t="shared" ref="X57:X58" si="103">(V57-INT(V57))*12</f>
        <v>6.1359549784901901</v>
      </c>
      <c r="Y57" s="41" t="str">
        <f t="shared" si="20"/>
        <v/>
      </c>
      <c r="Z57" s="24">
        <f t="shared" ref="Z57:Z58" si="104">(X57-INT(X57))*12</f>
        <v>1.6314597418822814</v>
      </c>
      <c r="AA57" s="41" t="str">
        <f t="shared" si="21"/>
        <v/>
      </c>
      <c r="AB57" s="24">
        <f t="shared" ref="AB57:AB58" si="105">(Z57-INT(Z57))*12</f>
        <v>7.5775169025873765</v>
      </c>
      <c r="AC57" s="41" t="str">
        <f t="shared" si="22"/>
        <v/>
      </c>
      <c r="AD57" s="24">
        <f t="shared" ref="AD57:AD58" si="106">(AB57-INT(AB57))*12</f>
        <v>6.9302028310485184</v>
      </c>
      <c r="AE57" s="41" t="str">
        <f t="shared" si="23"/>
        <v/>
      </c>
      <c r="AF57" s="24">
        <f t="shared" ref="AF57:AF58" si="107">(AD57-INT(AD57))*12</f>
        <v>11.162433972582221</v>
      </c>
      <c r="AG57" s="41" t="str">
        <f t="shared" si="24"/>
        <v/>
      </c>
      <c r="AH57" s="24">
        <f t="shared" ref="AH57:AH58" si="108">(AF57-INT(AF57))*12</f>
        <v>1.9492076709866524</v>
      </c>
      <c r="AI57" s="41" t="str">
        <f t="shared" si="25"/>
        <v/>
      </c>
      <c r="AJ57" s="24">
        <f t="shared" ref="AJ57:AJ58" si="109">(AH57-INT(AH57))*12</f>
        <v>11.390492051839828</v>
      </c>
      <c r="AK57" s="41" t="str">
        <f t="shared" si="26"/>
        <v/>
      </c>
    </row>
    <row r="58" spans="1:37" ht="15" customHeight="1" x14ac:dyDescent="0.2">
      <c r="A58" s="581"/>
      <c r="B58" s="5" t="s">
        <v>655</v>
      </c>
      <c r="C58" s="3" t="s">
        <v>656</v>
      </c>
      <c r="D58" s="21">
        <f>D36*540000000000000*(2*PI())</f>
        <v>3.5780778809999999E-19</v>
      </c>
      <c r="E58" s="8">
        <v>10</v>
      </c>
      <c r="F58" s="21">
        <f>D58/F$5</f>
        <v>5.5782587573715904E-18</v>
      </c>
      <c r="G58" s="37" t="str">
        <f t="shared" si="97"/>
        <v>1;0461856812</v>
      </c>
      <c r="H58" s="275">
        <f t="shared" si="96"/>
        <v>3.1332236281393255E-2</v>
      </c>
      <c r="I58" s="278"/>
      <c r="J58" s="38">
        <v>-16</v>
      </c>
      <c r="K58" s="61">
        <f t="shared" si="41"/>
        <v>1.0313322362813933</v>
      </c>
      <c r="L58" s="39" t="str">
        <f>INDEX(powers!$H$2:$H$75,33+J58)</f>
        <v>di-atomic</v>
      </c>
      <c r="M58" s="40" t="str">
        <f t="shared" si="14"/>
        <v>1</v>
      </c>
      <c r="N58" s="24">
        <f t="shared" si="98"/>
        <v>0.37598683537671906</v>
      </c>
      <c r="O58" s="41" t="str">
        <f t="shared" si="15"/>
        <v>0</v>
      </c>
      <c r="P58" s="24">
        <f t="shared" si="99"/>
        <v>4.5118420245206288</v>
      </c>
      <c r="Q58" s="41" t="str">
        <f t="shared" si="16"/>
        <v>4</v>
      </c>
      <c r="R58" s="24">
        <f t="shared" si="100"/>
        <v>6.1421042942475452</v>
      </c>
      <c r="S58" s="41" t="str">
        <f t="shared" si="17"/>
        <v>6</v>
      </c>
      <c r="T58" s="24">
        <f t="shared" si="101"/>
        <v>1.7052515309705427</v>
      </c>
      <c r="U58" s="41" t="str">
        <f t="shared" si="18"/>
        <v>1</v>
      </c>
      <c r="V58" s="24">
        <f t="shared" si="102"/>
        <v>8.4630183716465126</v>
      </c>
      <c r="W58" s="41" t="str">
        <f t="shared" si="19"/>
        <v>8</v>
      </c>
      <c r="X58" s="24">
        <f t="shared" si="103"/>
        <v>5.5562204597581513</v>
      </c>
      <c r="Y58" s="41" t="str">
        <f t="shared" si="20"/>
        <v>5</v>
      </c>
      <c r="Z58" s="24">
        <f t="shared" si="104"/>
        <v>6.6746455170978152</v>
      </c>
      <c r="AA58" s="41" t="str">
        <f t="shared" si="21"/>
        <v>6</v>
      </c>
      <c r="AB58" s="24">
        <f t="shared" si="105"/>
        <v>8.0957462051737821</v>
      </c>
      <c r="AC58" s="41" t="str">
        <f t="shared" si="22"/>
        <v>8</v>
      </c>
      <c r="AD58" s="24">
        <f t="shared" si="106"/>
        <v>1.1489544620853849</v>
      </c>
      <c r="AE58" s="41" t="str">
        <f t="shared" si="23"/>
        <v>1</v>
      </c>
      <c r="AF58" s="24">
        <f t="shared" si="107"/>
        <v>1.7874535450246185</v>
      </c>
      <c r="AG58" s="41" t="str">
        <f t="shared" si="24"/>
        <v>2</v>
      </c>
      <c r="AH58" s="24">
        <f t="shared" si="108"/>
        <v>9.4494425402954221</v>
      </c>
      <c r="AI58" s="41" t="str">
        <f t="shared" si="25"/>
        <v/>
      </c>
      <c r="AJ58" s="24">
        <f t="shared" si="109"/>
        <v>5.3933104835450649</v>
      </c>
      <c r="AK58" s="41" t="str">
        <f t="shared" si="26"/>
        <v/>
      </c>
    </row>
    <row r="59" spans="1:37" ht="15" customHeight="1" x14ac:dyDescent="0.2">
      <c r="A59" s="581"/>
      <c r="B59" s="224" t="s">
        <v>657</v>
      </c>
      <c r="C59" s="6" t="s">
        <v>1386</v>
      </c>
      <c r="D59" s="21">
        <f>D58/D41</f>
        <v>2.2332605563388839</v>
      </c>
      <c r="E59" s="8">
        <v>10</v>
      </c>
      <c r="F59" s="21">
        <f>D59/F$17</f>
        <v>1.0060850185183159</v>
      </c>
      <c r="G59" s="37" t="str">
        <f t="shared" ref="G59:G61" si="110">M59&amp;";"&amp;O59&amp;Q59&amp;S59&amp;U59&amp;W59&amp;Y59&amp;AA59&amp;AC59&amp;AE59&amp;AG59&amp;AI59&amp;AK59</f>
        <v>1;00X621926</v>
      </c>
      <c r="H59" s="275">
        <f t="shared" si="96"/>
        <v>6.0850185183158878E-3</v>
      </c>
      <c r="I59" s="278"/>
      <c r="J59" s="38">
        <v>0</v>
      </c>
      <c r="K59" s="61">
        <f t="shared" si="41"/>
        <v>1.0060850185183159</v>
      </c>
      <c r="L59" s="254">
        <f>540/K59</f>
        <v>536.73396389031836</v>
      </c>
      <c r="M59" s="40" t="str">
        <f t="shared" si="14"/>
        <v>1</v>
      </c>
      <c r="N59" s="24">
        <f t="shared" ref="N59:N61" si="111">(K59-INT(K59))*12</f>
        <v>7.3020222219790654E-2</v>
      </c>
      <c r="O59" s="41" t="str">
        <f t="shared" si="15"/>
        <v>0</v>
      </c>
      <c r="P59" s="24">
        <f t="shared" ref="P59:P61" si="112">(N59-INT(N59))*12</f>
        <v>0.87624266663748784</v>
      </c>
      <c r="Q59" s="41" t="str">
        <f t="shared" si="16"/>
        <v>0</v>
      </c>
      <c r="R59" s="24">
        <f t="shared" ref="R59:R61" si="113">(P59-INT(P59))*12</f>
        <v>10.514911999649854</v>
      </c>
      <c r="S59" s="41" t="str">
        <f t="shared" si="17"/>
        <v>X</v>
      </c>
      <c r="T59" s="24">
        <f t="shared" ref="T59:T61" si="114">(R59-INT(R59))*12</f>
        <v>6.1789439957982495</v>
      </c>
      <c r="U59" s="41" t="str">
        <f t="shared" si="18"/>
        <v>6</v>
      </c>
      <c r="V59" s="24">
        <f t="shared" ref="V59:V61" si="115">(T59-INT(T59))*12</f>
        <v>2.1473279495789939</v>
      </c>
      <c r="W59" s="41" t="str">
        <f t="shared" si="19"/>
        <v>2</v>
      </c>
      <c r="X59" s="24">
        <f t="shared" ref="X59:X61" si="116">(V59-INT(V59))*12</f>
        <v>1.7679353949479264</v>
      </c>
      <c r="Y59" s="41" t="str">
        <f t="shared" si="20"/>
        <v>1</v>
      </c>
      <c r="Z59" s="24">
        <f t="shared" ref="Z59:Z61" si="117">(X59-INT(X59))*12</f>
        <v>9.2152247393751168</v>
      </c>
      <c r="AA59" s="41" t="str">
        <f t="shared" si="21"/>
        <v>9</v>
      </c>
      <c r="AB59" s="24">
        <f t="shared" ref="AB59:AB61" si="118">(Z59-INT(Z59))*12</f>
        <v>2.5826968725014012</v>
      </c>
      <c r="AC59" s="41" t="str">
        <f t="shared" si="22"/>
        <v>2</v>
      </c>
      <c r="AD59" s="24">
        <f t="shared" ref="AD59:AD61" si="119">(AB59-INT(AB59))*12</f>
        <v>6.9923624700168148</v>
      </c>
      <c r="AE59" s="41" t="str">
        <f t="shared" si="23"/>
        <v>6</v>
      </c>
      <c r="AF59" s="24">
        <f t="shared" ref="AF59:AF61" si="120">(AD59-INT(AD59))*12</f>
        <v>11.908349640201777</v>
      </c>
      <c r="AG59" s="41" t="str">
        <f t="shared" si="24"/>
        <v/>
      </c>
      <c r="AH59" s="24">
        <f t="shared" ref="AH59:AH61" si="121">(AF59-INT(AF59))*12</f>
        <v>10.900195682421327</v>
      </c>
      <c r="AI59" s="41" t="str">
        <f t="shared" si="25"/>
        <v/>
      </c>
      <c r="AJ59" s="24">
        <f t="shared" ref="AJ59:AJ61" si="122">(AH59-INT(AH59))*12</f>
        <v>10.80234818905592</v>
      </c>
      <c r="AK59" s="41" t="str">
        <f t="shared" si="26"/>
        <v/>
      </c>
    </row>
    <row r="60" spans="1:37" ht="15" customHeight="1" x14ac:dyDescent="0.2">
      <c r="A60" s="581"/>
      <c r="B60" s="267">
        <v>1.024</v>
      </c>
      <c r="C60" s="3" t="s">
        <v>711</v>
      </c>
      <c r="D60" s="21">
        <f>D54*D63*B60</f>
        <v>10041.728423731198</v>
      </c>
      <c r="E60" s="8">
        <v>6</v>
      </c>
      <c r="F60" s="21">
        <f>D60/(F11/F3)</f>
        <v>858.20277262407842</v>
      </c>
      <c r="G60" s="37" t="str">
        <f t="shared" si="110"/>
        <v>5;E62525</v>
      </c>
      <c r="H60" s="275">
        <f t="shared" si="96"/>
        <v>-6.7097539073165402E-3</v>
      </c>
      <c r="I60" s="278"/>
      <c r="J60" s="38">
        <v>2</v>
      </c>
      <c r="K60" s="61">
        <f t="shared" si="41"/>
        <v>5.9597414765561005</v>
      </c>
      <c r="L60" s="39" t="str">
        <f>INDEX(powers!$H$2:$H$75,33+J60)</f>
        <v>gross</v>
      </c>
      <c r="M60" s="40" t="str">
        <f t="shared" si="14"/>
        <v>5</v>
      </c>
      <c r="N60" s="24">
        <f t="shared" si="111"/>
        <v>11.516897718673206</v>
      </c>
      <c r="O60" s="41" t="str">
        <f t="shared" si="15"/>
        <v>E</v>
      </c>
      <c r="P60" s="24">
        <f t="shared" si="112"/>
        <v>6.2027726240784773</v>
      </c>
      <c r="Q60" s="41" t="str">
        <f t="shared" si="16"/>
        <v>6</v>
      </c>
      <c r="R60" s="24">
        <f t="shared" si="113"/>
        <v>2.4332714889417275</v>
      </c>
      <c r="S60" s="41" t="str">
        <f t="shared" si="17"/>
        <v>2</v>
      </c>
      <c r="T60" s="24">
        <f t="shared" si="114"/>
        <v>5.1992578673007301</v>
      </c>
      <c r="U60" s="41" t="str">
        <f t="shared" si="18"/>
        <v>5</v>
      </c>
      <c r="V60" s="24">
        <f t="shared" si="115"/>
        <v>2.3910944076087617</v>
      </c>
      <c r="W60" s="41" t="str">
        <f t="shared" si="19"/>
        <v>2</v>
      </c>
      <c r="X60" s="24">
        <f t="shared" si="116"/>
        <v>4.6931328913051402</v>
      </c>
      <c r="Y60" s="41" t="str">
        <f t="shared" si="20"/>
        <v>5</v>
      </c>
      <c r="Z60" s="24">
        <f t="shared" si="117"/>
        <v>8.3175946956616826</v>
      </c>
      <c r="AA60" s="41" t="str">
        <f t="shared" si="21"/>
        <v/>
      </c>
      <c r="AB60" s="24">
        <f t="shared" si="118"/>
        <v>3.8111363479401916</v>
      </c>
      <c r="AC60" s="41" t="str">
        <f t="shared" si="22"/>
        <v/>
      </c>
      <c r="AD60" s="24">
        <f t="shared" si="119"/>
        <v>9.7336361752822995</v>
      </c>
      <c r="AE60" s="41" t="str">
        <f t="shared" si="23"/>
        <v/>
      </c>
      <c r="AF60" s="24">
        <f t="shared" si="120"/>
        <v>8.8036341033875942</v>
      </c>
      <c r="AG60" s="41" t="str">
        <f t="shared" si="24"/>
        <v/>
      </c>
      <c r="AH60" s="24">
        <f t="shared" si="121"/>
        <v>9.6436092406511307</v>
      </c>
      <c r="AI60" s="41" t="str">
        <f t="shared" si="25"/>
        <v/>
      </c>
      <c r="AJ60" s="24">
        <f t="shared" si="122"/>
        <v>7.7233108878135681</v>
      </c>
      <c r="AK60" s="41" t="str">
        <f t="shared" si="26"/>
        <v/>
      </c>
    </row>
    <row r="61" spans="1:37" ht="15" customHeight="1" x14ac:dyDescent="0.2">
      <c r="A61" s="581"/>
      <c r="B61" s="3" t="s">
        <v>710</v>
      </c>
      <c r="C61" s="3" t="s">
        <v>709</v>
      </c>
      <c r="D61" s="21">
        <f>D62/D60</f>
        <v>10.090394374791382</v>
      </c>
      <c r="E61" s="8">
        <v>6</v>
      </c>
      <c r="F61" s="21">
        <f>D61/F$3</f>
        <v>37.083011592092262</v>
      </c>
      <c r="G61" s="37" t="str">
        <f t="shared" si="110"/>
        <v>3;10EE54</v>
      </c>
      <c r="H61" s="276">
        <f t="shared" si="96"/>
        <v>2.2435565430340976E-3</v>
      </c>
      <c r="I61" s="284">
        <v>1</v>
      </c>
      <c r="J61" s="38">
        <v>1</v>
      </c>
      <c r="K61" s="61">
        <f t="shared" si="41"/>
        <v>3.0902509660076887</v>
      </c>
      <c r="L61" s="39" t="str">
        <f>INDEX(powers!$H$2:$H$75,33+J61)</f>
        <v>dozen</v>
      </c>
      <c r="M61" s="40" t="str">
        <f t="shared" si="14"/>
        <v>3</v>
      </c>
      <c r="N61" s="24">
        <f t="shared" si="111"/>
        <v>1.0830115920922641</v>
      </c>
      <c r="O61" s="41" t="str">
        <f t="shared" si="15"/>
        <v>1</v>
      </c>
      <c r="P61" s="24">
        <f t="shared" si="112"/>
        <v>0.99613910510716863</v>
      </c>
      <c r="Q61" s="41" t="str">
        <f t="shared" si="16"/>
        <v>0</v>
      </c>
      <c r="R61" s="24">
        <f t="shared" si="113"/>
        <v>11.953669261286024</v>
      </c>
      <c r="S61" s="41" t="str">
        <f t="shared" si="17"/>
        <v>E</v>
      </c>
      <c r="T61" s="24">
        <f t="shared" si="114"/>
        <v>11.444031135432283</v>
      </c>
      <c r="U61" s="41" t="str">
        <f t="shared" si="18"/>
        <v>E</v>
      </c>
      <c r="V61" s="24">
        <f t="shared" si="115"/>
        <v>5.3283736251873961</v>
      </c>
      <c r="W61" s="41" t="str">
        <f t="shared" si="19"/>
        <v>5</v>
      </c>
      <c r="X61" s="24">
        <f t="shared" si="116"/>
        <v>3.9404835022487532</v>
      </c>
      <c r="Y61" s="41" t="str">
        <f t="shared" si="20"/>
        <v>4</v>
      </c>
      <c r="Z61" s="24">
        <f t="shared" si="117"/>
        <v>11.285802026985039</v>
      </c>
      <c r="AA61" s="41" t="str">
        <f t="shared" si="21"/>
        <v/>
      </c>
      <c r="AB61" s="24">
        <f t="shared" si="118"/>
        <v>3.4296243238204625</v>
      </c>
      <c r="AC61" s="41" t="str">
        <f t="shared" si="22"/>
        <v/>
      </c>
      <c r="AD61" s="24">
        <f t="shared" si="119"/>
        <v>5.1554918858455494</v>
      </c>
      <c r="AE61" s="41" t="str">
        <f t="shared" si="23"/>
        <v/>
      </c>
      <c r="AF61" s="24">
        <f t="shared" si="120"/>
        <v>1.8659026301465929</v>
      </c>
      <c r="AG61" s="41" t="str">
        <f t="shared" si="24"/>
        <v/>
      </c>
      <c r="AH61" s="24">
        <f t="shared" si="121"/>
        <v>10.390831561759114</v>
      </c>
      <c r="AI61" s="41" t="str">
        <f t="shared" si="25"/>
        <v/>
      </c>
      <c r="AJ61" s="24">
        <f t="shared" si="122"/>
        <v>4.6899787411093712</v>
      </c>
      <c r="AK61" s="41" t="str">
        <f t="shared" si="26"/>
        <v/>
      </c>
    </row>
    <row r="62" spans="1:37" ht="15" customHeight="1" x14ac:dyDescent="0.2">
      <c r="A62" s="581"/>
      <c r="B62" s="3" t="s">
        <v>94</v>
      </c>
      <c r="C62" s="3" t="s">
        <v>216</v>
      </c>
      <c r="D62" s="21">
        <v>101325</v>
      </c>
      <c r="E62" s="8">
        <v>10</v>
      </c>
      <c r="F62" s="21">
        <f>D62/F$11</f>
        <v>31824.743365584414</v>
      </c>
      <c r="G62" s="37" t="str">
        <f t="shared" ref="G62" si="123">M62&amp;";"&amp;O62&amp;Q62&amp;S62&amp;U62&amp;W62&amp;Y62&amp;AA62&amp;AC62&amp;AE62&amp;AG62&amp;AI62&amp;AK62</f>
        <v>1;65008E0652</v>
      </c>
      <c r="H62" s="276">
        <f t="shared" si="96"/>
        <v>2.3358647071924921E-5</v>
      </c>
      <c r="I62" s="284">
        <v>2</v>
      </c>
      <c r="J62" s="38">
        <v>4</v>
      </c>
      <c r="K62" s="61">
        <f t="shared" si="41"/>
        <v>1.5347580712569644</v>
      </c>
      <c r="L62" s="39" t="str">
        <f>INDEX(powers!$H$2:$H$75,33+J62)</f>
        <v>hyper</v>
      </c>
      <c r="M62" s="40" t="str">
        <f t="shared" si="14"/>
        <v>1</v>
      </c>
      <c r="N62" s="24">
        <f t="shared" ref="N62" si="124">(K62-INT(K62))*12</f>
        <v>6.4170968550835727</v>
      </c>
      <c r="O62" s="41" t="str">
        <f t="shared" si="15"/>
        <v>6</v>
      </c>
      <c r="P62" s="24">
        <f t="shared" ref="P62" si="125">(N62-INT(N62))*12</f>
        <v>5.005162261002873</v>
      </c>
      <c r="Q62" s="41" t="str">
        <f t="shared" si="16"/>
        <v>5</v>
      </c>
      <c r="R62" s="24">
        <f t="shared" ref="R62" si="126">(P62-INT(P62))*12</f>
        <v>6.1947132034475771E-2</v>
      </c>
      <c r="S62" s="41" t="str">
        <f t="shared" si="17"/>
        <v>0</v>
      </c>
      <c r="T62" s="24">
        <f t="shared" ref="T62" si="127">(R62-INT(R62))*12</f>
        <v>0.74336558441370926</v>
      </c>
      <c r="U62" s="41" t="str">
        <f t="shared" si="18"/>
        <v>0</v>
      </c>
      <c r="V62" s="24">
        <f t="shared" ref="V62" si="128">(T62-INT(T62))*12</f>
        <v>8.9203870129645111</v>
      </c>
      <c r="W62" s="41" t="str">
        <f t="shared" si="19"/>
        <v>8</v>
      </c>
      <c r="X62" s="24">
        <f t="shared" ref="X62" si="129">(V62-INT(V62))*12</f>
        <v>11.044644155574133</v>
      </c>
      <c r="Y62" s="41" t="str">
        <f t="shared" si="20"/>
        <v>E</v>
      </c>
      <c r="Z62" s="24">
        <f t="shared" ref="Z62" si="130">(X62-INT(X62))*12</f>
        <v>0.53572986688959645</v>
      </c>
      <c r="AA62" s="41" t="str">
        <f t="shared" si="21"/>
        <v>0</v>
      </c>
      <c r="AB62" s="24">
        <f t="shared" ref="AB62" si="131">(Z62-INT(Z62))*12</f>
        <v>6.4287584026751574</v>
      </c>
      <c r="AC62" s="41" t="str">
        <f t="shared" si="22"/>
        <v>6</v>
      </c>
      <c r="AD62" s="24">
        <f t="shared" ref="AD62" si="132">(AB62-INT(AB62))*12</f>
        <v>5.145100832101889</v>
      </c>
      <c r="AE62" s="41" t="str">
        <f t="shared" si="23"/>
        <v>5</v>
      </c>
      <c r="AF62" s="24">
        <f t="shared" ref="AF62" si="133">(AD62-INT(AD62))*12</f>
        <v>1.7412099852226675</v>
      </c>
      <c r="AG62" s="41" t="str">
        <f t="shared" si="24"/>
        <v>2</v>
      </c>
      <c r="AH62" s="24">
        <f t="shared" ref="AH62" si="134">(AF62-INT(AF62))*12</f>
        <v>8.8945198226720095</v>
      </c>
      <c r="AI62" s="41" t="str">
        <f t="shared" si="25"/>
        <v/>
      </c>
      <c r="AJ62" s="24">
        <f t="shared" ref="AJ62" si="135">(AH62-INT(AH62))*12</f>
        <v>10.734237872064114</v>
      </c>
      <c r="AK62" s="41" t="str">
        <f t="shared" si="26"/>
        <v/>
      </c>
    </row>
    <row r="63" spans="1:37" ht="15" customHeight="1" x14ac:dyDescent="0.2">
      <c r="A63" s="581"/>
      <c r="B63" s="3" t="s">
        <v>11</v>
      </c>
      <c r="C63" s="3" t="s">
        <v>75</v>
      </c>
      <c r="D63" s="21">
        <v>9.8066499999999994</v>
      </c>
      <c r="E63" s="8">
        <v>7</v>
      </c>
      <c r="F63" s="21">
        <f>D63/(F$3/F$4/F$4)</f>
        <v>5.4892416534213924</v>
      </c>
      <c r="G63" s="37" t="str">
        <f t="shared" si="27"/>
        <v>5;5X54XE9</v>
      </c>
      <c r="H63" s="296">
        <f>K63*POWER(12,I63)/ROUND(K63*POWER(12,I63)+1,0)-1</f>
        <v>-8.5126391096434606E-2</v>
      </c>
      <c r="I63" s="297">
        <v>0</v>
      </c>
      <c r="J63" s="38">
        <v>0</v>
      </c>
      <c r="K63" s="61">
        <f t="shared" si="41"/>
        <v>5.4892416534213924</v>
      </c>
      <c r="L63" s="39" t="str">
        <f>INDEX(powers!$H$2:$H$75,33+J63)</f>
        <v xml:space="preserve"> </v>
      </c>
      <c r="M63" s="40" t="str">
        <f t="shared" si="14"/>
        <v>5</v>
      </c>
      <c r="N63" s="24">
        <f t="shared" si="29"/>
        <v>5.8708998410567084</v>
      </c>
      <c r="O63" s="41" t="str">
        <f t="shared" si="15"/>
        <v>5</v>
      </c>
      <c r="P63" s="24">
        <f t="shared" si="30"/>
        <v>10.4507980926805</v>
      </c>
      <c r="Q63" s="41" t="str">
        <f t="shared" si="16"/>
        <v>X</v>
      </c>
      <c r="R63" s="24">
        <f t="shared" si="31"/>
        <v>5.409577112166005</v>
      </c>
      <c r="S63" s="41" t="str">
        <f t="shared" si="17"/>
        <v>5</v>
      </c>
      <c r="T63" s="24">
        <f t="shared" si="32"/>
        <v>4.9149253459920601</v>
      </c>
      <c r="U63" s="41" t="str">
        <f t="shared" si="18"/>
        <v>4</v>
      </c>
      <c r="V63" s="24">
        <f t="shared" si="33"/>
        <v>10.979104151904721</v>
      </c>
      <c r="W63" s="41" t="str">
        <f t="shared" si="19"/>
        <v>X</v>
      </c>
      <c r="X63" s="24">
        <f t="shared" si="34"/>
        <v>11.749249822856655</v>
      </c>
      <c r="Y63" s="41" t="str">
        <f t="shared" si="20"/>
        <v>E</v>
      </c>
      <c r="Z63" s="24">
        <f t="shared" si="35"/>
        <v>8.9909978742798558</v>
      </c>
      <c r="AA63" s="41" t="str">
        <f t="shared" si="21"/>
        <v>9</v>
      </c>
      <c r="AB63" s="24">
        <f t="shared" si="36"/>
        <v>11.891974491358269</v>
      </c>
      <c r="AC63" s="41" t="str">
        <f t="shared" si="22"/>
        <v/>
      </c>
      <c r="AD63" s="24">
        <f t="shared" si="37"/>
        <v>10.703693896299228</v>
      </c>
      <c r="AE63" s="41" t="str">
        <f t="shared" si="23"/>
        <v/>
      </c>
      <c r="AF63" s="24">
        <f t="shared" si="38"/>
        <v>8.4443267555907369</v>
      </c>
      <c r="AG63" s="41" t="str">
        <f t="shared" si="24"/>
        <v/>
      </c>
      <c r="AH63" s="24">
        <f t="shared" si="39"/>
        <v>5.3319210670888424</v>
      </c>
      <c r="AI63" s="41" t="str">
        <f t="shared" si="25"/>
        <v/>
      </c>
      <c r="AJ63" s="24">
        <f t="shared" si="40"/>
        <v>3.9830528050661087</v>
      </c>
      <c r="AK63" s="41" t="str">
        <f t="shared" si="26"/>
        <v/>
      </c>
    </row>
    <row r="64" spans="1:37" ht="15" customHeight="1" x14ac:dyDescent="0.2">
      <c r="A64" s="581"/>
      <c r="B64" s="3" t="s">
        <v>1276</v>
      </c>
      <c r="C64" s="3" t="s">
        <v>57</v>
      </c>
      <c r="D64" s="21">
        <f>398600441800000/(D$35*D$35)</f>
        <v>4.4350280391176706E-3</v>
      </c>
      <c r="E64" s="8">
        <v>10</v>
      </c>
      <c r="F64" s="21">
        <f>D64/F$3</f>
        <v>1.6299085058234412E-2</v>
      </c>
      <c r="G64" s="37" t="str">
        <f t="shared" si="27"/>
        <v>2;41E8982X0X</v>
      </c>
      <c r="H64" s="275"/>
      <c r="I64" s="278"/>
      <c r="J64" s="38">
        <v>-2</v>
      </c>
      <c r="K64" s="61">
        <f t="shared" si="41"/>
        <v>2.3470682483857552</v>
      </c>
      <c r="L64" s="39" t="str">
        <f>INDEX(powers!$H$2:$H$75,33+J64)</f>
        <v>dino</v>
      </c>
      <c r="M64" s="40" t="str">
        <f t="shared" si="14"/>
        <v>2</v>
      </c>
      <c r="N64" s="24">
        <f t="shared" si="29"/>
        <v>4.1648189806290628</v>
      </c>
      <c r="O64" s="41" t="str">
        <f t="shared" si="15"/>
        <v>4</v>
      </c>
      <c r="P64" s="24">
        <f t="shared" si="30"/>
        <v>1.977827767548753</v>
      </c>
      <c r="Q64" s="41" t="str">
        <f t="shared" si="16"/>
        <v>1</v>
      </c>
      <c r="R64" s="24">
        <f t="shared" si="31"/>
        <v>11.733933210585036</v>
      </c>
      <c r="S64" s="41" t="str">
        <f t="shared" si="17"/>
        <v>E</v>
      </c>
      <c r="T64" s="24">
        <f t="shared" si="32"/>
        <v>8.8071985270204323</v>
      </c>
      <c r="U64" s="41" t="str">
        <f t="shared" si="18"/>
        <v>8</v>
      </c>
      <c r="V64" s="24">
        <f t="shared" si="33"/>
        <v>9.6863823242451872</v>
      </c>
      <c r="W64" s="41" t="str">
        <f t="shared" si="19"/>
        <v>9</v>
      </c>
      <c r="X64" s="24">
        <f t="shared" si="34"/>
        <v>8.2365878909422463</v>
      </c>
      <c r="Y64" s="41" t="str">
        <f t="shared" si="20"/>
        <v>8</v>
      </c>
      <c r="Z64" s="24">
        <f t="shared" si="35"/>
        <v>2.8390546913069556</v>
      </c>
      <c r="AA64" s="41" t="str">
        <f t="shared" si="21"/>
        <v>2</v>
      </c>
      <c r="AB64" s="24">
        <f t="shared" si="36"/>
        <v>10.068656295683468</v>
      </c>
      <c r="AC64" s="41" t="str">
        <f t="shared" si="22"/>
        <v>X</v>
      </c>
      <c r="AD64" s="24">
        <f t="shared" si="37"/>
        <v>0.82387554820161313</v>
      </c>
      <c r="AE64" s="41" t="str">
        <f t="shared" si="23"/>
        <v>0</v>
      </c>
      <c r="AF64" s="24">
        <f t="shared" si="38"/>
        <v>9.8865065784193575</v>
      </c>
      <c r="AG64" s="41" t="str">
        <f t="shared" si="24"/>
        <v>X</v>
      </c>
      <c r="AH64" s="24">
        <f t="shared" si="39"/>
        <v>10.63807894103229</v>
      </c>
      <c r="AI64" s="41" t="str">
        <f t="shared" si="25"/>
        <v/>
      </c>
      <c r="AJ64" s="24">
        <f t="shared" si="40"/>
        <v>7.6569472923874855</v>
      </c>
      <c r="AK64" s="41" t="str">
        <f t="shared" si="26"/>
        <v/>
      </c>
    </row>
    <row r="65" spans="1:37" ht="15" customHeight="1" x14ac:dyDescent="0.2">
      <c r="A65" s="581"/>
      <c r="B65" s="3" t="s">
        <v>1277</v>
      </c>
      <c r="C65" s="3" t="s">
        <v>57</v>
      </c>
      <c r="D65" s="21">
        <v>6378137</v>
      </c>
      <c r="E65" s="8">
        <v>7</v>
      </c>
      <c r="F65" s="21">
        <f>D65/F$3</f>
        <v>23440166.907434933</v>
      </c>
      <c r="G65" s="37" t="str">
        <f t="shared" si="27"/>
        <v>0;7X24XE3</v>
      </c>
      <c r="H65" s="275"/>
      <c r="I65" s="278"/>
      <c r="J65" s="38">
        <v>7</v>
      </c>
      <c r="K65" s="61">
        <f t="shared" si="41"/>
        <v>0.65417203919587119</v>
      </c>
      <c r="L65" s="39" t="str">
        <f>INDEX(powers!$H$2:$H$75,33+J65)</f>
        <v>unino cosmic</v>
      </c>
      <c r="M65" s="40" t="str">
        <f t="shared" si="14"/>
        <v>0</v>
      </c>
      <c r="N65" s="24">
        <f t="shared" si="29"/>
        <v>7.8500644703504543</v>
      </c>
      <c r="O65" s="41" t="str">
        <f t="shared" si="15"/>
        <v>7</v>
      </c>
      <c r="P65" s="24">
        <f t="shared" si="30"/>
        <v>10.200773644205452</v>
      </c>
      <c r="Q65" s="41" t="str">
        <f t="shared" si="16"/>
        <v>X</v>
      </c>
      <c r="R65" s="24">
        <f t="shared" si="31"/>
        <v>2.4092837304654182</v>
      </c>
      <c r="S65" s="41" t="str">
        <f t="shared" si="17"/>
        <v>2</v>
      </c>
      <c r="T65" s="24">
        <f t="shared" si="32"/>
        <v>4.9114047655850186</v>
      </c>
      <c r="U65" s="41" t="str">
        <f t="shared" si="18"/>
        <v>4</v>
      </c>
      <c r="V65" s="24">
        <f t="shared" si="33"/>
        <v>10.936857187020223</v>
      </c>
      <c r="W65" s="41" t="str">
        <f t="shared" si="19"/>
        <v>X</v>
      </c>
      <c r="X65" s="24">
        <f t="shared" si="34"/>
        <v>11.242286244242678</v>
      </c>
      <c r="Y65" s="41" t="str">
        <f t="shared" si="20"/>
        <v>E</v>
      </c>
      <c r="Z65" s="24">
        <f t="shared" si="35"/>
        <v>2.9074349309121317</v>
      </c>
      <c r="AA65" s="41" t="str">
        <f t="shared" si="21"/>
        <v>3</v>
      </c>
      <c r="AB65" s="24">
        <f t="shared" si="36"/>
        <v>10.88921917094558</v>
      </c>
      <c r="AC65" s="41" t="str">
        <f t="shared" si="22"/>
        <v/>
      </c>
      <c r="AD65" s="24">
        <f t="shared" si="37"/>
        <v>10.670630051346961</v>
      </c>
      <c r="AE65" s="41" t="str">
        <f t="shared" si="23"/>
        <v/>
      </c>
      <c r="AF65" s="24">
        <f t="shared" si="38"/>
        <v>8.0475606161635369</v>
      </c>
      <c r="AG65" s="41" t="str">
        <f t="shared" si="24"/>
        <v/>
      </c>
      <c r="AH65" s="24">
        <f t="shared" si="39"/>
        <v>0.57072739396244287</v>
      </c>
      <c r="AI65" s="41" t="str">
        <f t="shared" si="25"/>
        <v/>
      </c>
      <c r="AJ65" s="24">
        <f t="shared" si="40"/>
        <v>6.8487287275493145</v>
      </c>
      <c r="AK65" s="41" t="str">
        <f t="shared" si="26"/>
        <v/>
      </c>
    </row>
    <row r="66" spans="1:37" ht="15" customHeight="1" x14ac:dyDescent="0.2">
      <c r="A66" s="581"/>
      <c r="B66" s="3" t="s">
        <v>1278</v>
      </c>
      <c r="C66" s="3" t="s">
        <v>57</v>
      </c>
      <c r="D66" s="21">
        <f>40007863/4</f>
        <v>10001965.75</v>
      </c>
      <c r="E66" s="8">
        <v>7</v>
      </c>
      <c r="F66" s="21">
        <f>D66/F$3</f>
        <v>36758029.277584918</v>
      </c>
      <c r="G66" s="37" t="str">
        <f t="shared" si="27"/>
        <v>1;0388011</v>
      </c>
      <c r="H66" s="275">
        <f t="shared" ref="H66" si="136">K66*POWER(12,I66)/ROUND(K66*POWER(12,I66),0)-1</f>
        <v>2.5849135985125837E-2</v>
      </c>
      <c r="I66" s="278"/>
      <c r="J66" s="38">
        <v>7</v>
      </c>
      <c r="K66" s="61">
        <f t="shared" si="41"/>
        <v>1.0258491359851258</v>
      </c>
      <c r="L66" s="39" t="str">
        <f>INDEX(powers!$H$2:$H$75,33+J66)</f>
        <v>unino cosmic</v>
      </c>
      <c r="M66" s="40" t="str">
        <f t="shared" si="14"/>
        <v>1</v>
      </c>
      <c r="N66" s="24">
        <f t="shared" si="29"/>
        <v>0.31018963182151005</v>
      </c>
      <c r="O66" s="41" t="str">
        <f t="shared" si="15"/>
        <v>0</v>
      </c>
      <c r="P66" s="24">
        <f t="shared" si="30"/>
        <v>3.7222755818581206</v>
      </c>
      <c r="Q66" s="41" t="str">
        <f t="shared" si="16"/>
        <v>3</v>
      </c>
      <c r="R66" s="24">
        <f t="shared" si="31"/>
        <v>8.6673069822974469</v>
      </c>
      <c r="S66" s="41" t="str">
        <f t="shared" si="17"/>
        <v>8</v>
      </c>
      <c r="T66" s="24">
        <f t="shared" si="32"/>
        <v>8.0076837875693627</v>
      </c>
      <c r="U66" s="41" t="str">
        <f t="shared" si="18"/>
        <v>8</v>
      </c>
      <c r="V66" s="24">
        <f t="shared" si="33"/>
        <v>9.2205450832352653E-2</v>
      </c>
      <c r="W66" s="41" t="str">
        <f t="shared" si="19"/>
        <v>0</v>
      </c>
      <c r="X66" s="24">
        <f t="shared" si="34"/>
        <v>1.1064654099882318</v>
      </c>
      <c r="Y66" s="41" t="str">
        <f t="shared" si="20"/>
        <v>1</v>
      </c>
      <c r="Z66" s="24">
        <f t="shared" si="35"/>
        <v>1.2775849198587821</v>
      </c>
      <c r="AA66" s="41" t="str">
        <f t="shared" si="21"/>
        <v>1</v>
      </c>
      <c r="AB66" s="24">
        <f t="shared" si="36"/>
        <v>3.331019038305385</v>
      </c>
      <c r="AC66" s="41" t="str">
        <f t="shared" si="22"/>
        <v/>
      </c>
      <c r="AD66" s="24">
        <f t="shared" si="37"/>
        <v>3.9722284596646205</v>
      </c>
      <c r="AE66" s="41" t="str">
        <f t="shared" si="23"/>
        <v/>
      </c>
      <c r="AF66" s="24">
        <f t="shared" si="38"/>
        <v>11.666741515975446</v>
      </c>
      <c r="AG66" s="41" t="str">
        <f t="shared" si="24"/>
        <v/>
      </c>
      <c r="AH66" s="24">
        <f t="shared" si="39"/>
        <v>8.0008981917053461</v>
      </c>
      <c r="AI66" s="41" t="str">
        <f t="shared" si="25"/>
        <v/>
      </c>
      <c r="AJ66" s="24">
        <f t="shared" si="40"/>
        <v>1.077830046415329E-2</v>
      </c>
      <c r="AK66" s="41" t="str">
        <f t="shared" si="26"/>
        <v/>
      </c>
    </row>
    <row r="67" spans="1:37" ht="15" customHeight="1" x14ac:dyDescent="0.2">
      <c r="A67" s="581"/>
      <c r="B67" s="3" t="s">
        <v>1279</v>
      </c>
      <c r="C67" s="3" t="s">
        <v>57</v>
      </c>
      <c r="D67" s="21">
        <f>132712440041000000000/(D$35*D$35)</f>
        <v>1476.6250385063113</v>
      </c>
      <c r="E67" s="8">
        <v>8</v>
      </c>
      <c r="F67" s="21">
        <f>D67/F$3</f>
        <v>5426.7158830682802</v>
      </c>
      <c r="G67" s="37" t="str">
        <f t="shared" si="27"/>
        <v>3;18287107</v>
      </c>
      <c r="H67" s="275"/>
      <c r="I67" s="278"/>
      <c r="J67" s="38">
        <v>3</v>
      </c>
      <c r="K67" s="61">
        <f t="shared" si="41"/>
        <v>3.1404605804793286</v>
      </c>
      <c r="L67" s="39" t="str">
        <f>INDEX(powers!$H$2:$H$75,33+J67)</f>
        <v>doz gross</v>
      </c>
      <c r="M67" s="40" t="str">
        <f t="shared" si="14"/>
        <v>3</v>
      </c>
      <c r="N67" s="24">
        <f t="shared" si="29"/>
        <v>1.6855269657519436</v>
      </c>
      <c r="O67" s="41" t="str">
        <f t="shared" si="15"/>
        <v>1</v>
      </c>
      <c r="P67" s="24">
        <f t="shared" si="30"/>
        <v>8.2263235890233233</v>
      </c>
      <c r="Q67" s="41" t="str">
        <f t="shared" si="16"/>
        <v>8</v>
      </c>
      <c r="R67" s="24">
        <f t="shared" si="31"/>
        <v>2.7158830682798794</v>
      </c>
      <c r="S67" s="41" t="str">
        <f t="shared" si="17"/>
        <v>2</v>
      </c>
      <c r="T67" s="24">
        <f t="shared" si="32"/>
        <v>8.5905968193585522</v>
      </c>
      <c r="U67" s="41" t="str">
        <f t="shared" si="18"/>
        <v>8</v>
      </c>
      <c r="V67" s="24">
        <f t="shared" si="33"/>
        <v>7.0871618323026269</v>
      </c>
      <c r="W67" s="41" t="str">
        <f t="shared" si="19"/>
        <v>7</v>
      </c>
      <c r="X67" s="24">
        <f t="shared" si="34"/>
        <v>1.0459419876315224</v>
      </c>
      <c r="Y67" s="41" t="str">
        <f t="shared" si="20"/>
        <v>1</v>
      </c>
      <c r="Z67" s="24">
        <f t="shared" si="35"/>
        <v>0.55130385157826822</v>
      </c>
      <c r="AA67" s="41" t="str">
        <f t="shared" si="21"/>
        <v>0</v>
      </c>
      <c r="AB67" s="24">
        <f t="shared" si="36"/>
        <v>6.6156462189392187</v>
      </c>
      <c r="AC67" s="41" t="str">
        <f t="shared" si="22"/>
        <v>7</v>
      </c>
      <c r="AD67" s="24">
        <f t="shared" si="37"/>
        <v>7.387754627270624</v>
      </c>
      <c r="AE67" s="41" t="str">
        <f t="shared" si="23"/>
        <v/>
      </c>
      <c r="AF67" s="24">
        <f t="shared" si="38"/>
        <v>4.6530555272474885</v>
      </c>
      <c r="AG67" s="41" t="str">
        <f t="shared" si="24"/>
        <v/>
      </c>
      <c r="AH67" s="24">
        <f t="shared" si="39"/>
        <v>7.836666326969862</v>
      </c>
      <c r="AI67" s="41" t="str">
        <f t="shared" si="25"/>
        <v/>
      </c>
      <c r="AJ67" s="24">
        <f t="shared" si="40"/>
        <v>10.039995923638344</v>
      </c>
      <c r="AK67" s="41" t="str">
        <f t="shared" si="26"/>
        <v/>
      </c>
    </row>
    <row r="68" spans="1:37" ht="15" customHeight="1" x14ac:dyDescent="0.2">
      <c r="A68" s="581"/>
      <c r="B68" s="5" t="s">
        <v>12</v>
      </c>
      <c r="C68" s="5" t="s">
        <v>57</v>
      </c>
      <c r="D68" s="29">
        <v>149597870000</v>
      </c>
      <c r="E68" s="30">
        <v>9</v>
      </c>
      <c r="F68" s="29">
        <f>D68/F$3</f>
        <v>549784214700.42944</v>
      </c>
      <c r="G68" s="37" t="str">
        <f t="shared" si="27"/>
        <v>8;X67575535</v>
      </c>
      <c r="H68" s="275"/>
      <c r="I68" s="281"/>
      <c r="J68" s="43">
        <v>10</v>
      </c>
      <c r="K68" s="62">
        <f t="shared" si="41"/>
        <v>8.8793220058828943</v>
      </c>
      <c r="L68" s="39" t="str">
        <f>INDEX(powers!$H$2:$H$75,33+J68)</f>
        <v>gross cosmic</v>
      </c>
      <c r="M68" s="40" t="str">
        <f t="shared" si="14"/>
        <v>8</v>
      </c>
      <c r="N68" s="24">
        <f t="shared" si="29"/>
        <v>10.551864070594732</v>
      </c>
      <c r="O68" s="41" t="str">
        <f t="shared" si="15"/>
        <v>X</v>
      </c>
      <c r="P68" s="24">
        <f t="shared" si="30"/>
        <v>6.6223688471367836</v>
      </c>
      <c r="Q68" s="41" t="str">
        <f t="shared" si="16"/>
        <v>6</v>
      </c>
      <c r="R68" s="24">
        <f t="shared" si="31"/>
        <v>7.4684261656414037</v>
      </c>
      <c r="S68" s="41" t="str">
        <f t="shared" si="17"/>
        <v>7</v>
      </c>
      <c r="T68" s="24">
        <f t="shared" si="32"/>
        <v>5.6211139876968446</v>
      </c>
      <c r="U68" s="41" t="str">
        <f t="shared" si="18"/>
        <v>5</v>
      </c>
      <c r="V68" s="24">
        <f t="shared" si="33"/>
        <v>7.4533678523621347</v>
      </c>
      <c r="W68" s="41" t="str">
        <f t="shared" si="19"/>
        <v>7</v>
      </c>
      <c r="X68" s="24">
        <f t="shared" si="34"/>
        <v>5.4404142283456167</v>
      </c>
      <c r="Y68" s="41" t="str">
        <f t="shared" si="20"/>
        <v>5</v>
      </c>
      <c r="Z68" s="24">
        <f t="shared" si="35"/>
        <v>5.2849707401474006</v>
      </c>
      <c r="AA68" s="41" t="str">
        <f t="shared" si="21"/>
        <v>5</v>
      </c>
      <c r="AB68" s="24">
        <f t="shared" si="36"/>
        <v>3.4196488817688078</v>
      </c>
      <c r="AC68" s="41" t="str">
        <f t="shared" si="22"/>
        <v>3</v>
      </c>
      <c r="AD68" s="24">
        <f t="shared" si="37"/>
        <v>5.0357865812256932</v>
      </c>
      <c r="AE68" s="41" t="str">
        <f t="shared" si="23"/>
        <v>5</v>
      </c>
      <c r="AF68" s="24">
        <f t="shared" si="38"/>
        <v>0.42943897470831871</v>
      </c>
      <c r="AG68" s="41" t="str">
        <f t="shared" si="24"/>
        <v/>
      </c>
      <c r="AH68" s="24">
        <f t="shared" si="39"/>
        <v>5.1532676964998245</v>
      </c>
      <c r="AI68" s="41" t="str">
        <f t="shared" si="25"/>
        <v/>
      </c>
      <c r="AJ68" s="24">
        <f t="shared" si="40"/>
        <v>1.8392123579978943</v>
      </c>
      <c r="AK68" s="41" t="str">
        <f t="shared" si="26"/>
        <v/>
      </c>
    </row>
    <row r="69" spans="1:37" ht="15" customHeight="1" x14ac:dyDescent="0.2">
      <c r="A69" s="581"/>
      <c r="B69" s="5" t="s">
        <v>51</v>
      </c>
      <c r="C69" s="5" t="s">
        <v>56</v>
      </c>
      <c r="D69" s="29">
        <f>D68/D35</f>
        <v>499.00478150120773</v>
      </c>
      <c r="E69" s="30">
        <v>9</v>
      </c>
      <c r="F69" s="29">
        <f>D69/F$4</f>
        <v>1278.6223688471368</v>
      </c>
      <c r="G69" s="37" t="str">
        <f t="shared" si="27"/>
        <v>8;X67575535</v>
      </c>
      <c r="H69" s="275"/>
      <c r="I69" s="281"/>
      <c r="J69" s="43">
        <v>2</v>
      </c>
      <c r="K69" s="62">
        <f t="shared" si="41"/>
        <v>8.8793220058828943</v>
      </c>
      <c r="L69" s="39" t="str">
        <f>INDEX(powers!$H$2:$H$75,33+J69)</f>
        <v>gross</v>
      </c>
      <c r="M69" s="40" t="str">
        <f t="shared" si="14"/>
        <v>8</v>
      </c>
      <c r="N69" s="24">
        <f t="shared" ref="N69:N70" si="137">(K69-INT(K69))*12</f>
        <v>10.551864070594732</v>
      </c>
      <c r="O69" s="41" t="str">
        <f t="shared" si="15"/>
        <v>X</v>
      </c>
      <c r="P69" s="24">
        <f t="shared" ref="P69:P70" si="138">(N69-INT(N69))*12</f>
        <v>6.6223688471367836</v>
      </c>
      <c r="Q69" s="41" t="str">
        <f t="shared" si="16"/>
        <v>6</v>
      </c>
      <c r="R69" s="24">
        <f t="shared" ref="R69:R70" si="139">(P69-INT(P69))*12</f>
        <v>7.4684261656414037</v>
      </c>
      <c r="S69" s="41" t="str">
        <f t="shared" si="17"/>
        <v>7</v>
      </c>
      <c r="T69" s="24">
        <f t="shared" ref="T69:T70" si="140">(R69-INT(R69))*12</f>
        <v>5.6211139876968446</v>
      </c>
      <c r="U69" s="41" t="str">
        <f t="shared" si="18"/>
        <v>5</v>
      </c>
      <c r="V69" s="24">
        <f t="shared" ref="V69:V70" si="141">(T69-INT(T69))*12</f>
        <v>7.4533678523621347</v>
      </c>
      <c r="W69" s="41" t="str">
        <f t="shared" si="19"/>
        <v>7</v>
      </c>
      <c r="X69" s="24">
        <f t="shared" ref="X69:X70" si="142">(V69-INT(V69))*12</f>
        <v>5.4404142283456167</v>
      </c>
      <c r="Y69" s="41" t="str">
        <f t="shared" si="20"/>
        <v>5</v>
      </c>
      <c r="Z69" s="24">
        <f t="shared" ref="Z69:Z70" si="143">(X69-INT(X69))*12</f>
        <v>5.2849707401474006</v>
      </c>
      <c r="AA69" s="41" t="str">
        <f t="shared" si="21"/>
        <v>5</v>
      </c>
      <c r="AB69" s="24">
        <f t="shared" ref="AB69:AB70" si="144">(Z69-INT(Z69))*12</f>
        <v>3.4196488817688078</v>
      </c>
      <c r="AC69" s="41" t="str">
        <f t="shared" si="22"/>
        <v>3</v>
      </c>
      <c r="AD69" s="24">
        <f t="shared" ref="AD69:AD70" si="145">(AB69-INT(AB69))*12</f>
        <v>5.0357865812256932</v>
      </c>
      <c r="AE69" s="41" t="str">
        <f t="shared" si="23"/>
        <v>5</v>
      </c>
      <c r="AF69" s="24">
        <f t="shared" ref="AF69:AF70" si="146">(AD69-INT(AD69))*12</f>
        <v>0.42943897470831871</v>
      </c>
      <c r="AG69" s="41" t="str">
        <f t="shared" si="24"/>
        <v/>
      </c>
      <c r="AH69" s="24">
        <f t="shared" ref="AH69:AH70" si="147">(AF69-INT(AF69))*12</f>
        <v>5.1532676964998245</v>
      </c>
      <c r="AI69" s="41" t="str">
        <f t="shared" si="25"/>
        <v/>
      </c>
      <c r="AJ69" s="24">
        <f t="shared" ref="AJ69:AJ70" si="148">(AH69-INT(AH69))*12</f>
        <v>1.8392123579978943</v>
      </c>
      <c r="AK69" s="41" t="str">
        <f t="shared" si="26"/>
        <v/>
      </c>
    </row>
    <row r="70" spans="1:37" ht="15" customHeight="1" thickBot="1" x14ac:dyDescent="0.25">
      <c r="A70" s="582"/>
      <c r="B70" s="5" t="s">
        <v>52</v>
      </c>
      <c r="C70" s="66" t="s">
        <v>110</v>
      </c>
      <c r="D70" s="29">
        <f>D69/50</f>
        <v>9.9800956300241541</v>
      </c>
      <c r="E70" s="30">
        <v>9</v>
      </c>
      <c r="F70" s="29">
        <f>D70</f>
        <v>9.9800956300241541</v>
      </c>
      <c r="G70" s="37" t="str">
        <f t="shared" si="27"/>
        <v>9;E91731X53</v>
      </c>
      <c r="H70" s="275"/>
      <c r="I70" s="281"/>
      <c r="J70" s="43">
        <v>0</v>
      </c>
      <c r="K70" s="62">
        <f t="shared" si="41"/>
        <v>9.9800956300241541</v>
      </c>
      <c r="L70" s="44" t="str">
        <f>INDEX(powers!$H$2:$H$75,33+J70)</f>
        <v xml:space="preserve"> </v>
      </c>
      <c r="M70" s="40" t="str">
        <f t="shared" si="14"/>
        <v>9</v>
      </c>
      <c r="N70" s="24">
        <f t="shared" si="137"/>
        <v>11.761147560289849</v>
      </c>
      <c r="O70" s="41" t="str">
        <f t="shared" si="15"/>
        <v>E</v>
      </c>
      <c r="P70" s="24">
        <f t="shared" si="138"/>
        <v>9.1337707234781931</v>
      </c>
      <c r="Q70" s="41" t="str">
        <f t="shared" si="16"/>
        <v>9</v>
      </c>
      <c r="R70" s="24">
        <f t="shared" si="139"/>
        <v>1.6052486817383169</v>
      </c>
      <c r="S70" s="41" t="str">
        <f t="shared" si="17"/>
        <v>1</v>
      </c>
      <c r="T70" s="24">
        <f t="shared" si="140"/>
        <v>7.262984180859803</v>
      </c>
      <c r="U70" s="41" t="str">
        <f t="shared" si="18"/>
        <v>7</v>
      </c>
      <c r="V70" s="24">
        <f t="shared" si="141"/>
        <v>3.1558101703176362</v>
      </c>
      <c r="W70" s="41" t="str">
        <f t="shared" si="19"/>
        <v>3</v>
      </c>
      <c r="X70" s="24">
        <f t="shared" si="142"/>
        <v>1.8697220438116346</v>
      </c>
      <c r="Y70" s="41" t="str">
        <f t="shared" si="20"/>
        <v>1</v>
      </c>
      <c r="Z70" s="24">
        <f t="shared" si="143"/>
        <v>10.436664525739616</v>
      </c>
      <c r="AA70" s="41" t="str">
        <f t="shared" si="21"/>
        <v>X</v>
      </c>
      <c r="AB70" s="24">
        <f t="shared" si="144"/>
        <v>5.2399743088753894</v>
      </c>
      <c r="AC70" s="41" t="str">
        <f t="shared" si="22"/>
        <v>5</v>
      </c>
      <c r="AD70" s="24">
        <f t="shared" si="145"/>
        <v>2.8796917065046728</v>
      </c>
      <c r="AE70" s="41" t="str">
        <f t="shared" si="23"/>
        <v>3</v>
      </c>
      <c r="AF70" s="24">
        <f t="shared" si="146"/>
        <v>10.556300478056073</v>
      </c>
      <c r="AG70" s="41" t="str">
        <f t="shared" si="24"/>
        <v/>
      </c>
      <c r="AH70" s="24">
        <f t="shared" si="147"/>
        <v>6.6756057366728783</v>
      </c>
      <c r="AI70" s="41" t="str">
        <f t="shared" si="25"/>
        <v/>
      </c>
      <c r="AJ70" s="24">
        <f t="shared" si="148"/>
        <v>8.1072688400745392</v>
      </c>
      <c r="AK70" s="41" t="str">
        <f t="shared" si="26"/>
        <v/>
      </c>
    </row>
    <row r="71" spans="1:37" x14ac:dyDescent="0.2">
      <c r="A71" s="577" t="s">
        <v>49</v>
      </c>
      <c r="B71" s="17" t="s">
        <v>42</v>
      </c>
      <c r="C71" s="17"/>
      <c r="D71" s="17"/>
      <c r="E71" s="18" t="s">
        <v>54</v>
      </c>
      <c r="F71" s="17" t="s">
        <v>43</v>
      </c>
      <c r="G71" s="17" t="s">
        <v>45</v>
      </c>
      <c r="H71" s="17"/>
      <c r="I71" s="277"/>
      <c r="J71" s="18" t="s">
        <v>44</v>
      </c>
      <c r="K71" s="56" t="s">
        <v>46</v>
      </c>
      <c r="L71" s="20" t="str">
        <f>L31</f>
        <v>Power</v>
      </c>
    </row>
    <row r="72" spans="1:37" ht="11.25" customHeight="1" x14ac:dyDescent="0.2">
      <c r="A72" s="578"/>
      <c r="B72" s="8" t="s">
        <v>40</v>
      </c>
      <c r="C72" s="8"/>
      <c r="D72" s="21"/>
      <c r="E72" s="8">
        <v>9</v>
      </c>
      <c r="F72" s="21">
        <f>$D$32</f>
        <v>7.2973525643E-3</v>
      </c>
      <c r="G72" s="37" t="str">
        <f t="shared" ref="G72:G73" si="149">M72&amp;";"&amp;O72&amp;Q72&amp;S72&amp;U72&amp;W72&amp;Y72&amp;AA72&amp;AC72&amp;AE72&amp;AG72&amp;AI72&amp;AK72</f>
        <v>1;073994047</v>
      </c>
      <c r="H72" s="37"/>
      <c r="I72" s="285"/>
      <c r="J72" s="38">
        <v>-2</v>
      </c>
      <c r="K72" s="61">
        <f t="shared" ref="K72:K88" si="150">F72/POWER(12,J72)</f>
        <v>1.0508187692592001</v>
      </c>
      <c r="L72" s="39" t="str">
        <f>INDEX(powers!$H$2:$H$75,33+J72)</f>
        <v>dino</v>
      </c>
      <c r="M72" s="40" t="str">
        <f t="shared" ref="M72:M88" si="151">IF($E72&gt;=M$31,MID($J$31,IF($E72&gt;M$31,INT(K72),ROUND(K72,0))+1,1),"")</f>
        <v>1</v>
      </c>
      <c r="N72" s="24">
        <f>(K72-INT(K72))*12</f>
        <v>0.60982523111040177</v>
      </c>
      <c r="O72" s="41" t="str">
        <f t="shared" ref="O72:O88" si="152">IF($E72&gt;=O$31,MID($J$31,IF($E72&gt;O$31,INT(N72),ROUND(N72,0))+1,1),"")</f>
        <v>0</v>
      </c>
      <c r="P72" s="24">
        <f>(N72-INT(N72))*12</f>
        <v>7.3179027733248212</v>
      </c>
      <c r="Q72" s="41" t="str">
        <f t="shared" ref="Q72:Q88" si="153">IF($E72&gt;=Q$31,MID($J$31,IF($E72&gt;Q$31,INT(P72),ROUND(P72,0))+1,1),"")</f>
        <v>7</v>
      </c>
      <c r="R72" s="24">
        <f>(P72-INT(P72))*12</f>
        <v>3.8148332798978544</v>
      </c>
      <c r="S72" s="41" t="str">
        <f t="shared" ref="S72:S88" si="154">IF($E72&gt;=S$31,MID($J$31,IF($E72&gt;S$31,INT(R72),ROUND(R72,0))+1,1),"")</f>
        <v>3</v>
      </c>
      <c r="T72" s="24">
        <f>(R72-INT(R72))*12</f>
        <v>9.7779993587742524</v>
      </c>
      <c r="U72" s="41" t="str">
        <f t="shared" ref="U72:U88" si="155">IF($E72&gt;=U$31,MID($J$31,IF($E72&gt;U$31,INT(T72),ROUND(T72,0))+1,1),"")</f>
        <v>9</v>
      </c>
      <c r="V72" s="24">
        <f>(T72-INT(T72))*12</f>
        <v>9.335992305291029</v>
      </c>
      <c r="W72" s="41" t="str">
        <f t="shared" ref="W72:W88" si="156">IF($E72&gt;=W$31,MID($J$31,IF($E72&gt;W$31,INT(V72),ROUND(V72,0))+1,1),"")</f>
        <v>9</v>
      </c>
      <c r="X72" s="24">
        <f>(V72-INT(V72))*12</f>
        <v>4.0319076634923476</v>
      </c>
      <c r="Y72" s="41" t="str">
        <f t="shared" ref="Y72:Y88" si="157">IF($E72&gt;=Y$31,MID($J$31,IF($E72&gt;Y$31,INT(X72),ROUND(X72,0))+1,1),"")</f>
        <v>4</v>
      </c>
      <c r="Z72" s="24">
        <f>(X72-INT(X72))*12</f>
        <v>0.38289196190817165</v>
      </c>
      <c r="AA72" s="41" t="str">
        <f t="shared" ref="AA72:AA88" si="158">IF($E72&gt;=AA$31,MID($J$31,IF($E72&gt;AA$31,INT(Z72),ROUND(Z72,0))+1,1),"")</f>
        <v>0</v>
      </c>
      <c r="AB72" s="24">
        <f>(Z72-INT(Z72))*12</f>
        <v>4.5947035428980598</v>
      </c>
      <c r="AC72" s="41" t="str">
        <f t="shared" ref="AC72:AC88" si="159">IF($E72&gt;=AC$31,MID($J$31,IF($E72&gt;AC$31,INT(AB72),ROUND(AB72,0))+1,1),"")</f>
        <v>4</v>
      </c>
      <c r="AD72" s="24">
        <f>(AB72-INT(AB72))*12</f>
        <v>7.1364425147767179</v>
      </c>
      <c r="AE72" s="41" t="str">
        <f t="shared" ref="AE72:AE88" si="160">IF($E72&gt;=AE$31,MID($J$31,IF($E72&gt;AE$31,INT(AD72),ROUND(AD72,0))+1,1),"")</f>
        <v>7</v>
      </c>
      <c r="AF72" s="24">
        <f>(AD72-INT(AD72))*12</f>
        <v>1.6373101773206145</v>
      </c>
      <c r="AG72" s="41" t="str">
        <f t="shared" ref="AG72:AG88" si="161">IF($E72&gt;=AG$31,MID($J$31,IF($E72&gt;AG$31,INT(AF72),ROUND(AF72,0))+1,1),"")</f>
        <v/>
      </c>
      <c r="AH72" s="24">
        <f>(AF72-INT(AF72))*12</f>
        <v>7.6477221278473735</v>
      </c>
      <c r="AI72" s="41" t="str">
        <f t="shared" ref="AI72:AI88" si="162">IF($E72&gt;=AI$31,MID($J$31,IF($E72&gt;AI$31,INT(AH72),ROUND(AH72,0))+1,1),"")</f>
        <v/>
      </c>
      <c r="AJ72" s="24">
        <f>(AH72-INT(AH72))*12</f>
        <v>7.7726655341684818</v>
      </c>
      <c r="AK72" s="41" t="str">
        <f t="shared" ref="AK72:AK88" si="163">IF($E72&gt;=AK$31,MID($J$31,IF($E72&gt;AK$31,INT(AJ72),ROUND(AJ72,0))+1,1),"")</f>
        <v/>
      </c>
    </row>
    <row r="73" spans="1:37" ht="13.5" customHeight="1" x14ac:dyDescent="0.2">
      <c r="A73" s="578"/>
      <c r="B73" s="30" t="s">
        <v>34</v>
      </c>
      <c r="C73" s="30"/>
      <c r="D73" s="29"/>
      <c r="E73" s="8">
        <v>9</v>
      </c>
      <c r="F73" s="21">
        <f>1/$D$32</f>
        <v>137.03599917759013</v>
      </c>
      <c r="G73" s="37" t="str">
        <f t="shared" si="149"/>
        <v>0;E5052258</v>
      </c>
      <c r="H73" s="37"/>
      <c r="I73" s="285"/>
      <c r="J73" s="38">
        <v>2</v>
      </c>
      <c r="K73" s="61">
        <f t="shared" si="150"/>
        <v>0.95163888317770917</v>
      </c>
      <c r="L73" s="39" t="str">
        <f>INDEX(powers!$H$2:$H$75,33+J73)</f>
        <v>gross</v>
      </c>
      <c r="M73" s="40" t="str">
        <f t="shared" si="151"/>
        <v>0</v>
      </c>
      <c r="N73" s="24">
        <f t="shared" ref="N73:N88" si="164">(K73-INT(K73))*12</f>
        <v>11.41966659813251</v>
      </c>
      <c r="O73" s="41" t="str">
        <f t="shared" si="152"/>
        <v>E</v>
      </c>
      <c r="P73" s="24">
        <f t="shared" ref="P73:P88" si="165">(N73-INT(N73))*12</f>
        <v>5.0359991775901207</v>
      </c>
      <c r="Q73" s="41" t="str">
        <f t="shared" si="153"/>
        <v>5</v>
      </c>
      <c r="R73" s="24">
        <f t="shared" ref="R73:R88" si="166">(P73-INT(P73))*12</f>
        <v>0.43199013108144868</v>
      </c>
      <c r="S73" s="41" t="str">
        <f t="shared" si="154"/>
        <v>0</v>
      </c>
      <c r="T73" s="24">
        <f t="shared" ref="T73:T88" si="167">(R73-INT(R73))*12</f>
        <v>5.1838815729773842</v>
      </c>
      <c r="U73" s="41" t="str">
        <f t="shared" si="155"/>
        <v>5</v>
      </c>
      <c r="V73" s="24">
        <f t="shared" ref="V73:V88" si="168">(T73-INT(T73))*12</f>
        <v>2.20657887572861</v>
      </c>
      <c r="W73" s="41" t="str">
        <f t="shared" si="156"/>
        <v>2</v>
      </c>
      <c r="X73" s="24">
        <f t="shared" ref="X73:X88" si="169">(V73-INT(V73))*12</f>
        <v>2.47894650874332</v>
      </c>
      <c r="Y73" s="41" t="str">
        <f t="shared" si="157"/>
        <v>2</v>
      </c>
      <c r="Z73" s="24">
        <f t="shared" ref="Z73:Z88" si="170">(X73-INT(X73))*12</f>
        <v>5.7473581049198401</v>
      </c>
      <c r="AA73" s="41" t="str">
        <f t="shared" si="158"/>
        <v>5</v>
      </c>
      <c r="AB73" s="24">
        <f t="shared" ref="AB73:AB88" si="171">(Z73-INT(Z73))*12</f>
        <v>8.9682972590380814</v>
      </c>
      <c r="AC73" s="41" t="str">
        <f t="shared" si="159"/>
        <v>8</v>
      </c>
      <c r="AD73" s="24">
        <f t="shared" ref="AD73:AD88" si="172">(AB73-INT(AB73))*12</f>
        <v>11.619567108456977</v>
      </c>
      <c r="AE73" s="41" t="str">
        <f t="shared" si="160"/>
        <v/>
      </c>
      <c r="AF73" s="24">
        <f t="shared" ref="AF73:AF88" si="173">(AD73-INT(AD73))*12</f>
        <v>7.4348053014837205</v>
      </c>
      <c r="AG73" s="41" t="str">
        <f t="shared" si="161"/>
        <v/>
      </c>
      <c r="AH73" s="24">
        <f t="shared" ref="AH73:AH88" si="174">(AF73-INT(AF73))*12</f>
        <v>5.2176636178046465</v>
      </c>
      <c r="AI73" s="41" t="str">
        <f t="shared" si="162"/>
        <v/>
      </c>
      <c r="AJ73" s="24">
        <f t="shared" ref="AJ73:AJ88" si="175">(AH73-INT(AH73))*12</f>
        <v>2.6119634136557579</v>
      </c>
      <c r="AK73" s="41" t="str">
        <f t="shared" si="163"/>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150"/>
        <v>137.03599917759013</v>
      </c>
      <c r="L74" s="39" t="str">
        <f>INDEX(powers!$H$2:$H$75,33+J74)</f>
        <v xml:space="preserve"> </v>
      </c>
      <c r="M74" s="40" t="str">
        <f t="shared" si="151"/>
        <v/>
      </c>
      <c r="N74" s="24">
        <f t="shared" si="164"/>
        <v>0.43199013108153395</v>
      </c>
      <c r="O74" s="41" t="str">
        <f t="shared" si="152"/>
        <v>0</v>
      </c>
      <c r="P74" s="24">
        <f t="shared" si="165"/>
        <v>5.1838815729784073</v>
      </c>
      <c r="Q74" s="41" t="str">
        <f t="shared" si="153"/>
        <v>5</v>
      </c>
      <c r="R74" s="24">
        <f t="shared" si="166"/>
        <v>2.2065788757408882</v>
      </c>
      <c r="S74" s="41" t="str">
        <f t="shared" si="154"/>
        <v>2</v>
      </c>
      <c r="T74" s="24">
        <f t="shared" si="167"/>
        <v>2.4789465088906582</v>
      </c>
      <c r="U74" s="41" t="str">
        <f t="shared" si="155"/>
        <v>2</v>
      </c>
      <c r="V74" s="24">
        <f t="shared" si="168"/>
        <v>5.7473581066878978</v>
      </c>
      <c r="W74" s="41" t="str">
        <f t="shared" si="156"/>
        <v>5</v>
      </c>
      <c r="X74" s="24">
        <f t="shared" si="169"/>
        <v>8.9682972802547738</v>
      </c>
      <c r="Y74" s="41" t="str">
        <f t="shared" si="157"/>
        <v>8</v>
      </c>
      <c r="Z74" s="24">
        <f t="shared" si="170"/>
        <v>11.619567363057286</v>
      </c>
      <c r="AA74" s="41" t="str">
        <f t="shared" si="158"/>
        <v>E</v>
      </c>
      <c r="AB74" s="24">
        <f t="shared" si="171"/>
        <v>7.4348083566874266</v>
      </c>
      <c r="AC74" s="41" t="str">
        <f t="shared" si="159"/>
        <v>7</v>
      </c>
      <c r="AD74" s="24">
        <f t="shared" si="172"/>
        <v>5.2177002802491188</v>
      </c>
      <c r="AE74" s="41" t="str">
        <f t="shared" si="160"/>
        <v>5</v>
      </c>
      <c r="AF74" s="24">
        <f t="shared" si="173"/>
        <v>2.6124033629894257</v>
      </c>
      <c r="AG74" s="41" t="str">
        <f t="shared" si="161"/>
        <v/>
      </c>
      <c r="AH74" s="24">
        <f t="shared" si="174"/>
        <v>7.3488403558731079</v>
      </c>
      <c r="AI74" s="41" t="str">
        <f t="shared" si="162"/>
        <v/>
      </c>
      <c r="AJ74" s="24">
        <f t="shared" si="175"/>
        <v>4.1860842704772949</v>
      </c>
      <c r="AK74" s="41" t="str">
        <f t="shared" si="163"/>
        <v/>
      </c>
    </row>
    <row r="75" spans="1:37" ht="13.5" customHeight="1" x14ac:dyDescent="0.2">
      <c r="A75" s="578"/>
      <c r="B75" s="8" t="s">
        <v>39</v>
      </c>
      <c r="C75" s="8"/>
      <c r="D75" s="21"/>
      <c r="E75" s="8">
        <v>9</v>
      </c>
      <c r="F75" s="21">
        <f t="shared" ref="F75" si="176">SQRT($D$32)</f>
        <v>8.5424543102670447E-2</v>
      </c>
      <c r="G75" s="37" t="str">
        <f t="shared" ref="G75:G78" si="177">M75&amp;";"&amp;O75&amp;Q75&amp;S75&amp;U75&amp;W75&amp;Y75&amp;AA75&amp;AC75&amp;AE75&amp;AG75&amp;AI75&amp;AK75</f>
        <v>1;0374439E1</v>
      </c>
      <c r="H75" s="37"/>
      <c r="I75" s="285"/>
      <c r="J75" s="38">
        <v>-1</v>
      </c>
      <c r="K75" s="61">
        <f t="shared" si="150"/>
        <v>1.0250945172320454</v>
      </c>
      <c r="L75" s="39" t="str">
        <f>INDEX(powers!$H$2:$H$75,33+J75)</f>
        <v>unino</v>
      </c>
      <c r="M75" s="40" t="str">
        <f t="shared" si="151"/>
        <v>1</v>
      </c>
      <c r="N75" s="24">
        <f t="shared" si="164"/>
        <v>0.30113420678454439</v>
      </c>
      <c r="O75" s="41" t="str">
        <f t="shared" si="152"/>
        <v>0</v>
      </c>
      <c r="P75" s="24">
        <f t="shared" si="165"/>
        <v>3.6136104814145327</v>
      </c>
      <c r="Q75" s="41" t="str">
        <f t="shared" si="153"/>
        <v>3</v>
      </c>
      <c r="R75" s="24">
        <f t="shared" si="166"/>
        <v>7.3633257769743921</v>
      </c>
      <c r="S75" s="41" t="str">
        <f t="shared" si="154"/>
        <v>7</v>
      </c>
      <c r="T75" s="24">
        <f t="shared" si="167"/>
        <v>4.3599093236927047</v>
      </c>
      <c r="U75" s="41" t="str">
        <f t="shared" si="155"/>
        <v>4</v>
      </c>
      <c r="V75" s="24">
        <f t="shared" si="168"/>
        <v>4.3189118843124561</v>
      </c>
      <c r="W75" s="41" t="str">
        <f t="shared" si="156"/>
        <v>4</v>
      </c>
      <c r="X75" s="24">
        <f t="shared" si="169"/>
        <v>3.8269426117494731</v>
      </c>
      <c r="Y75" s="41" t="str">
        <f t="shared" si="157"/>
        <v>3</v>
      </c>
      <c r="Z75" s="24">
        <f t="shared" si="170"/>
        <v>9.9233113409936777</v>
      </c>
      <c r="AA75" s="41" t="str">
        <f t="shared" si="158"/>
        <v>9</v>
      </c>
      <c r="AB75" s="24">
        <f t="shared" si="171"/>
        <v>11.079736091924133</v>
      </c>
      <c r="AC75" s="41" t="str">
        <f t="shared" si="159"/>
        <v>E</v>
      </c>
      <c r="AD75" s="24">
        <f t="shared" si="172"/>
        <v>0.95683310308959335</v>
      </c>
      <c r="AE75" s="41" t="str">
        <f t="shared" si="160"/>
        <v>1</v>
      </c>
      <c r="AF75" s="24">
        <f t="shared" si="173"/>
        <v>11.48199723707512</v>
      </c>
      <c r="AG75" s="41" t="str">
        <f t="shared" si="161"/>
        <v/>
      </c>
      <c r="AH75" s="24">
        <f t="shared" si="174"/>
        <v>5.7839668449014425</v>
      </c>
      <c r="AI75" s="41" t="str">
        <f t="shared" si="162"/>
        <v/>
      </c>
      <c r="AJ75" s="24">
        <f t="shared" si="175"/>
        <v>9.4076021388173103</v>
      </c>
      <c r="AK75" s="41" t="str">
        <f t="shared" si="163"/>
        <v/>
      </c>
    </row>
    <row r="76" spans="1:37" ht="13.5" customHeight="1" x14ac:dyDescent="0.2">
      <c r="A76" s="578"/>
      <c r="B76" s="8" t="s">
        <v>35</v>
      </c>
      <c r="C76" s="8"/>
      <c r="D76" s="21"/>
      <c r="E76" s="8">
        <v>9</v>
      </c>
      <c r="F76" s="21">
        <f>1/SQRT($D$32)</f>
        <v>11.706237618363557</v>
      </c>
      <c r="G76" s="37" t="str">
        <f t="shared" si="177"/>
        <v>0;E85846629</v>
      </c>
      <c r="H76" s="37"/>
      <c r="I76" s="285"/>
      <c r="J76" s="38">
        <v>1</v>
      </c>
      <c r="K76" s="61">
        <f t="shared" si="150"/>
        <v>0.97551980153029649</v>
      </c>
      <c r="L76" s="39" t="str">
        <f>INDEX(powers!$H$2:$H$75,33+J76)</f>
        <v>dozen</v>
      </c>
      <c r="M76" s="40" t="str">
        <f t="shared" si="151"/>
        <v>0</v>
      </c>
      <c r="N76" s="24">
        <f t="shared" si="164"/>
        <v>11.706237618363557</v>
      </c>
      <c r="O76" s="41" t="str">
        <f t="shared" si="152"/>
        <v>E</v>
      </c>
      <c r="P76" s="24">
        <f t="shared" si="165"/>
        <v>8.4748514203626897</v>
      </c>
      <c r="Q76" s="41" t="str">
        <f t="shared" si="153"/>
        <v>8</v>
      </c>
      <c r="R76" s="24">
        <f t="shared" si="166"/>
        <v>5.6982170443522762</v>
      </c>
      <c r="S76" s="41" t="str">
        <f t="shared" si="154"/>
        <v>5</v>
      </c>
      <c r="T76" s="24">
        <f t="shared" si="167"/>
        <v>8.3786045322273139</v>
      </c>
      <c r="U76" s="41" t="str">
        <f t="shared" si="155"/>
        <v>8</v>
      </c>
      <c r="V76" s="24">
        <f t="shared" si="168"/>
        <v>4.5432543867277673</v>
      </c>
      <c r="W76" s="41" t="str">
        <f t="shared" si="156"/>
        <v>4</v>
      </c>
      <c r="X76" s="24">
        <f t="shared" si="169"/>
        <v>6.5190526407332072</v>
      </c>
      <c r="Y76" s="41" t="str">
        <f t="shared" si="157"/>
        <v>6</v>
      </c>
      <c r="Z76" s="24">
        <f t="shared" si="170"/>
        <v>6.2286316887984867</v>
      </c>
      <c r="AA76" s="41" t="str">
        <f t="shared" si="158"/>
        <v>6</v>
      </c>
      <c r="AB76" s="24">
        <f t="shared" si="171"/>
        <v>2.7435802655818406</v>
      </c>
      <c r="AC76" s="41" t="str">
        <f t="shared" si="159"/>
        <v>2</v>
      </c>
      <c r="AD76" s="24">
        <f t="shared" si="172"/>
        <v>8.9229631869820878</v>
      </c>
      <c r="AE76" s="41" t="str">
        <f t="shared" si="160"/>
        <v>9</v>
      </c>
      <c r="AF76" s="24">
        <f t="shared" si="173"/>
        <v>11.075558243785053</v>
      </c>
      <c r="AG76" s="41" t="str">
        <f t="shared" si="161"/>
        <v/>
      </c>
      <c r="AH76" s="24">
        <f t="shared" si="174"/>
        <v>0.9066989254206419</v>
      </c>
      <c r="AI76" s="41" t="str">
        <f t="shared" si="162"/>
        <v/>
      </c>
      <c r="AJ76" s="24">
        <f t="shared" si="175"/>
        <v>10.880387105047703</v>
      </c>
      <c r="AK76" s="41" t="str">
        <f t="shared" si="163"/>
        <v/>
      </c>
    </row>
    <row r="77" spans="1:37" ht="13.5" customHeight="1" x14ac:dyDescent="0.2">
      <c r="A77" s="578"/>
      <c r="B77" s="8" t="s">
        <v>36</v>
      </c>
      <c r="C77" s="8"/>
      <c r="D77" s="21"/>
      <c r="E77" s="8">
        <v>12</v>
      </c>
      <c r="F77" s="21">
        <f>4*PI()</f>
        <v>12.566370614359172</v>
      </c>
      <c r="G77" s="37" t="str">
        <f t="shared" si="177"/>
        <v>1;0696831713E1</v>
      </c>
      <c r="H77" s="37"/>
      <c r="I77" s="285"/>
      <c r="J77" s="38">
        <v>1</v>
      </c>
      <c r="K77" s="61">
        <f t="shared" si="150"/>
        <v>1.0471975511965976</v>
      </c>
      <c r="L77" s="39" t="str">
        <f>INDEX(powers!$H$2:$H$75,33+J77)</f>
        <v>dozen</v>
      </c>
      <c r="M77" s="40" t="str">
        <f t="shared" si="151"/>
        <v>1</v>
      </c>
      <c r="N77" s="24">
        <f t="shared" si="164"/>
        <v>0.56637061435917158</v>
      </c>
      <c r="O77" s="41" t="str">
        <f t="shared" si="152"/>
        <v>0</v>
      </c>
      <c r="P77" s="24">
        <f t="shared" si="165"/>
        <v>6.7964473723100589</v>
      </c>
      <c r="Q77" s="41" t="str">
        <f t="shared" si="153"/>
        <v>6</v>
      </c>
      <c r="R77" s="24">
        <f t="shared" si="166"/>
        <v>9.5573684677207069</v>
      </c>
      <c r="S77" s="41" t="str">
        <f t="shared" si="154"/>
        <v>9</v>
      </c>
      <c r="T77" s="24">
        <f t="shared" si="167"/>
        <v>6.688421612648483</v>
      </c>
      <c r="U77" s="41" t="str">
        <f t="shared" si="155"/>
        <v>6</v>
      </c>
      <c r="V77" s="24">
        <f t="shared" si="168"/>
        <v>8.2610593517817961</v>
      </c>
      <c r="W77" s="41" t="str">
        <f t="shared" si="156"/>
        <v>8</v>
      </c>
      <c r="X77" s="24">
        <f t="shared" si="169"/>
        <v>3.1327122213815528</v>
      </c>
      <c r="Y77" s="41" t="str">
        <f t="shared" si="157"/>
        <v>3</v>
      </c>
      <c r="Z77" s="24">
        <f t="shared" si="170"/>
        <v>1.5925466565786337</v>
      </c>
      <c r="AA77" s="41" t="str">
        <f t="shared" si="158"/>
        <v>1</v>
      </c>
      <c r="AB77" s="24">
        <f t="shared" si="171"/>
        <v>7.1105598789436044</v>
      </c>
      <c r="AC77" s="41" t="str">
        <f t="shared" si="159"/>
        <v>7</v>
      </c>
      <c r="AD77" s="24">
        <f t="shared" si="172"/>
        <v>1.326718547323253</v>
      </c>
      <c r="AE77" s="41" t="str">
        <f t="shared" si="160"/>
        <v>1</v>
      </c>
      <c r="AF77" s="24">
        <f t="shared" si="173"/>
        <v>3.9206225678790361</v>
      </c>
      <c r="AG77" s="41" t="str">
        <f t="shared" si="161"/>
        <v>3</v>
      </c>
      <c r="AH77" s="24">
        <f t="shared" si="174"/>
        <v>11.047470814548433</v>
      </c>
      <c r="AI77" s="41" t="str">
        <f t="shared" si="162"/>
        <v>E</v>
      </c>
      <c r="AJ77" s="24">
        <f t="shared" si="175"/>
        <v>0.56964977458119392</v>
      </c>
      <c r="AK77" s="41" t="str">
        <f t="shared" si="163"/>
        <v>1</v>
      </c>
    </row>
    <row r="78" spans="1:37" ht="13.5" customHeight="1" x14ac:dyDescent="0.2">
      <c r="A78" s="578"/>
      <c r="B78" s="30" t="s">
        <v>37</v>
      </c>
      <c r="C78" s="30"/>
      <c r="D78" s="29"/>
      <c r="E78" s="8">
        <v>12</v>
      </c>
      <c r="F78" s="21">
        <f>1/(4*PI())</f>
        <v>7.9577471545947673E-2</v>
      </c>
      <c r="G78" s="37" t="str">
        <f t="shared" si="177"/>
        <v>0;E5615082189E</v>
      </c>
      <c r="H78" s="37"/>
      <c r="I78" s="285"/>
      <c r="J78" s="38">
        <v>-1</v>
      </c>
      <c r="K78" s="61">
        <f t="shared" si="150"/>
        <v>0.95492965855137213</v>
      </c>
      <c r="L78" s="39" t="str">
        <f>INDEX(powers!$H$2:$H$75,33+J78)</f>
        <v>unino</v>
      </c>
      <c r="M78" s="40" t="str">
        <f t="shared" si="151"/>
        <v>0</v>
      </c>
      <c r="N78" s="24">
        <f t="shared" si="164"/>
        <v>11.459155902616466</v>
      </c>
      <c r="O78" s="41" t="str">
        <f t="shared" si="152"/>
        <v>E</v>
      </c>
      <c r="P78" s="24">
        <f t="shared" si="165"/>
        <v>5.5098708313975919</v>
      </c>
      <c r="Q78" s="41" t="str">
        <f t="shared" si="153"/>
        <v>5</v>
      </c>
      <c r="R78" s="24">
        <f t="shared" si="166"/>
        <v>6.1184499767711031</v>
      </c>
      <c r="S78" s="41" t="str">
        <f t="shared" si="154"/>
        <v>6</v>
      </c>
      <c r="T78" s="24">
        <f t="shared" si="167"/>
        <v>1.4213997212532377</v>
      </c>
      <c r="U78" s="41" t="str">
        <f t="shared" si="155"/>
        <v>1</v>
      </c>
      <c r="V78" s="24">
        <f t="shared" si="168"/>
        <v>5.0567966550388519</v>
      </c>
      <c r="W78" s="41" t="str">
        <f t="shared" si="156"/>
        <v>5</v>
      </c>
      <c r="X78" s="24">
        <f t="shared" si="169"/>
        <v>0.68155986046622274</v>
      </c>
      <c r="Y78" s="41" t="str">
        <f t="shared" si="157"/>
        <v>0</v>
      </c>
      <c r="Z78" s="24">
        <f t="shared" si="170"/>
        <v>8.1787183255946729</v>
      </c>
      <c r="AA78" s="41" t="str">
        <f t="shared" si="158"/>
        <v>8</v>
      </c>
      <c r="AB78" s="24">
        <f t="shared" si="171"/>
        <v>2.1446199071360752</v>
      </c>
      <c r="AC78" s="41" t="str">
        <f t="shared" si="159"/>
        <v>2</v>
      </c>
      <c r="AD78" s="24">
        <f t="shared" si="172"/>
        <v>1.7354388856329024</v>
      </c>
      <c r="AE78" s="41" t="str">
        <f t="shared" si="160"/>
        <v>1</v>
      </c>
      <c r="AF78" s="24">
        <f t="shared" si="173"/>
        <v>8.8252666275948286</v>
      </c>
      <c r="AG78" s="41" t="str">
        <f t="shared" si="161"/>
        <v>8</v>
      </c>
      <c r="AH78" s="24">
        <f t="shared" si="174"/>
        <v>9.9031995311379433</v>
      </c>
      <c r="AI78" s="41" t="str">
        <f t="shared" si="162"/>
        <v>9</v>
      </c>
      <c r="AJ78" s="24">
        <f t="shared" si="175"/>
        <v>10.838394373655319</v>
      </c>
      <c r="AK78" s="41" t="str">
        <f t="shared" si="163"/>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150"/>
        <v>137.50987083139759</v>
      </c>
      <c r="L79" s="39" t="str">
        <f>INDEX(powers!$H$2:$H$75,33+J79)</f>
        <v>terno</v>
      </c>
      <c r="M79" s="40" t="str">
        <f t="shared" si="151"/>
        <v/>
      </c>
      <c r="N79" s="24">
        <f t="shared" si="164"/>
        <v>6.1184499767711031</v>
      </c>
      <c r="O79" s="41" t="str">
        <f t="shared" si="152"/>
        <v>6</v>
      </c>
      <c r="P79" s="24">
        <f t="shared" si="165"/>
        <v>1.4213997212532377</v>
      </c>
      <c r="Q79" s="41" t="str">
        <f t="shared" si="153"/>
        <v>1</v>
      </c>
      <c r="R79" s="24">
        <f t="shared" si="166"/>
        <v>5.0567966550388519</v>
      </c>
      <c r="S79" s="41" t="str">
        <f t="shared" si="154"/>
        <v>5</v>
      </c>
      <c r="T79" s="24">
        <f t="shared" si="167"/>
        <v>0.68155986046622274</v>
      </c>
      <c r="U79" s="41" t="str">
        <f t="shared" si="155"/>
        <v>0</v>
      </c>
      <c r="V79" s="24">
        <f t="shared" si="168"/>
        <v>8.1787183255946729</v>
      </c>
      <c r="W79" s="41" t="str">
        <f t="shared" si="156"/>
        <v>8</v>
      </c>
      <c r="X79" s="24">
        <f t="shared" si="169"/>
        <v>2.1446199071360752</v>
      </c>
      <c r="Y79" s="41" t="str">
        <f t="shared" si="157"/>
        <v>2</v>
      </c>
      <c r="Z79" s="24">
        <f t="shared" si="170"/>
        <v>1.7354388856329024</v>
      </c>
      <c r="AA79" s="41" t="str">
        <f t="shared" si="158"/>
        <v>1</v>
      </c>
      <c r="AB79" s="24">
        <f t="shared" si="171"/>
        <v>8.8252666275948286</v>
      </c>
      <c r="AC79" s="41" t="str">
        <f t="shared" si="159"/>
        <v>8</v>
      </c>
      <c r="AD79" s="24">
        <f t="shared" si="172"/>
        <v>9.9031995311379433</v>
      </c>
      <c r="AE79" s="41" t="str">
        <f t="shared" si="160"/>
        <v>X</v>
      </c>
      <c r="AF79" s="24">
        <f t="shared" si="173"/>
        <v>10.838394373655319</v>
      </c>
      <c r="AG79" s="41" t="str">
        <f t="shared" si="161"/>
        <v/>
      </c>
      <c r="AH79" s="24">
        <f t="shared" si="174"/>
        <v>10.060732483863831</v>
      </c>
      <c r="AI79" s="41" t="str">
        <f t="shared" si="162"/>
        <v/>
      </c>
      <c r="AJ79" s="24">
        <f t="shared" si="175"/>
        <v>0.7287898063659668</v>
      </c>
      <c r="AK79" s="41" t="str">
        <f t="shared" si="163"/>
        <v/>
      </c>
    </row>
    <row r="80" spans="1:37" ht="13.5" customHeight="1" x14ac:dyDescent="0.2">
      <c r="A80" s="578"/>
      <c r="B80" s="8" t="s">
        <v>32</v>
      </c>
      <c r="C80" s="8"/>
      <c r="D80" s="21"/>
      <c r="E80" s="8">
        <v>9</v>
      </c>
      <c r="F80" s="21">
        <f>4*PI()/$D$32</f>
        <v>1722.0451531746162</v>
      </c>
      <c r="G80" s="37" t="str">
        <f t="shared" ref="G80:G82" si="178">M80&amp;";"&amp;O80&amp;Q80&amp;S80&amp;U80&amp;W80&amp;Y80&amp;AA80&amp;AC80&amp;AE80&amp;AG80&amp;AI80&amp;AK80</f>
        <v>0;EE6066037</v>
      </c>
      <c r="H80" s="37"/>
      <c r="I80" s="285"/>
      <c r="J80" s="38">
        <v>3</v>
      </c>
      <c r="K80" s="61">
        <f t="shared" si="150"/>
        <v>0.99655390808716215</v>
      </c>
      <c r="L80" s="39" t="str">
        <f>INDEX(powers!$H$2:$H$75,33+J80)</f>
        <v>doz gross</v>
      </c>
      <c r="M80" s="40" t="str">
        <f t="shared" si="151"/>
        <v>0</v>
      </c>
      <c r="N80" s="24">
        <f t="shared" si="164"/>
        <v>11.958646897045945</v>
      </c>
      <c r="O80" s="41" t="str">
        <f t="shared" si="152"/>
        <v>E</v>
      </c>
      <c r="P80" s="24">
        <f t="shared" si="165"/>
        <v>11.50376276455134</v>
      </c>
      <c r="Q80" s="41" t="str">
        <f t="shared" si="153"/>
        <v>E</v>
      </c>
      <c r="R80" s="24">
        <f t="shared" si="166"/>
        <v>6.0451531746160754</v>
      </c>
      <c r="S80" s="41" t="str">
        <f t="shared" si="154"/>
        <v>6</v>
      </c>
      <c r="T80" s="24">
        <f t="shared" si="167"/>
        <v>0.54183809539290451</v>
      </c>
      <c r="U80" s="41" t="str">
        <f t="shared" si="155"/>
        <v>0</v>
      </c>
      <c r="V80" s="24">
        <f t="shared" si="168"/>
        <v>6.5020571447148541</v>
      </c>
      <c r="W80" s="41" t="str">
        <f t="shared" si="156"/>
        <v>6</v>
      </c>
      <c r="X80" s="24">
        <f t="shared" si="169"/>
        <v>6.0246857365782489</v>
      </c>
      <c r="Y80" s="41" t="str">
        <f t="shared" si="157"/>
        <v>6</v>
      </c>
      <c r="Z80" s="24">
        <f t="shared" si="170"/>
        <v>0.29622883893898688</v>
      </c>
      <c r="AA80" s="41" t="str">
        <f t="shared" si="158"/>
        <v>0</v>
      </c>
      <c r="AB80" s="24">
        <f t="shared" si="171"/>
        <v>3.5547460672678426</v>
      </c>
      <c r="AC80" s="41" t="str">
        <f t="shared" si="159"/>
        <v>3</v>
      </c>
      <c r="AD80" s="24">
        <f t="shared" si="172"/>
        <v>6.6569528072141111</v>
      </c>
      <c r="AE80" s="41" t="str">
        <f t="shared" si="160"/>
        <v>7</v>
      </c>
      <c r="AF80" s="24">
        <f t="shared" si="173"/>
        <v>7.8834336865693331</v>
      </c>
      <c r="AG80" s="41" t="str">
        <f t="shared" si="161"/>
        <v/>
      </c>
      <c r="AH80" s="24">
        <f t="shared" si="174"/>
        <v>10.601204238831997</v>
      </c>
      <c r="AI80" s="41" t="str">
        <f t="shared" si="162"/>
        <v/>
      </c>
      <c r="AJ80" s="24">
        <f t="shared" si="175"/>
        <v>7.214450865983963</v>
      </c>
      <c r="AK80" s="41" t="str">
        <f t="shared" si="163"/>
        <v/>
      </c>
    </row>
    <row r="81" spans="1:37" ht="13.5" customHeight="1" x14ac:dyDescent="0.2">
      <c r="A81" s="578"/>
      <c r="B81" s="8" t="s">
        <v>38</v>
      </c>
      <c r="C81" s="8"/>
      <c r="D81" s="21"/>
      <c r="E81" s="8">
        <v>9</v>
      </c>
      <c r="F81" s="21">
        <f>$D$32/(4*PI())</f>
        <v>5.8070486604633147E-4</v>
      </c>
      <c r="G81" s="37" t="str">
        <f t="shared" si="178"/>
        <v>1;005E85684</v>
      </c>
      <c r="H81" s="37"/>
      <c r="I81" s="285"/>
      <c r="J81" s="38">
        <v>-3</v>
      </c>
      <c r="K81" s="61">
        <f t="shared" si="150"/>
        <v>1.0034580085280609</v>
      </c>
      <c r="L81" s="39" t="str">
        <f>INDEX(powers!$H$2:$H$75,33+J81)</f>
        <v>terno</v>
      </c>
      <c r="M81" s="40" t="str">
        <f t="shared" si="151"/>
        <v>1</v>
      </c>
      <c r="N81" s="24">
        <f t="shared" si="164"/>
        <v>4.1496102336730623E-2</v>
      </c>
      <c r="O81" s="41" t="str">
        <f t="shared" si="152"/>
        <v>0</v>
      </c>
      <c r="P81" s="24">
        <f t="shared" si="165"/>
        <v>0.49795322804076747</v>
      </c>
      <c r="Q81" s="41" t="str">
        <f t="shared" si="153"/>
        <v>0</v>
      </c>
      <c r="R81" s="24">
        <f t="shared" si="166"/>
        <v>5.9754387364892096</v>
      </c>
      <c r="S81" s="41" t="str">
        <f t="shared" si="154"/>
        <v>5</v>
      </c>
      <c r="T81" s="24">
        <f t="shared" si="167"/>
        <v>11.705264837870516</v>
      </c>
      <c r="U81" s="41" t="str">
        <f t="shared" si="155"/>
        <v>E</v>
      </c>
      <c r="V81" s="24">
        <f t="shared" si="168"/>
        <v>8.463178054446189</v>
      </c>
      <c r="W81" s="41" t="str">
        <f t="shared" si="156"/>
        <v>8</v>
      </c>
      <c r="X81" s="24">
        <f t="shared" si="169"/>
        <v>5.5581366533542678</v>
      </c>
      <c r="Y81" s="41" t="str">
        <f t="shared" si="157"/>
        <v>5</v>
      </c>
      <c r="Z81" s="24">
        <f t="shared" si="170"/>
        <v>6.6976398402512132</v>
      </c>
      <c r="AA81" s="41" t="str">
        <f t="shared" si="158"/>
        <v>6</v>
      </c>
      <c r="AB81" s="24">
        <f t="shared" si="171"/>
        <v>8.3716780830145581</v>
      </c>
      <c r="AC81" s="41" t="str">
        <f t="shared" si="159"/>
        <v>8</v>
      </c>
      <c r="AD81" s="24">
        <f t="shared" si="172"/>
        <v>4.4601369961746968</v>
      </c>
      <c r="AE81" s="41" t="str">
        <f t="shared" si="160"/>
        <v>4</v>
      </c>
      <c r="AF81" s="24">
        <f t="shared" si="173"/>
        <v>5.521643954096362</v>
      </c>
      <c r="AG81" s="41" t="str">
        <f t="shared" si="161"/>
        <v/>
      </c>
      <c r="AH81" s="24">
        <f t="shared" si="174"/>
        <v>6.2597274491563439</v>
      </c>
      <c r="AI81" s="41" t="str">
        <f t="shared" si="162"/>
        <v/>
      </c>
      <c r="AJ81" s="24">
        <f t="shared" si="175"/>
        <v>3.1167293898761272</v>
      </c>
      <c r="AK81" s="41" t="str">
        <f t="shared" si="163"/>
        <v/>
      </c>
    </row>
    <row r="82" spans="1:37" ht="13.5" customHeight="1" x14ac:dyDescent="0.2">
      <c r="A82" s="578"/>
      <c r="B82" s="8" t="s">
        <v>33</v>
      </c>
      <c r="C82" s="8"/>
      <c r="D82" s="21"/>
      <c r="E82" s="8">
        <v>9</v>
      </c>
      <c r="F82" s="21">
        <f>4*PI()/($D$32*$D$32)</f>
        <v>235982.17819420979</v>
      </c>
      <c r="G82" s="37" t="str">
        <f t="shared" si="178"/>
        <v>0;E4692217E</v>
      </c>
      <c r="H82" s="37"/>
      <c r="I82" s="285"/>
      <c r="J82" s="38">
        <v>5</v>
      </c>
      <c r="K82" s="61">
        <f t="shared" si="150"/>
        <v>0.94835944811844852</v>
      </c>
      <c r="L82" s="39" t="str">
        <f>INDEX(powers!$H$2:$H$75,33+J82)</f>
        <v>terno cosmic</v>
      </c>
      <c r="M82" s="40" t="str">
        <f t="shared" si="151"/>
        <v>0</v>
      </c>
      <c r="N82" s="24">
        <f t="shared" si="164"/>
        <v>11.380313377421382</v>
      </c>
      <c r="O82" s="41" t="str">
        <f t="shared" si="152"/>
        <v>E</v>
      </c>
      <c r="P82" s="24">
        <f t="shared" si="165"/>
        <v>4.5637605290565872</v>
      </c>
      <c r="Q82" s="41" t="str">
        <f t="shared" si="153"/>
        <v>4</v>
      </c>
      <c r="R82" s="24">
        <f t="shared" si="166"/>
        <v>6.7651263486790469</v>
      </c>
      <c r="S82" s="41" t="str">
        <f t="shared" si="154"/>
        <v>6</v>
      </c>
      <c r="T82" s="24">
        <f t="shared" si="167"/>
        <v>9.1815161841485633</v>
      </c>
      <c r="U82" s="41" t="str">
        <f t="shared" si="155"/>
        <v>9</v>
      </c>
      <c r="V82" s="24">
        <f t="shared" si="168"/>
        <v>2.1781942097827596</v>
      </c>
      <c r="W82" s="41" t="str">
        <f t="shared" si="156"/>
        <v>2</v>
      </c>
      <c r="X82" s="24">
        <f t="shared" si="169"/>
        <v>2.1383305173931149</v>
      </c>
      <c r="Y82" s="41" t="str">
        <f t="shared" si="157"/>
        <v>2</v>
      </c>
      <c r="Z82" s="24">
        <f t="shared" si="170"/>
        <v>1.6599662087173783</v>
      </c>
      <c r="AA82" s="41" t="str">
        <f t="shared" si="158"/>
        <v>1</v>
      </c>
      <c r="AB82" s="24">
        <f t="shared" si="171"/>
        <v>7.9195945046085399</v>
      </c>
      <c r="AC82" s="41" t="str">
        <f t="shared" si="159"/>
        <v>7</v>
      </c>
      <c r="AD82" s="24">
        <f t="shared" si="172"/>
        <v>11.035134055302478</v>
      </c>
      <c r="AE82" s="41" t="str">
        <f t="shared" si="160"/>
        <v>E</v>
      </c>
      <c r="AF82" s="24">
        <f t="shared" si="173"/>
        <v>0.42160866362974048</v>
      </c>
      <c r="AG82" s="41" t="str">
        <f t="shared" si="161"/>
        <v/>
      </c>
      <c r="AH82" s="24">
        <f t="shared" si="174"/>
        <v>5.0593039635568857</v>
      </c>
      <c r="AI82" s="41" t="str">
        <f t="shared" si="162"/>
        <v/>
      </c>
      <c r="AJ82" s="24">
        <f t="shared" si="175"/>
        <v>0.71164756268262863</v>
      </c>
      <c r="AK82" s="41" t="str">
        <f t="shared" si="163"/>
        <v/>
      </c>
    </row>
    <row r="83" spans="1:37" ht="14.25" customHeight="1" x14ac:dyDescent="0.2">
      <c r="A83" s="578"/>
      <c r="B83" s="30" t="s">
        <v>41</v>
      </c>
      <c r="C83" s="30"/>
      <c r="D83" s="29"/>
      <c r="E83" s="30">
        <v>9</v>
      </c>
      <c r="F83" s="29">
        <f>($D$32*$D$32)/(4*PI())</f>
        <v>4.2376081433446851E-6</v>
      </c>
      <c r="G83" s="108" t="str">
        <f t="shared" ref="G83:G88" si="179">M83&amp;";"&amp;O83&amp;Q83&amp;S83&amp;U83&amp;W83&amp;Y83&amp;AA83&amp;AC83&amp;AE83&amp;AG83&amp;AI83&amp;AK83</f>
        <v>1;07X1163X5</v>
      </c>
      <c r="H83" s="108"/>
      <c r="I83" s="286"/>
      <c r="J83" s="43">
        <v>-5</v>
      </c>
      <c r="K83" s="62">
        <f t="shared" si="150"/>
        <v>1.0544525095247446</v>
      </c>
      <c r="L83" s="44" t="str">
        <f>INDEX(powers!$H$2:$H$75,33+J83)</f>
        <v>doz gross atomic</v>
      </c>
      <c r="M83" s="40" t="str">
        <f t="shared" si="151"/>
        <v>1</v>
      </c>
      <c r="N83" s="24">
        <f t="shared" ref="N83:N86" si="180">(K83-INT(K83))*12</f>
        <v>0.65343011429693476</v>
      </c>
      <c r="O83" s="41" t="str">
        <f t="shared" si="152"/>
        <v>0</v>
      </c>
      <c r="P83" s="24">
        <f t="shared" ref="P83:P86" si="181">(N83-INT(N83))*12</f>
        <v>7.8411613715632171</v>
      </c>
      <c r="Q83" s="41" t="str">
        <f t="shared" si="153"/>
        <v>7</v>
      </c>
      <c r="R83" s="24">
        <f t="shared" ref="R83:R86" si="182">(P83-INT(P83))*12</f>
        <v>10.093936458758606</v>
      </c>
      <c r="S83" s="41" t="str">
        <f t="shared" si="154"/>
        <v>X</v>
      </c>
      <c r="T83" s="24">
        <f t="shared" ref="T83:T86" si="183">(R83-INT(R83))*12</f>
        <v>1.1272375051032668</v>
      </c>
      <c r="U83" s="41" t="str">
        <f t="shared" si="155"/>
        <v>1</v>
      </c>
      <c r="V83" s="24">
        <f t="shared" ref="V83:V86" si="184">(T83-INT(T83))*12</f>
        <v>1.5268500612392018</v>
      </c>
      <c r="W83" s="41" t="str">
        <f t="shared" si="156"/>
        <v>1</v>
      </c>
      <c r="X83" s="24">
        <f t="shared" ref="X83:X86" si="185">(V83-INT(V83))*12</f>
        <v>6.322200734870421</v>
      </c>
      <c r="Y83" s="41" t="str">
        <f t="shared" si="157"/>
        <v>6</v>
      </c>
      <c r="Z83" s="24">
        <f t="shared" ref="Z83:Z86" si="186">(X83-INT(X83))*12</f>
        <v>3.866408818445052</v>
      </c>
      <c r="AA83" s="41" t="str">
        <f t="shared" si="158"/>
        <v>3</v>
      </c>
      <c r="AB83" s="24">
        <f t="shared" ref="AB83:AB86" si="187">(Z83-INT(Z83))*12</f>
        <v>10.396905821340624</v>
      </c>
      <c r="AC83" s="41" t="str">
        <f t="shared" si="159"/>
        <v>X</v>
      </c>
      <c r="AD83" s="24">
        <f t="shared" ref="AD83:AD86" si="188">(AB83-INT(AB83))*12</f>
        <v>4.7628698560874909</v>
      </c>
      <c r="AE83" s="41" t="str">
        <f t="shared" si="160"/>
        <v>5</v>
      </c>
      <c r="AF83" s="24">
        <f t="shared" ref="AF83:AF86" si="189">(AD83-INT(AD83))*12</f>
        <v>9.154438273049891</v>
      </c>
      <c r="AG83" s="41" t="str">
        <f t="shared" si="161"/>
        <v/>
      </c>
      <c r="AH83" s="24">
        <f t="shared" ref="AH83:AH86" si="190">(AF83-INT(AF83))*12</f>
        <v>1.8532592765986919</v>
      </c>
      <c r="AI83" s="41" t="str">
        <f t="shared" si="162"/>
        <v/>
      </c>
      <c r="AJ83" s="24">
        <f t="shared" ref="AJ83:AJ86" si="191">(AH83-INT(AH83))*12</f>
        <v>10.239111319184303</v>
      </c>
      <c r="AK83" s="41" t="str">
        <f t="shared" si="163"/>
        <v/>
      </c>
    </row>
    <row r="84" spans="1:37" ht="14.25" customHeight="1" x14ac:dyDescent="0.2">
      <c r="A84" s="578"/>
      <c r="B84" s="30" t="s">
        <v>1220</v>
      </c>
      <c r="C84" s="30"/>
      <c r="D84" s="29"/>
      <c r="E84" s="30">
        <v>11</v>
      </c>
      <c r="F84" s="29">
        <v>1836.15267245</v>
      </c>
      <c r="G84" s="108" t="str">
        <f t="shared" ref="G84" si="192">M84&amp;";"&amp;O84&amp;Q84&amp;S84&amp;U84&amp;W84&amp;Y84&amp;AA84&amp;AC84&amp;AE84&amp;AG84&amp;AI84&amp;AK84</f>
        <v>1;09019E9995E</v>
      </c>
      <c r="H84" s="108"/>
      <c r="I84" s="286"/>
      <c r="J84" s="43">
        <v>3</v>
      </c>
      <c r="K84" s="62">
        <f t="shared" ref="K84" si="193">F84/POWER(12,J84)</f>
        <v>1.0625883521122685</v>
      </c>
      <c r="L84" s="44" t="str">
        <f>INDEX(powers!$H$2:$H$75,33+J84)</f>
        <v>doz gross</v>
      </c>
      <c r="M84" s="40" t="str">
        <f t="shared" ref="M84" si="194">IF($E84&gt;=M$31,MID($J$31,IF($E84&gt;M$31,INT(K84),ROUND(K84,0))+1,1),"")</f>
        <v>1</v>
      </c>
      <c r="N84" s="24">
        <f t="shared" ref="N84" si="195">(K84-INT(K84))*12</f>
        <v>0.7510602253472225</v>
      </c>
      <c r="O84" s="41" t="str">
        <f t="shared" ref="O84" si="196">IF($E84&gt;=O$31,MID($J$31,IF($E84&gt;O$31,INT(N84),ROUND(N84,0))+1,1),"")</f>
        <v>0</v>
      </c>
      <c r="P84" s="24">
        <f t="shared" ref="P84" si="197">(N84-INT(N84))*12</f>
        <v>9.01272270416667</v>
      </c>
      <c r="Q84" s="41" t="str">
        <f t="shared" ref="Q84" si="198">IF($E84&gt;=Q$31,MID($J$31,IF($E84&gt;Q$31,INT(P84),ROUND(P84,0))+1,1),"")</f>
        <v>9</v>
      </c>
      <c r="R84" s="24">
        <f t="shared" ref="R84" si="199">(P84-INT(P84))*12</f>
        <v>0.15267245000003982</v>
      </c>
      <c r="S84" s="41" t="str">
        <f t="shared" ref="S84" si="200">IF($E84&gt;=S$31,MID($J$31,IF($E84&gt;S$31,INT(R84),ROUND(R84,0))+1,1),"")</f>
        <v>0</v>
      </c>
      <c r="T84" s="24">
        <f t="shared" ref="T84" si="201">(R84-INT(R84))*12</f>
        <v>1.8320694000004778</v>
      </c>
      <c r="U84" s="41" t="str">
        <f t="shared" ref="U84" si="202">IF($E84&gt;=U$31,MID($J$31,IF($E84&gt;U$31,INT(T84),ROUND(T84,0))+1,1),"")</f>
        <v>1</v>
      </c>
      <c r="V84" s="24">
        <f t="shared" ref="V84" si="203">(T84-INT(T84))*12</f>
        <v>9.9848328000057336</v>
      </c>
      <c r="W84" s="41" t="str">
        <f t="shared" ref="W84" si="204">IF($E84&gt;=W$31,MID($J$31,IF($E84&gt;W$31,INT(V84),ROUND(V84,0))+1,1),"")</f>
        <v>9</v>
      </c>
      <c r="X84" s="24">
        <f t="shared" ref="X84" si="205">(V84-INT(V84))*12</f>
        <v>11.817993600068803</v>
      </c>
      <c r="Y84" s="41" t="str">
        <f t="shared" ref="Y84" si="206">IF($E84&gt;=Y$31,MID($J$31,IF($E84&gt;Y$31,INT(X84),ROUND(X84,0))+1,1),"")</f>
        <v>E</v>
      </c>
      <c r="Z84" s="24">
        <f t="shared" ref="Z84" si="207">(X84-INT(X84))*12</f>
        <v>9.8159232008256367</v>
      </c>
      <c r="AA84" s="41" t="str">
        <f t="shared" ref="AA84" si="208">IF($E84&gt;=AA$31,MID($J$31,IF($E84&gt;AA$31,INT(Z84),ROUND(Z84,0))+1,1),"")</f>
        <v>9</v>
      </c>
      <c r="AB84" s="24">
        <f t="shared" ref="AB84" si="209">(Z84-INT(Z84))*12</f>
        <v>9.7910784099076409</v>
      </c>
      <c r="AC84" s="41" t="str">
        <f t="shared" ref="AC84" si="210">IF($E84&gt;=AC$31,MID($J$31,IF($E84&gt;AC$31,INT(AB84),ROUND(AB84,0))+1,1),"")</f>
        <v>9</v>
      </c>
      <c r="AD84" s="24">
        <f t="shared" ref="AD84" si="211">(AB84-INT(AB84))*12</f>
        <v>9.4929409188916907</v>
      </c>
      <c r="AE84" s="41" t="str">
        <f t="shared" ref="AE84" si="212">IF($E84&gt;=AE$31,MID($J$31,IF($E84&gt;AE$31,INT(AD84),ROUND(AD84,0))+1,1),"")</f>
        <v>9</v>
      </c>
      <c r="AF84" s="24">
        <f t="shared" ref="AF84" si="213">(AD84-INT(AD84))*12</f>
        <v>5.9152910267002881</v>
      </c>
      <c r="AG84" s="41" t="str">
        <f t="shared" ref="AG84" si="214">IF($E84&gt;=AG$31,MID($J$31,IF($E84&gt;AG$31,INT(AF84),ROUND(AF84,0))+1,1),"")</f>
        <v>5</v>
      </c>
      <c r="AH84" s="24">
        <f t="shared" ref="AH84" si="215">(AF84-INT(AF84))*12</f>
        <v>10.983492320403457</v>
      </c>
      <c r="AI84" s="41" t="str">
        <f t="shared" ref="AI84" si="216">IF($E84&gt;=AI$31,MID($J$31,IF($E84&gt;AI$31,INT(AH84),ROUND(AH84,0))+1,1),"")</f>
        <v>E</v>
      </c>
      <c r="AJ84" s="24">
        <f t="shared" ref="AJ84" si="217">(AH84-INT(AH84))*12</f>
        <v>11.80190784484148</v>
      </c>
      <c r="AK84" s="41" t="str">
        <f t="shared" ref="AK84" si="218">IF($E84&gt;=AK$31,MID($J$31,IF($E84&gt;AK$31,INT(AJ84),ROUND(AJ84,0))+1,1),"")</f>
        <v/>
      </c>
    </row>
    <row r="85" spans="1:37" ht="14.25" customHeight="1" x14ac:dyDescent="0.2">
      <c r="A85" s="578"/>
      <c r="B85" s="30" t="s">
        <v>1221</v>
      </c>
      <c r="C85" s="30"/>
      <c r="D85" s="29"/>
      <c r="E85" s="30">
        <v>11</v>
      </c>
      <c r="F85" s="29">
        <f>POWER(F84,9)*POWER(F72,-11)</f>
        <v>7.5920748287008189E+52</v>
      </c>
      <c r="G85" s="108" t="str">
        <f t="shared" ref="G85" si="219">M85&amp;";"&amp;O85&amp;Q85&amp;S85&amp;U85&amp;W85&amp;Y85&amp;AA85&amp;AC85&amp;AE85&amp;AG85&amp;AI85&amp;AK85</f>
        <v>1;001XXX1088</v>
      </c>
      <c r="H85" s="108"/>
      <c r="I85" s="286"/>
      <c r="J85" s="43">
        <v>49</v>
      </c>
      <c r="K85" s="62">
        <f t="shared" ref="K85" si="220">F85/POWER(12,J85)</f>
        <v>1.0011045231309914</v>
      </c>
      <c r="L85" s="44" t="s">
        <v>1385</v>
      </c>
      <c r="M85" s="40" t="str">
        <f t="shared" ref="M85" si="221">IF($E85&gt;=M$31,MID($J$31,IF($E85&gt;M$31,INT(K85),ROUND(K85,0))+1,1),"")</f>
        <v>1</v>
      </c>
      <c r="N85" s="24">
        <f t="shared" ref="N85" si="222">(K85-INT(K85))*12</f>
        <v>1.32542775718969E-2</v>
      </c>
      <c r="O85" s="41" t="str">
        <f t="shared" ref="O85" si="223">IF($E85&gt;=O$31,MID($J$31,IF($E85&gt;O$31,INT(N85),ROUND(N85,0))+1,1),"")</f>
        <v>0</v>
      </c>
      <c r="P85" s="24">
        <f t="shared" ref="P85" si="224">(N85-INT(N85))*12</f>
        <v>0.1590513308627628</v>
      </c>
      <c r="Q85" s="41" t="str">
        <f t="shared" ref="Q85" si="225">IF($E85&gt;=Q$31,MID($J$31,IF($E85&gt;Q$31,INT(P85),ROUND(P85,0))+1,1),"")</f>
        <v>0</v>
      </c>
      <c r="R85" s="24">
        <f t="shared" ref="R85" si="226">(P85-INT(P85))*12</f>
        <v>1.9086159703531536</v>
      </c>
      <c r="S85" s="41" t="str">
        <f t="shared" ref="S85" si="227">IF($E85&gt;=S$31,MID($J$31,IF($E85&gt;S$31,INT(R85),ROUND(R85,0))+1,1),"")</f>
        <v>1</v>
      </c>
      <c r="T85" s="24">
        <f t="shared" ref="T85" si="228">(R85-INT(R85))*12</f>
        <v>10.903391644237843</v>
      </c>
      <c r="U85" s="41" t="str">
        <f t="shared" ref="U85" si="229">IF($E85&gt;=U$31,MID($J$31,IF($E85&gt;U$31,INT(T85),ROUND(T85,0))+1,1),"")</f>
        <v>X</v>
      </c>
      <c r="V85" s="24">
        <f t="shared" ref="V85" si="230">(T85-INT(T85))*12</f>
        <v>10.840699730854112</v>
      </c>
      <c r="W85" s="41" t="str">
        <f t="shared" ref="W85" si="231">IF($E85&gt;=W$31,MID($J$31,IF($E85&gt;W$31,INT(V85),ROUND(V85,0))+1,1),"")</f>
        <v>X</v>
      </c>
      <c r="X85" s="24">
        <f t="shared" ref="X85" si="232">(V85-INT(V85))*12</f>
        <v>10.088396770249346</v>
      </c>
      <c r="Y85" s="41" t="str">
        <f t="shared" ref="Y85" si="233">IF($E85&gt;=Y$31,MID($J$31,IF($E85&gt;Y$31,INT(X85),ROUND(X85,0))+1,1),"")</f>
        <v>X</v>
      </c>
      <c r="Z85" s="24">
        <f t="shared" ref="Z85" si="234">(X85-INT(X85))*12</f>
        <v>1.0607612429921573</v>
      </c>
      <c r="AA85" s="41" t="str">
        <f t="shared" ref="AA85" si="235">IF($E85&gt;=AA$31,MID($J$31,IF($E85&gt;AA$31,INT(Z85),ROUND(Z85,0))+1,1),"")</f>
        <v>1</v>
      </c>
      <c r="AB85" s="24">
        <f t="shared" ref="AB85" si="236">(Z85-INT(Z85))*12</f>
        <v>0.72913491590588819</v>
      </c>
      <c r="AC85" s="41" t="str">
        <f t="shared" ref="AC85" si="237">IF($E85&gt;=AC$31,MID($J$31,IF($E85&gt;AC$31,INT(AB85),ROUND(AB85,0))+1,1),"")</f>
        <v>0</v>
      </c>
      <c r="AD85" s="24">
        <f t="shared" ref="AD85" si="238">(AB85-INT(AB85))*12</f>
        <v>8.7496189908706583</v>
      </c>
      <c r="AE85" s="41" t="str">
        <f t="shared" ref="AE85" si="239">IF($E85&gt;=AE$31,MID($J$31,IF($E85&gt;AE$31,INT(AD85),ROUND(AD85,0))+1,1),"")</f>
        <v>8</v>
      </c>
      <c r="AF85" s="24">
        <f t="shared" ref="AF85" si="240">(AD85-INT(AD85))*12</f>
        <v>8.9954278904478997</v>
      </c>
      <c r="AG85" s="41" t="str">
        <f t="shared" ref="AG85" si="241">IF($E85&gt;=AG$31,MID($J$31,IF($E85&gt;AG$31,INT(AF85),ROUND(AF85,0))+1,1),"")</f>
        <v>8</v>
      </c>
      <c r="AH85" s="24">
        <f t="shared" ref="AH85" si="242">(AF85-INT(AF85))*12</f>
        <v>11.945134685374796</v>
      </c>
      <c r="AI85" s="41" t="str">
        <f t="shared" ref="AI85" si="243">IF($E85&gt;=AI$31,MID($J$31,IF($E85&gt;AI$31,INT(AH85),ROUND(AH85,0))+1,1),"")</f>
        <v/>
      </c>
      <c r="AJ85" s="24">
        <f t="shared" ref="AJ85" si="244">(AH85-INT(AH85))*12</f>
        <v>11.341616224497557</v>
      </c>
      <c r="AK85" s="41" t="str">
        <f t="shared" ref="AK85" si="245">IF($E85&gt;=AK$31,MID($J$31,IF($E85&gt;AK$31,INT(AJ85),ROUND(AJ85,0))+1,1),"")</f>
        <v/>
      </c>
    </row>
    <row r="86" spans="1:37" ht="14.25" customHeight="1" x14ac:dyDescent="0.2">
      <c r="A86" s="578"/>
      <c r="B86" s="30" t="s">
        <v>339</v>
      </c>
      <c r="C86" s="30"/>
      <c r="D86" s="29"/>
      <c r="E86" s="30">
        <v>12</v>
      </c>
      <c r="F86" s="29">
        <f>POWER(2,43)</f>
        <v>8796093022208</v>
      </c>
      <c r="G86" s="108" t="str">
        <f t="shared" si="179"/>
        <v>0;EX08X990X0X8</v>
      </c>
      <c r="H86" s="108"/>
      <c r="I86" s="286"/>
      <c r="J86" s="43">
        <v>12</v>
      </c>
      <c r="K86" s="62">
        <f t="shared" si="150"/>
        <v>0.98654036854514426</v>
      </c>
      <c r="L86" s="44" t="str">
        <f>INDEX(powers!$H$2:$H$75,33+J86)</f>
        <v>cosmic hyper</v>
      </c>
      <c r="M86" s="40" t="str">
        <f t="shared" si="151"/>
        <v>0</v>
      </c>
      <c r="N86" s="24">
        <f t="shared" si="180"/>
        <v>11.838484422541731</v>
      </c>
      <c r="O86" s="41" t="str">
        <f t="shared" si="152"/>
        <v>E</v>
      </c>
      <c r="P86" s="24">
        <f t="shared" si="181"/>
        <v>10.061813070500769</v>
      </c>
      <c r="Q86" s="41" t="str">
        <f t="shared" si="153"/>
        <v>X</v>
      </c>
      <c r="R86" s="24">
        <f t="shared" si="182"/>
        <v>0.74175684600922409</v>
      </c>
      <c r="S86" s="41" t="str">
        <f t="shared" si="154"/>
        <v>0</v>
      </c>
      <c r="T86" s="24">
        <f t="shared" si="183"/>
        <v>8.9010821521106891</v>
      </c>
      <c r="U86" s="41" t="str">
        <f t="shared" si="155"/>
        <v>8</v>
      </c>
      <c r="V86" s="24">
        <f t="shared" si="184"/>
        <v>10.812985825328269</v>
      </c>
      <c r="W86" s="41" t="str">
        <f t="shared" si="156"/>
        <v>X</v>
      </c>
      <c r="X86" s="24">
        <f t="shared" si="185"/>
        <v>9.7558299039392296</v>
      </c>
      <c r="Y86" s="41" t="str">
        <f t="shared" si="157"/>
        <v>9</v>
      </c>
      <c r="Z86" s="24">
        <f t="shared" si="186"/>
        <v>9.0699588472707546</v>
      </c>
      <c r="AA86" s="41" t="str">
        <f t="shared" si="158"/>
        <v>9</v>
      </c>
      <c r="AB86" s="24">
        <f t="shared" si="187"/>
        <v>0.83950616724905558</v>
      </c>
      <c r="AC86" s="41" t="str">
        <f t="shared" si="159"/>
        <v>0</v>
      </c>
      <c r="AD86" s="24">
        <f t="shared" si="188"/>
        <v>10.074074006988667</v>
      </c>
      <c r="AE86" s="41" t="str">
        <f t="shared" si="160"/>
        <v>X</v>
      </c>
      <c r="AF86" s="24">
        <f t="shared" si="189"/>
        <v>0.88888808386400342</v>
      </c>
      <c r="AG86" s="41" t="str">
        <f t="shared" si="161"/>
        <v>0</v>
      </c>
      <c r="AH86" s="24">
        <f t="shared" si="190"/>
        <v>10.666657006368041</v>
      </c>
      <c r="AI86" s="41" t="str">
        <f t="shared" si="162"/>
        <v>X</v>
      </c>
      <c r="AJ86" s="24">
        <f t="shared" si="191"/>
        <v>7.9998840764164925</v>
      </c>
      <c r="AK86" s="41" t="str">
        <f t="shared" si="163"/>
        <v>8</v>
      </c>
    </row>
    <row r="87" spans="1:37" ht="14.25" customHeight="1" x14ac:dyDescent="0.2">
      <c r="A87" s="578"/>
      <c r="B87" s="30" t="s">
        <v>645</v>
      </c>
      <c r="C87" s="30"/>
      <c r="D87" s="29"/>
      <c r="E87" s="30">
        <v>12</v>
      </c>
      <c r="F87" s="29">
        <f>POWER(12,16)/POWER(2,48)</f>
        <v>656.84083557128906</v>
      </c>
      <c r="G87" s="108" t="str">
        <f t="shared" ref="G87" si="246">M87&amp;";"&amp;O87&amp;Q87&amp;S87&amp;U87&amp;W87&amp;Y87&amp;AA87&amp;AC87&amp;AE87&amp;AG87&amp;AI87&amp;AK87</f>
        <v>4;68X10E696900</v>
      </c>
      <c r="H87" s="108"/>
      <c r="I87" s="286"/>
      <c r="J87" s="43">
        <v>2</v>
      </c>
      <c r="K87" s="62">
        <f t="shared" si="150"/>
        <v>4.5613946914672852</v>
      </c>
      <c r="L87" s="44" t="str">
        <f>INDEX(powers!$H$2:$H$75,33+J87)</f>
        <v>gross</v>
      </c>
      <c r="M87" s="40" t="str">
        <f t="shared" si="151"/>
        <v>4</v>
      </c>
      <c r="N87" s="24">
        <f t="shared" ref="N87" si="247">(K87-INT(K87))*12</f>
        <v>6.7367362976074219</v>
      </c>
      <c r="O87" s="41" t="str">
        <f t="shared" si="152"/>
        <v>6</v>
      </c>
      <c r="P87" s="24">
        <f t="shared" ref="P87" si="248">(N87-INT(N87))*12</f>
        <v>8.8408355712890625</v>
      </c>
      <c r="Q87" s="41" t="str">
        <f t="shared" si="153"/>
        <v>8</v>
      </c>
      <c r="R87" s="24">
        <f t="shared" ref="R87" si="249">(P87-INT(P87))*12</f>
        <v>10.09002685546875</v>
      </c>
      <c r="S87" s="41" t="str">
        <f t="shared" si="154"/>
        <v>X</v>
      </c>
      <c r="T87" s="24">
        <f t="shared" ref="T87" si="250">(R87-INT(R87))*12</f>
        <v>1.080322265625</v>
      </c>
      <c r="U87" s="41" t="str">
        <f t="shared" si="155"/>
        <v>1</v>
      </c>
      <c r="V87" s="24">
        <f t="shared" ref="V87" si="251">(T87-INT(T87))*12</f>
        <v>0.9638671875</v>
      </c>
      <c r="W87" s="41" t="str">
        <f t="shared" si="156"/>
        <v>0</v>
      </c>
      <c r="X87" s="24">
        <f t="shared" ref="X87" si="252">(V87-INT(V87))*12</f>
        <v>11.56640625</v>
      </c>
      <c r="Y87" s="41" t="str">
        <f t="shared" si="157"/>
        <v>E</v>
      </c>
      <c r="Z87" s="24">
        <f t="shared" ref="Z87" si="253">(X87-INT(X87))*12</f>
        <v>6.796875</v>
      </c>
      <c r="AA87" s="41" t="str">
        <f t="shared" si="158"/>
        <v>6</v>
      </c>
      <c r="AB87" s="24">
        <f t="shared" ref="AB87" si="254">(Z87-INT(Z87))*12</f>
        <v>9.5625</v>
      </c>
      <c r="AC87" s="41" t="str">
        <f t="shared" si="159"/>
        <v>9</v>
      </c>
      <c r="AD87" s="24">
        <f t="shared" ref="AD87" si="255">(AB87-INT(AB87))*12</f>
        <v>6.75</v>
      </c>
      <c r="AE87" s="41" t="str">
        <f t="shared" si="160"/>
        <v>6</v>
      </c>
      <c r="AF87" s="24">
        <f t="shared" ref="AF87" si="256">(AD87-INT(AD87))*12</f>
        <v>9</v>
      </c>
      <c r="AG87" s="41" t="str">
        <f t="shared" si="161"/>
        <v>9</v>
      </c>
      <c r="AH87" s="24">
        <f t="shared" ref="AH87" si="257">(AF87-INT(AF87))*12</f>
        <v>0</v>
      </c>
      <c r="AI87" s="41" t="str">
        <f t="shared" si="162"/>
        <v>0</v>
      </c>
      <c r="AJ87" s="24">
        <f t="shared" ref="AJ87" si="258">(AH87-INT(AH87))*12</f>
        <v>0</v>
      </c>
      <c r="AK87" s="41" t="str">
        <f t="shared" si="163"/>
        <v>0</v>
      </c>
    </row>
    <row r="88" spans="1:37" ht="14.25" customHeight="1" thickBot="1" x14ac:dyDescent="0.25">
      <c r="A88" s="579"/>
      <c r="B88" s="33" t="s">
        <v>340</v>
      </c>
      <c r="C88" s="33"/>
      <c r="D88" s="32"/>
      <c r="E88" s="33">
        <v>12</v>
      </c>
      <c r="F88" s="32">
        <f>POWER(2,-17)*(2*PI())</f>
        <v>4.7936899621426287E-5</v>
      </c>
      <c r="G88" s="47" t="str">
        <f t="shared" si="179"/>
        <v>0;EE17EX582521</v>
      </c>
      <c r="H88" s="47"/>
      <c r="I88" s="287"/>
      <c r="J88" s="48">
        <v>-4</v>
      </c>
      <c r="K88" s="63">
        <f t="shared" si="150"/>
        <v>0.99401955054989555</v>
      </c>
      <c r="L88" s="49" t="str">
        <f>INDEX(powers!$H$2:$H$75,33+J88)</f>
        <v>sub</v>
      </c>
      <c r="M88" s="40" t="str">
        <f t="shared" si="151"/>
        <v>0</v>
      </c>
      <c r="N88" s="24">
        <f t="shared" si="164"/>
        <v>11.928234606598746</v>
      </c>
      <c r="O88" s="41" t="str">
        <f t="shared" si="152"/>
        <v>E</v>
      </c>
      <c r="P88" s="24">
        <f t="shared" si="165"/>
        <v>11.138815279184954</v>
      </c>
      <c r="Q88" s="41" t="str">
        <f t="shared" si="153"/>
        <v>E</v>
      </c>
      <c r="R88" s="24">
        <f t="shared" si="166"/>
        <v>1.6657833502194421</v>
      </c>
      <c r="S88" s="41" t="str">
        <f t="shared" si="154"/>
        <v>1</v>
      </c>
      <c r="T88" s="24">
        <f t="shared" si="167"/>
        <v>7.9894002026333055</v>
      </c>
      <c r="U88" s="41" t="str">
        <f t="shared" si="155"/>
        <v>7</v>
      </c>
      <c r="V88" s="24">
        <f t="shared" si="168"/>
        <v>11.872802431599666</v>
      </c>
      <c r="W88" s="41" t="str">
        <f t="shared" si="156"/>
        <v>E</v>
      </c>
      <c r="X88" s="24">
        <f t="shared" si="169"/>
        <v>10.473629179195996</v>
      </c>
      <c r="Y88" s="41" t="str">
        <f t="shared" si="157"/>
        <v>X</v>
      </c>
      <c r="Z88" s="24">
        <f t="shared" si="170"/>
        <v>5.6835501503519481</v>
      </c>
      <c r="AA88" s="41" t="str">
        <f t="shared" si="158"/>
        <v>5</v>
      </c>
      <c r="AB88" s="24">
        <f t="shared" si="171"/>
        <v>8.2026018042233773</v>
      </c>
      <c r="AC88" s="41" t="str">
        <f t="shared" si="159"/>
        <v>8</v>
      </c>
      <c r="AD88" s="24">
        <f t="shared" si="172"/>
        <v>2.4312216506805271</v>
      </c>
      <c r="AE88" s="41" t="str">
        <f t="shared" si="160"/>
        <v>2</v>
      </c>
      <c r="AF88" s="24">
        <f t="shared" si="173"/>
        <v>5.1746598081663251</v>
      </c>
      <c r="AG88" s="41" t="str">
        <f t="shared" si="161"/>
        <v>5</v>
      </c>
      <c r="AH88" s="24">
        <f t="shared" si="174"/>
        <v>2.0959176979959011</v>
      </c>
      <c r="AI88" s="41" t="str">
        <f t="shared" si="162"/>
        <v>2</v>
      </c>
      <c r="AJ88" s="24">
        <f t="shared" si="175"/>
        <v>1.1510123759508133</v>
      </c>
      <c r="AK88" s="41" t="str">
        <f t="shared" si="163"/>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2984358.6674706284</v>
      </c>
      <c r="G90" s="37" t="str">
        <f t="shared" ref="G90" si="259">M90&amp;";"&amp;O90&amp;Q90&amp;S90&amp;U90&amp;W90&amp;Y90&amp;AA90&amp;AC90&amp;AE90&amp;AG90&amp;AI90&amp;AK90</f>
        <v>0;EEE086801481</v>
      </c>
      <c r="H90" s="37"/>
      <c r="I90" s="285"/>
      <c r="J90" s="38">
        <v>6</v>
      </c>
      <c r="K90" s="61">
        <f>F90/POWER(12,J90)</f>
        <v>0.99945567942448066</v>
      </c>
      <c r="L90" s="39" t="str">
        <f>INDEX(powers!$H$2:$H$75,33+J90)</f>
        <v>dino cosmic</v>
      </c>
      <c r="M90" s="40" t="str">
        <f>IF($E90&gt;=M$31,MID($J$31,IF($E90&gt;M$31,INT(K90),ROUND(K90,0))+1,1),"")</f>
        <v>0</v>
      </c>
      <c r="N90" s="24">
        <f t="shared" ref="N90" si="260">(K90-INT(K90))*12</f>
        <v>11.993468153093769</v>
      </c>
      <c r="O90" s="41" t="str">
        <f>IF($E90&gt;=O$31,MID($J$31,IF($E90&gt;O$31,INT(N90),ROUND(N90,0))+1,1),"")</f>
        <v>E</v>
      </c>
      <c r="P90" s="24">
        <f t="shared" ref="P90" si="261">(N90-INT(N90))*12</f>
        <v>11.921617837125225</v>
      </c>
      <c r="Q90" s="41" t="str">
        <f>IF($E90&gt;=Q$31,MID($J$31,IF($E90&gt;Q$31,INT(P90),ROUND(P90,0))+1,1),"")</f>
        <v>E</v>
      </c>
      <c r="R90" s="24">
        <f t="shared" ref="R90" si="262">(P90-INT(P90))*12</f>
        <v>11.059414045502706</v>
      </c>
      <c r="S90" s="41" t="str">
        <f>IF($E90&gt;=S$31,MID($J$31,IF($E90&gt;S$31,INT(R90),ROUND(R90,0))+1,1),"")</f>
        <v>E</v>
      </c>
      <c r="T90" s="24">
        <f t="shared" ref="T90" si="263">(R90-INT(R90))*12</f>
        <v>0.71296854603247084</v>
      </c>
      <c r="U90" s="41" t="str">
        <f>IF($E90&gt;=U$31,MID($J$31,IF($E90&gt;U$31,INT(T90),ROUND(T90,0))+1,1),"")</f>
        <v>0</v>
      </c>
      <c r="V90" s="24">
        <f t="shared" ref="V90" si="264">(T90-INT(T90))*12</f>
        <v>8.5556225523896501</v>
      </c>
      <c r="W90" s="41" t="str">
        <f>IF($E90&gt;=W$31,MID($J$31,IF($E90&gt;W$31,INT(V90),ROUND(V90,0))+1,1),"")</f>
        <v>8</v>
      </c>
      <c r="X90" s="24">
        <f t="shared" ref="X90" si="265">(V90-INT(V90))*12</f>
        <v>6.667470628675801</v>
      </c>
      <c r="Y90" s="41" t="str">
        <f>IF($E90&gt;=Y$31,MID($J$31,IF($E90&gt;Y$31,INT(X90),ROUND(X90,0))+1,1),"")</f>
        <v>6</v>
      </c>
      <c r="Z90" s="24">
        <f t="shared" ref="Z90" si="266">(X90-INT(X90))*12</f>
        <v>8.0096475441096118</v>
      </c>
      <c r="AA90" s="41" t="str">
        <f>IF($E90&gt;=AA$31,MID($J$31,IF($E90&gt;AA$31,INT(Z90),ROUND(Z90,0))+1,1),"")</f>
        <v>8</v>
      </c>
      <c r="AB90" s="24">
        <f t="shared" ref="AB90" si="267">(Z90-INT(Z90))*12</f>
        <v>0.11577052931534126</v>
      </c>
      <c r="AC90" s="41" t="str">
        <f>IF($E90&gt;=AC$31,MID($J$31,IF($E90&gt;AC$31,INT(AB90),ROUND(AB90,0))+1,1),"")</f>
        <v>0</v>
      </c>
      <c r="AD90" s="24">
        <f t="shared" ref="AD90" si="268">(AB90-INT(AB90))*12</f>
        <v>1.3892463517840952</v>
      </c>
      <c r="AE90" s="41" t="str">
        <f>IF($E90&gt;=AE$31,MID($J$31,IF($E90&gt;AE$31,INT(AD90),ROUND(AD90,0))+1,1),"")</f>
        <v>1</v>
      </c>
      <c r="AF90" s="24">
        <f t="shared" ref="AF90" si="269">(AD90-INT(AD90))*12</f>
        <v>4.670956221409142</v>
      </c>
      <c r="AG90" s="41" t="str">
        <f>IF($E90&gt;=AG$31,MID($J$31,IF($E90&gt;AG$31,INT(AF90),ROUND(AF90,0))+1,1),"")</f>
        <v>4</v>
      </c>
      <c r="AH90" s="24">
        <f t="shared" ref="AH90" si="270">(AF90-INT(AF90))*12</f>
        <v>8.0514746569097042</v>
      </c>
      <c r="AI90" s="41" t="str">
        <f>IF($E90&gt;=AI$31,MID($J$31,IF($E90&gt;AI$31,INT(AH90),ROUND(AH90,0))+1,1),"")</f>
        <v>8</v>
      </c>
      <c r="AJ90" s="24">
        <f t="shared" ref="AJ90" si="271">(AH90-INT(AH90))*12</f>
        <v>0.6176958829164505</v>
      </c>
      <c r="AK90" s="41" t="str">
        <f>IF($E90&gt;=AK$31,MID($J$31,IF($E90&gt;AK$31,INT(AJ90),ROUND(AJ90,0))+1,1),"")</f>
        <v>1</v>
      </c>
    </row>
    <row r="91" spans="1:37" x14ac:dyDescent="0.2">
      <c r="B91" s="137" t="s">
        <v>265</v>
      </c>
      <c r="D91" s="14">
        <f>1/(1+0.00054461702177)</f>
        <v>0.99945567942448077</v>
      </c>
    </row>
    <row r="92" spans="1:37" x14ac:dyDescent="0.2">
      <c r="B92" s="3" t="s">
        <v>1529</v>
      </c>
      <c r="C92" s="3"/>
      <c r="D92" s="21">
        <f>R23</f>
        <v>0.96961964808317658</v>
      </c>
      <c r="E92" s="8">
        <v>7</v>
      </c>
      <c r="F92" s="21">
        <f>D92</f>
        <v>0.96961964808317658</v>
      </c>
      <c r="G92" s="37" t="str">
        <f t="shared" ref="G92" si="272">M92&amp;";"&amp;O92&amp;Q92&amp;S92&amp;U92&amp;W92&amp;Y92&amp;AA92&amp;AC92&amp;AE92&amp;AG92&amp;AI92&amp;AK92</f>
        <v>0;E776049</v>
      </c>
      <c r="H92" s="37"/>
      <c r="I92" s="285"/>
      <c r="J92" s="38">
        <v>0</v>
      </c>
      <c r="K92" s="61">
        <f>F92/POWER(12,J92)</f>
        <v>0.96961964808317658</v>
      </c>
      <c r="L92" s="39" t="str">
        <f>INDEX(powers!$H$2:$H$75,33+J92)</f>
        <v xml:space="preserve"> </v>
      </c>
      <c r="M92" s="40" t="str">
        <f>IF($E92&gt;=M$31,MID($J$31,IF($E92&gt;M$31,INT(K92),ROUND(K92,0))+1,1),"")</f>
        <v>0</v>
      </c>
      <c r="N92" s="24">
        <f t="shared" ref="N92" si="273">(K92-INT(K92))*12</f>
        <v>11.635435776998118</v>
      </c>
      <c r="O92" s="41" t="str">
        <f>IF($E92&gt;=O$31,MID($J$31,IF($E92&gt;O$31,INT(N92),ROUND(N92,0))+1,1),"")</f>
        <v>E</v>
      </c>
      <c r="P92" s="24">
        <f t="shared" ref="P92" si="274">(N92-INT(N92))*12</f>
        <v>7.6252293239774218</v>
      </c>
      <c r="Q92" s="41" t="str">
        <f>IF($E92&gt;=Q$31,MID($J$31,IF($E92&gt;Q$31,INT(P92),ROUND(P92,0))+1,1),"")</f>
        <v>7</v>
      </c>
      <c r="R92" s="24">
        <f t="shared" ref="R92" si="275">(P92-INT(P92))*12</f>
        <v>7.5027518877290618</v>
      </c>
      <c r="S92" s="41" t="str">
        <f>IF($E92&gt;=S$31,MID($J$31,IF($E92&gt;S$31,INT(R92),ROUND(R92,0))+1,1),"")</f>
        <v>7</v>
      </c>
      <c r="T92" s="24">
        <f t="shared" ref="T92" si="276">(R92-INT(R92))*12</f>
        <v>6.0330226527487412</v>
      </c>
      <c r="U92" s="41" t="str">
        <f>IF($E92&gt;=U$31,MID($J$31,IF($E92&gt;U$31,INT(T92),ROUND(T92,0))+1,1),"")</f>
        <v>6</v>
      </c>
      <c r="V92" s="24">
        <f t="shared" ref="V92" si="277">(T92-INT(T92))*12</f>
        <v>0.39627183298489399</v>
      </c>
      <c r="W92" s="41" t="str">
        <f>IF($E92&gt;=W$31,MID($J$31,IF($E92&gt;W$31,INT(V92),ROUND(V92,0))+1,1),"")</f>
        <v>0</v>
      </c>
      <c r="X92" s="24">
        <f t="shared" ref="X92" si="278">(V92-INT(V92))*12</f>
        <v>4.7552619958187279</v>
      </c>
      <c r="Y92" s="41" t="str">
        <f>IF($E92&gt;=Y$31,MID($J$31,IF($E92&gt;Y$31,INT(X92),ROUND(X92,0))+1,1),"")</f>
        <v>4</v>
      </c>
      <c r="Z92" s="24">
        <f t="shared" ref="Z92" si="279">(X92-INT(X92))*12</f>
        <v>9.0631439498247346</v>
      </c>
      <c r="AA92" s="41" t="str">
        <f>IF($E92&gt;=AA$31,MID($J$31,IF($E92&gt;AA$31,INT(Z92),ROUND(Z92,0))+1,1),"")</f>
        <v>9</v>
      </c>
      <c r="AB92" s="24">
        <f t="shared" ref="AB92" si="280">(Z92-INT(Z92))*12</f>
        <v>0.75772739789681509</v>
      </c>
      <c r="AC92" s="41" t="str">
        <f>IF($E92&gt;=AC$31,MID($J$31,IF($E92&gt;AC$31,INT(AB92),ROUND(AB92,0))+1,1),"")</f>
        <v/>
      </c>
      <c r="AD92" s="24">
        <f t="shared" ref="AD92" si="281">(AB92-INT(AB92))*12</f>
        <v>9.0927287747617811</v>
      </c>
      <c r="AE92" s="41" t="str">
        <f>IF($E92&gt;=AE$31,MID($J$31,IF($E92&gt;AE$31,INT(AD92),ROUND(AD92,0))+1,1),"")</f>
        <v/>
      </c>
      <c r="AF92" s="24">
        <f t="shared" ref="AF92" si="282">(AD92-INT(AD92))*12</f>
        <v>1.1127452971413732</v>
      </c>
      <c r="AG92" s="41" t="str">
        <f>IF($E92&gt;=AG$31,MID($J$31,IF($E92&gt;AG$31,INT(AF92),ROUND(AF92,0))+1,1),"")</f>
        <v/>
      </c>
      <c r="AH92" s="24">
        <f t="shared" ref="AH92" si="283">(AF92-INT(AF92))*12</f>
        <v>1.3529435656964779</v>
      </c>
      <c r="AI92" s="41" t="str">
        <f>IF($E92&gt;=AI$31,MID($J$31,IF($E92&gt;AI$31,INT(AH92),ROUND(AH92,0))+1,1),"")</f>
        <v/>
      </c>
      <c r="AJ92" s="24">
        <f t="shared" ref="AJ92" si="284">(AH92-INT(AH92))*12</f>
        <v>4.2353227883577347</v>
      </c>
      <c r="AK92" s="41" t="str">
        <f>IF($E92&gt;=AK$31,MID($J$31,IF($E92&gt;AK$31,INT(AJ92),ROUND(AJ92,0))+1,1),"")</f>
        <v/>
      </c>
    </row>
    <row r="93" spans="1:37" x14ac:dyDescent="0.2">
      <c r="B93" s="3" t="s">
        <v>725</v>
      </c>
      <c r="C93" s="3"/>
      <c r="D93" s="21">
        <v>540000000000000</v>
      </c>
      <c r="E93" s="8">
        <v>7</v>
      </c>
      <c r="F93" s="21">
        <f>D93/F22</f>
        <v>210744461051163.75</v>
      </c>
      <c r="G93" s="37" t="str">
        <f t="shared" ref="G93" si="285">M93&amp;";"&amp;O93&amp;Q93&amp;S93&amp;U93&amp;W93&amp;Y93&amp;AA93&amp;AC93&amp;AE93&amp;AG93&amp;AI93&amp;AK93</f>
        <v>1;E777832</v>
      </c>
      <c r="H93" s="37"/>
      <c r="I93" s="285"/>
      <c r="J93" s="38">
        <v>13</v>
      </c>
      <c r="K93" s="61">
        <f>F93/POWER(12,J93)</f>
        <v>1.9696994804904278</v>
      </c>
      <c r="L93" s="39" t="str">
        <f>INDEX(powers!$H$2:$H$75,33+J93)</f>
        <v>terno di-cosmic</v>
      </c>
      <c r="M93" s="40" t="str">
        <f>IF($E93&gt;=M$31,MID($J$31,IF($E93&gt;M$31,INT(K93),ROUND(K93,0))+1,1),"")</f>
        <v>1</v>
      </c>
      <c r="N93" s="24">
        <f t="shared" ref="N93" si="286">(K93-INT(K93))*12</f>
        <v>11.636393765885133</v>
      </c>
      <c r="O93" s="41" t="str">
        <f>IF($E93&gt;=O$31,MID($J$31,IF($E93&gt;O$31,INT(N93),ROUND(N93,0))+1,1),"")</f>
        <v>E</v>
      </c>
      <c r="P93" s="24">
        <f t="shared" ref="P93" si="287">(N93-INT(N93))*12</f>
        <v>7.6367251906215969</v>
      </c>
      <c r="Q93" s="41" t="str">
        <f>IF($E93&gt;=Q$31,MID($J$31,IF($E93&gt;Q$31,INT(P93),ROUND(P93,0))+1,1),"")</f>
        <v>7</v>
      </c>
      <c r="R93" s="24">
        <f t="shared" ref="R93" si="288">(P93-INT(P93))*12</f>
        <v>7.6407022874591632</v>
      </c>
      <c r="S93" s="41" t="str">
        <f>IF($E93&gt;=S$31,MID($J$31,IF($E93&gt;S$31,INT(R93),ROUND(R93,0))+1,1),"")</f>
        <v>7</v>
      </c>
      <c r="T93" s="24">
        <f t="shared" ref="T93" si="289">(R93-INT(R93))*12</f>
        <v>7.6884274495099589</v>
      </c>
      <c r="U93" s="41" t="str">
        <f>IF($E93&gt;=U$31,MID($J$31,IF($E93&gt;U$31,INT(T93),ROUND(T93,0))+1,1),"")</f>
        <v>7</v>
      </c>
      <c r="V93" s="24">
        <f t="shared" ref="V93" si="290">(T93-INT(T93))*12</f>
        <v>8.2611293941195072</v>
      </c>
      <c r="W93" s="41" t="str">
        <f>IF($E93&gt;=W$31,MID($J$31,IF($E93&gt;W$31,INT(V93),ROUND(V93,0))+1,1),"")</f>
        <v>8</v>
      </c>
      <c r="X93" s="24">
        <f t="shared" ref="X93" si="291">(V93-INT(V93))*12</f>
        <v>3.1335527294340864</v>
      </c>
      <c r="Y93" s="41" t="str">
        <f>IF($E93&gt;=Y$31,MID($J$31,IF($E93&gt;Y$31,INT(X93),ROUND(X93,0))+1,1),"")</f>
        <v>3</v>
      </c>
      <c r="Z93" s="24">
        <f t="shared" ref="Z93" si="292">(X93-INT(X93))*12</f>
        <v>1.6026327532090363</v>
      </c>
      <c r="AA93" s="41" t="str">
        <f>IF($E93&gt;=AA$31,MID($J$31,IF($E93&gt;AA$31,INT(Z93),ROUND(Z93,0))+1,1),"")</f>
        <v>2</v>
      </c>
      <c r="AB93" s="24">
        <f t="shared" ref="AB93" si="293">(Z93-INT(Z93))*12</f>
        <v>7.2315930385084357</v>
      </c>
      <c r="AC93" s="41" t="str">
        <f>IF($E93&gt;=AC$31,MID($J$31,IF($E93&gt;AC$31,INT(AB93),ROUND(AB93,0))+1,1),"")</f>
        <v/>
      </c>
      <c r="AD93" s="24">
        <f t="shared" ref="AD93" si="294">(AB93-INT(AB93))*12</f>
        <v>2.7791164621012285</v>
      </c>
      <c r="AE93" s="41" t="str">
        <f>IF($E93&gt;=AE$31,MID($J$31,IF($E93&gt;AE$31,INT(AD93),ROUND(AD93,0))+1,1),"")</f>
        <v/>
      </c>
      <c r="AF93" s="24">
        <f t="shared" ref="AF93" si="295">(AD93-INT(AD93))*12</f>
        <v>9.3493975452147424</v>
      </c>
      <c r="AG93" s="41" t="str">
        <f>IF($E93&gt;=AG$31,MID($J$31,IF($E93&gt;AG$31,INT(AF93),ROUND(AF93,0))+1,1),"")</f>
        <v/>
      </c>
      <c r="AH93" s="24">
        <f t="shared" ref="AH93" si="296">(AF93-INT(AF93))*12</f>
        <v>4.1927705425769091</v>
      </c>
      <c r="AI93" s="41" t="str">
        <f>IF($E93&gt;=AI$31,MID($J$31,IF($E93&gt;AI$31,INT(AH93),ROUND(AH93,0))+1,1),"")</f>
        <v/>
      </c>
      <c r="AJ93" s="24">
        <f t="shared" ref="AJ93" si="297">(AH93-INT(AH93))*12</f>
        <v>2.3132465109229088</v>
      </c>
      <c r="AK93" s="41" t="str">
        <f>IF($E93&gt;=AK$31,MID($J$31,IF($E93&gt;AK$31,INT(AJ93),ROUND(AJ93,0))+1,1),"")</f>
        <v/>
      </c>
    </row>
    <row r="94" spans="1:37" x14ac:dyDescent="0.2">
      <c r="B94" s="14" t="s">
        <v>1508</v>
      </c>
      <c r="D94" s="193">
        <f>F22*F94</f>
        <v>548306993374997</v>
      </c>
      <c r="F94" s="193">
        <f>G94*POWER(12,J94)</f>
        <v>213986410758144</v>
      </c>
      <c r="G94" s="209">
        <v>2</v>
      </c>
      <c r="J94" s="14">
        <v>13</v>
      </c>
      <c r="K94" s="79"/>
      <c r="L94" s="79"/>
      <c r="M94" s="79"/>
    </row>
    <row r="96" spans="1:37" x14ac:dyDescent="0.2">
      <c r="B96" s="14" t="s">
        <v>633</v>
      </c>
      <c r="C96" s="14" t="s">
        <v>634</v>
      </c>
      <c r="D96" s="193">
        <f>D34</f>
        <v>10973731.568157</v>
      </c>
      <c r="E96" s="8">
        <v>12</v>
      </c>
      <c r="F96" s="21">
        <f>D96*0.3048</f>
        <v>3344793.3819742538</v>
      </c>
      <c r="G96" s="37" t="str">
        <f t="shared" ref="G96" si="298">M96&amp;";"&amp;O96&amp;Q96&amp;S96&amp;U96&amp;W96&amp;Y96&amp;AA96&amp;AC96&amp;AE96&amp;AG96&amp;AI96&amp;AK96</f>
        <v>1;153789470075</v>
      </c>
      <c r="H96" s="108"/>
      <c r="I96" s="286"/>
      <c r="J96" s="38">
        <v>6</v>
      </c>
      <c r="K96" s="61">
        <f>F96/POWER(12,J96)</f>
        <v>1.1201645360371166</v>
      </c>
      <c r="L96" s="39" t="str">
        <f>INDEX(powers!$H$2:$H$75,33+J96)</f>
        <v>dino cosmic</v>
      </c>
      <c r="M96" s="40" t="str">
        <f>IF($E96&gt;=M$31,MID($J$31,IF($E96&gt;M$31,INT(K96),ROUND(K96,0))+1,1),"")</f>
        <v>1</v>
      </c>
      <c r="N96" s="24">
        <f t="shared" ref="N96" si="299">(K96-INT(K96))*12</f>
        <v>1.4419744324453996</v>
      </c>
      <c r="O96" s="41" t="str">
        <f>IF($E96&gt;=O$31,MID($J$31,IF($E96&gt;O$31,INT(N96),ROUND(N96,0))+1,1),"")</f>
        <v>1</v>
      </c>
      <c r="P96" s="24">
        <f t="shared" ref="P96" si="300">(N96-INT(N96))*12</f>
        <v>5.3036931893447949</v>
      </c>
      <c r="Q96" s="41" t="str">
        <f>IF($E96&gt;=Q$31,MID($J$31,IF($E96&gt;Q$31,INT(P96),ROUND(P96,0))+1,1),"")</f>
        <v>5</v>
      </c>
      <c r="R96" s="24">
        <f t="shared" ref="R96" si="301">(P96-INT(P96))*12</f>
        <v>3.6443182721375393</v>
      </c>
      <c r="S96" s="41" t="str">
        <f>IF($E96&gt;=S$31,MID($J$31,IF($E96&gt;S$31,INT(R96),ROUND(R96,0))+1,1),"")</f>
        <v>3</v>
      </c>
      <c r="T96" s="24">
        <f t="shared" ref="T96" si="302">(R96-INT(R96))*12</f>
        <v>7.7318192656504721</v>
      </c>
      <c r="U96" s="41" t="str">
        <f>IF($E96&gt;=U$31,MID($J$31,IF($E96&gt;U$31,INT(T96),ROUND(T96,0))+1,1),"")</f>
        <v>7</v>
      </c>
      <c r="V96" s="24">
        <f t="shared" ref="V96" si="303">(T96-INT(T96))*12</f>
        <v>8.7818311878056647</v>
      </c>
      <c r="W96" s="41" t="str">
        <f>IF($E96&gt;=W$31,MID($J$31,IF($E96&gt;W$31,INT(V96),ROUND(V96,0))+1,1),"")</f>
        <v>8</v>
      </c>
      <c r="X96" s="24">
        <f t="shared" ref="X96" si="304">(V96-INT(V96))*12</f>
        <v>9.3819742536679769</v>
      </c>
      <c r="Y96" s="41" t="str">
        <f>IF($E96&gt;=Y$31,MID($J$31,IF($E96&gt;Y$31,INT(X96),ROUND(X96,0))+1,1),"")</f>
        <v>9</v>
      </c>
      <c r="Z96" s="24">
        <f t="shared" ref="Z96" si="305">(X96-INT(X96))*12</f>
        <v>4.5836910440157226</v>
      </c>
      <c r="AA96" s="41" t="str">
        <f>IF($E96&gt;=AA$31,MID($J$31,IF($E96&gt;AA$31,INT(Z96),ROUND(Z96,0))+1,1),"")</f>
        <v>4</v>
      </c>
      <c r="AB96" s="24">
        <f t="shared" ref="AB96" si="306">(Z96-INT(Z96))*12</f>
        <v>7.004292528188671</v>
      </c>
      <c r="AC96" s="41" t="str">
        <f>IF($E96&gt;=AC$31,MID($J$31,IF($E96&gt;AC$31,INT(AB96),ROUND(AB96,0))+1,1),"")</f>
        <v>7</v>
      </c>
      <c r="AD96" s="24">
        <f t="shared" ref="AD96" si="307">(AB96-INT(AB96))*12</f>
        <v>5.1510338264051825E-2</v>
      </c>
      <c r="AE96" s="41" t="str">
        <f>IF($E96&gt;=AE$31,MID($J$31,IF($E96&gt;AE$31,INT(AD96),ROUND(AD96,0))+1,1),"")</f>
        <v>0</v>
      </c>
      <c r="AF96" s="24">
        <f t="shared" ref="AF96" si="308">(AD96-INT(AD96))*12</f>
        <v>0.6181240591686219</v>
      </c>
      <c r="AG96" s="41" t="str">
        <f>IF($E96&gt;=AG$31,MID($J$31,IF($E96&gt;AG$31,INT(AF96),ROUND(AF96,0))+1,1),"")</f>
        <v>0</v>
      </c>
      <c r="AH96" s="24">
        <f t="shared" ref="AH96" si="309">(AF96-INT(AF96))*12</f>
        <v>7.4174887100234628</v>
      </c>
      <c r="AI96" s="41" t="str">
        <f>IF($E96&gt;=AI$31,MID($J$31,IF($E96&gt;AI$31,INT(AH96),ROUND(AH96,0))+1,1),"")</f>
        <v>7</v>
      </c>
      <c r="AJ96" s="24">
        <f t="shared" ref="AJ96" si="310">(AH96-INT(AH96))*12</f>
        <v>5.0098645202815533</v>
      </c>
      <c r="AK96" s="41" t="str">
        <f>IF($E96&gt;=AK$31,MID($J$31,IF($E96&gt;AK$31,INT(AJ96),ROUND(AJ96,0))+1,1),"")</f>
        <v>5</v>
      </c>
    </row>
    <row r="97" spans="2:37" x14ac:dyDescent="0.2">
      <c r="B97" s="14" t="s">
        <v>637</v>
      </c>
      <c r="C97" s="14" t="s">
        <v>638</v>
      </c>
      <c r="D97" s="193">
        <f>D40</f>
        <v>5.2917721054102549E-11</v>
      </c>
      <c r="E97" s="8">
        <v>9</v>
      </c>
      <c r="F97" s="21">
        <f>D97/0.3048</f>
        <v>1.7361457038747554E-10</v>
      </c>
      <c r="G97" s="37" t="str">
        <f t="shared" ref="G97" si="311">M97&amp;";"&amp;O97&amp;Q97&amp;S97&amp;U97&amp;W97&amp;Y97&amp;AA97&amp;AC97&amp;AE97&amp;AG97&amp;AI97&amp;AK97</f>
        <v>0;X8EE6E522</v>
      </c>
      <c r="H97" s="108"/>
      <c r="I97" s="286"/>
      <c r="J97" s="38">
        <v>-9</v>
      </c>
      <c r="K97" s="61">
        <f>F97/POWER(12,J97)</f>
        <v>0.8958130491062174</v>
      </c>
      <c r="L97" s="39" t="str">
        <f>INDEX(powers!$H$2:$H$75,33+J97)</f>
        <v>unino atomic</v>
      </c>
      <c r="M97" s="40" t="str">
        <f>IF($E97&gt;=M$31,MID($J$31,IF($E97&gt;M$31,INT(K97),ROUND(K97,0))+1,1),"")</f>
        <v>0</v>
      </c>
      <c r="N97" s="24">
        <f t="shared" ref="N97" si="312">(K97-INT(K97))*12</f>
        <v>10.749756589274609</v>
      </c>
      <c r="O97" s="41" t="str">
        <f>IF($E97&gt;=O$31,MID($J$31,IF($E97&gt;O$31,INT(N97),ROUND(N97,0))+1,1),"")</f>
        <v>X</v>
      </c>
      <c r="P97" s="24">
        <f t="shared" ref="P97" si="313">(N97-INT(N97))*12</f>
        <v>8.9970790712953104</v>
      </c>
      <c r="Q97" s="41" t="str">
        <f>IF($E97&gt;=Q$31,MID($J$31,IF($E97&gt;Q$31,INT(P97),ROUND(P97,0))+1,1),"")</f>
        <v>8</v>
      </c>
      <c r="R97" s="24">
        <f t="shared" ref="R97" si="314">(P97-INT(P97))*12</f>
        <v>11.964948855543724</v>
      </c>
      <c r="S97" s="41" t="str">
        <f>IF($E97&gt;=S$31,MID($J$31,IF($E97&gt;S$31,INT(R97),ROUND(R97,0))+1,1),"")</f>
        <v>E</v>
      </c>
      <c r="T97" s="24">
        <f t="shared" ref="T97" si="315">(R97-INT(R97))*12</f>
        <v>11.579386266524693</v>
      </c>
      <c r="U97" s="41" t="str">
        <f>IF($E97&gt;=U$31,MID($J$31,IF($E97&gt;U$31,INT(T97),ROUND(T97,0))+1,1),"")</f>
        <v>E</v>
      </c>
      <c r="V97" s="24">
        <f t="shared" ref="V97" si="316">(T97-INT(T97))*12</f>
        <v>6.9526351982963206</v>
      </c>
      <c r="W97" s="41" t="str">
        <f>IF($E97&gt;=W$31,MID($J$31,IF($E97&gt;W$31,INT(V97),ROUND(V97,0))+1,1),"")</f>
        <v>6</v>
      </c>
      <c r="X97" s="24">
        <f t="shared" ref="X97" si="317">(V97-INT(V97))*12</f>
        <v>11.431622379555847</v>
      </c>
      <c r="Y97" s="41" t="str">
        <f>IF($E97&gt;=Y$31,MID($J$31,IF($E97&gt;Y$31,INT(X97),ROUND(X97,0))+1,1),"")</f>
        <v>E</v>
      </c>
      <c r="Z97" s="24">
        <f t="shared" ref="Z97" si="318">(X97-INT(X97))*12</f>
        <v>5.1794685546701658</v>
      </c>
      <c r="AA97" s="41" t="str">
        <f>IF($E97&gt;=AA$31,MID($J$31,IF($E97&gt;AA$31,INT(Z97),ROUND(Z97,0))+1,1),"")</f>
        <v>5</v>
      </c>
      <c r="AB97" s="24">
        <f t="shared" ref="AB97" si="319">(Z97-INT(Z97))*12</f>
        <v>2.1536226560419891</v>
      </c>
      <c r="AC97" s="41" t="str">
        <f>IF($E97&gt;=AC$31,MID($J$31,IF($E97&gt;AC$31,INT(AB97),ROUND(AB97,0))+1,1),"")</f>
        <v>2</v>
      </c>
      <c r="AD97" s="24">
        <f t="shared" ref="AD97" si="320">(AB97-INT(AB97))*12</f>
        <v>1.8434718725038692</v>
      </c>
      <c r="AE97" s="41" t="str">
        <f>IF($E97&gt;=AE$31,MID($J$31,IF($E97&gt;AE$31,INT(AD97),ROUND(AD97,0))+1,1),"")</f>
        <v>2</v>
      </c>
      <c r="AF97" s="24">
        <f t="shared" ref="AF97" si="321">(AD97-INT(AD97))*12</f>
        <v>10.121662470046431</v>
      </c>
      <c r="AG97" s="41" t="str">
        <f>IF($E97&gt;=AG$31,MID($J$31,IF($E97&gt;AG$31,INT(AF97),ROUND(AF97,0))+1,1),"")</f>
        <v/>
      </c>
      <c r="AH97" s="24">
        <f t="shared" ref="AH97" si="322">(AF97-INT(AF97))*12</f>
        <v>1.4599496405571699</v>
      </c>
      <c r="AI97" s="41" t="str">
        <f>IF($E97&gt;=AI$31,MID($J$31,IF($E97&gt;AI$31,INT(AH97),ROUND(AH97,0))+1,1),"")</f>
        <v/>
      </c>
      <c r="AJ97" s="24">
        <f t="shared" ref="AJ97" si="323">(AH97-INT(AH97))*12</f>
        <v>5.519395686686039</v>
      </c>
      <c r="AK97" s="41" t="str">
        <f>IF($E97&gt;=AK$31,MID($J$31,IF($E97&gt;AK$31,INT(AJ97),ROUND(AJ97,0))+1,1),"")</f>
        <v/>
      </c>
    </row>
    <row r="98" spans="2:37" x14ac:dyDescent="0.2">
      <c r="B98" s="55" t="s">
        <v>636</v>
      </c>
      <c r="C98" s="55" t="s">
        <v>635</v>
      </c>
      <c r="D98" s="193">
        <f>1/(D34*D40)</f>
        <v>1722.0451531746164</v>
      </c>
      <c r="E98" s="8">
        <v>9</v>
      </c>
      <c r="F98" s="21">
        <f>1/(F96*F97)</f>
        <v>1722.0451531746164</v>
      </c>
      <c r="G98" s="37" t="str">
        <f t="shared" ref="G98" si="324">M98&amp;";"&amp;O98&amp;Q98&amp;S98&amp;U98&amp;W98&amp;Y98&amp;AA98&amp;AC98&amp;AE98&amp;AG98&amp;AI98&amp;AK98</f>
        <v>0;EE6066037</v>
      </c>
      <c r="H98" s="37"/>
      <c r="I98" s="285"/>
      <c r="J98" s="38">
        <v>3</v>
      </c>
      <c r="K98" s="61">
        <f>F98/POWER(12,J98)</f>
        <v>0.99655390808716227</v>
      </c>
      <c r="L98" s="39" t="str">
        <f>INDEX(powers!$H$2:$H$75,33+J98)</f>
        <v>doz gross</v>
      </c>
      <c r="M98" s="40" t="str">
        <f>IF($E98&gt;=M$31,MID($J$31,IF($E98&gt;M$31,INT(K98),ROUND(K98,0))+1,1),"")</f>
        <v>0</v>
      </c>
      <c r="N98" s="24">
        <f t="shared" ref="N98" si="325">(K98-INT(K98))*12</f>
        <v>11.958646897045947</v>
      </c>
      <c r="O98" s="41" t="str">
        <f>IF($E98&gt;=O$31,MID($J$31,IF($E98&gt;O$31,INT(N98),ROUND(N98,0))+1,1),"")</f>
        <v>E</v>
      </c>
      <c r="P98" s="24">
        <f t="shared" ref="P98" si="326">(N98-INT(N98))*12</f>
        <v>11.503762764551361</v>
      </c>
      <c r="Q98" s="41" t="str">
        <f>IF($E98&gt;=Q$31,MID($J$31,IF($E98&gt;Q$31,INT(P98),ROUND(P98,0))+1,1),"")</f>
        <v>E</v>
      </c>
      <c r="R98" s="24">
        <f t="shared" ref="R98" si="327">(P98-INT(P98))*12</f>
        <v>6.0451531746163312</v>
      </c>
      <c r="S98" s="41" t="str">
        <f>IF($E98&gt;=S$31,MID($J$31,IF($E98&gt;S$31,INT(R98),ROUND(R98,0))+1,1),"")</f>
        <v>6</v>
      </c>
      <c r="T98" s="24">
        <f t="shared" ref="T98" si="328">(R98-INT(R98))*12</f>
        <v>0.54183809539597405</v>
      </c>
      <c r="U98" s="41" t="str">
        <f>IF($E98&gt;=U$31,MID($J$31,IF($E98&gt;U$31,INT(T98),ROUND(T98,0))+1,1),"")</f>
        <v>0</v>
      </c>
      <c r="V98" s="24">
        <f t="shared" ref="V98" si="329">(T98-INT(T98))*12</f>
        <v>6.5020571447516886</v>
      </c>
      <c r="W98" s="41" t="str">
        <f>IF($E98&gt;=W$31,MID($J$31,IF($E98&gt;W$31,INT(V98),ROUND(V98,0))+1,1),"")</f>
        <v>6</v>
      </c>
      <c r="X98" s="24">
        <f t="shared" ref="X98" si="330">(V98-INT(V98))*12</f>
        <v>6.0246857370202633</v>
      </c>
      <c r="Y98" s="41" t="str">
        <f>IF($E98&gt;=Y$31,MID($J$31,IF($E98&gt;Y$31,INT(X98),ROUND(X98,0))+1,1),"")</f>
        <v>6</v>
      </c>
      <c r="Z98" s="24">
        <f t="shared" ref="Z98" si="331">(X98-INT(X98))*12</f>
        <v>0.29622884424315998</v>
      </c>
      <c r="AA98" s="41" t="str">
        <f>IF($E98&gt;=AA$31,MID($J$31,IF($E98&gt;AA$31,INT(Z98),ROUND(Z98,0))+1,1),"")</f>
        <v>0</v>
      </c>
      <c r="AB98" s="24">
        <f t="shared" ref="AB98" si="332">(Z98-INT(Z98))*12</f>
        <v>3.5547461309179198</v>
      </c>
      <c r="AC98" s="41" t="str">
        <f>IF($E98&gt;=AC$31,MID($J$31,IF($E98&gt;AC$31,INT(AB98),ROUND(AB98,0))+1,1),"")</f>
        <v>3</v>
      </c>
      <c r="AD98" s="24">
        <f t="shared" ref="AD98" si="333">(AB98-INT(AB98))*12</f>
        <v>6.6569535710150376</v>
      </c>
      <c r="AE98" s="41" t="str">
        <f>IF($E98&gt;=AE$31,MID($J$31,IF($E98&gt;AE$31,INT(AD98),ROUND(AD98,0))+1,1),"")</f>
        <v>7</v>
      </c>
      <c r="AF98" s="24">
        <f t="shared" ref="AF98" si="334">(AD98-INT(AD98))*12</f>
        <v>7.8834428521804512</v>
      </c>
      <c r="AG98" s="41" t="str">
        <f>IF($E98&gt;=AG$31,MID($J$31,IF($E98&gt;AG$31,INT(AF98),ROUND(AF98,0))+1,1),"")</f>
        <v/>
      </c>
      <c r="AH98" s="24">
        <f t="shared" ref="AH98" si="335">(AF98-INT(AF98))*12</f>
        <v>10.601314226165414</v>
      </c>
      <c r="AI98" s="41" t="str">
        <f>IF($E98&gt;=AI$31,MID($J$31,IF($E98&gt;AI$31,INT(AH98),ROUND(AH98,0))+1,1),"")</f>
        <v/>
      </c>
      <c r="AJ98" s="24">
        <f t="shared" ref="AJ98" si="336">(AH98-INT(AH98))*12</f>
        <v>7.2157707139849663</v>
      </c>
      <c r="AK98" s="41" t="str">
        <f>IF($E98&gt;=AK$31,MID($J$31,IF($E98&gt;AK$31,INT(AJ98),ROUND(AJ98,0))+1,1),"")</f>
        <v/>
      </c>
    </row>
    <row r="100" spans="2:37" x14ac:dyDescent="0.2">
      <c r="D100" s="474">
        <f>POWER(D$35,4)/(D$34*D$34*D$35*D$36*F$85*LOG(2*PI(),2)*POWER(4*PI(),2))</f>
        <v>6.6743054317511894E-11</v>
      </c>
      <c r="I100" s="14"/>
    </row>
    <row r="101" spans="2:37" x14ac:dyDescent="0.2">
      <c r="I101" s="14"/>
    </row>
    <row r="102" spans="2:37" x14ac:dyDescent="0.2">
      <c r="I102" s="14"/>
    </row>
    <row r="103" spans="2:37" x14ac:dyDescent="0.2">
      <c r="I103" s="14"/>
    </row>
    <row r="104" spans="2:37" x14ac:dyDescent="0.2">
      <c r="I104" s="14"/>
    </row>
    <row r="105" spans="2:37" x14ac:dyDescent="0.2">
      <c r="I105" s="14"/>
    </row>
    <row r="106" spans="2:37" x14ac:dyDescent="0.2">
      <c r="I106" s="14"/>
    </row>
    <row r="107" spans="2:37" x14ac:dyDescent="0.2">
      <c r="I107" s="14"/>
    </row>
    <row r="108" spans="2:37" x14ac:dyDescent="0.2">
      <c r="I108" s="14"/>
    </row>
    <row r="109" spans="2:37" x14ac:dyDescent="0.2">
      <c r="I109" s="14"/>
    </row>
    <row r="110" spans="2:37" x14ac:dyDescent="0.2">
      <c r="I110" s="14"/>
    </row>
    <row r="111" spans="2:37" x14ac:dyDescent="0.2">
      <c r="I111" s="14"/>
    </row>
    <row r="112" spans="2:37" x14ac:dyDescent="0.2">
      <c r="I112" s="14"/>
    </row>
    <row r="113" spans="8:9" x14ac:dyDescent="0.2">
      <c r="I113" s="14"/>
    </row>
    <row r="114" spans="8:9" x14ac:dyDescent="0.2">
      <c r="I114" s="14"/>
    </row>
    <row r="115" spans="8:9" x14ac:dyDescent="0.2">
      <c r="I115" s="14"/>
    </row>
    <row r="116" spans="8:9" x14ac:dyDescent="0.2">
      <c r="I116" s="14"/>
    </row>
    <row r="117" spans="8:9" x14ac:dyDescent="0.2">
      <c r="I117" s="14"/>
    </row>
    <row r="118" spans="8:9" x14ac:dyDescent="0.2">
      <c r="I118" s="14"/>
    </row>
    <row r="119" spans="8:9" x14ac:dyDescent="0.2">
      <c r="I119" s="14"/>
    </row>
    <row r="120" spans="8:9" x14ac:dyDescent="0.2">
      <c r="I120" s="14"/>
    </row>
    <row r="121" spans="8:9" x14ac:dyDescent="0.2">
      <c r="I121" s="14"/>
    </row>
    <row r="122" spans="8:9" x14ac:dyDescent="0.2">
      <c r="H122" s="234"/>
      <c r="I122" s="292"/>
    </row>
  </sheetData>
  <mergeCells count="4">
    <mergeCell ref="J31:K31"/>
    <mergeCell ref="A71:A88"/>
    <mergeCell ref="A31:A70"/>
    <mergeCell ref="A1:A30"/>
  </mergeCells>
  <phoneticPr fontId="1"/>
  <hyperlinks>
    <hyperlink ref="D100" r:id="rId1" display="http://www.vmig-ip.com/Law_of_Gravitation_in_11_Dimensions.pdf" xr:uid="{00000000-0004-0000-0100-000000000000}"/>
  </hyperlinks>
  <printOptions horizontalCentered="1"/>
  <pageMargins left="0.70866141732283472" right="0.70866141732283472" top="0.74803149606299213" bottom="0.74803149606299213" header="0.31496062992125984" footer="0.31496062992125984"/>
  <pageSetup paperSize="9" scale="58" orientation="portrait" r:id="rId2"/>
  <headerFooter>
    <oddHeader>&amp;A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L68"/>
  <sheetViews>
    <sheetView workbookViewId="0">
      <selection activeCell="K7" sqref="K7:L30"/>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4" style="14" customWidth="1"/>
    <col min="8" max="8" width="3.6328125" style="14" customWidth="1"/>
    <col min="9" max="9" width="9.1796875" style="14" customWidth="1"/>
    <col min="10" max="10" width="14.6328125" style="14" customWidth="1"/>
    <col min="11" max="11" width="9" style="14" customWidth="1"/>
    <col min="12" max="12" width="3.1796875" style="14" customWidth="1"/>
    <col min="13" max="16384" width="9" style="14"/>
  </cols>
  <sheetData>
    <row r="1" spans="1:12" ht="11.25" customHeight="1" x14ac:dyDescent="0.2">
      <c r="A1" s="615" t="s">
        <v>26</v>
      </c>
      <c r="B1" s="17" t="s">
        <v>42</v>
      </c>
      <c r="C1" s="18" t="str">
        <f>Rydberg!C1</f>
        <v>Unit Symbol</v>
      </c>
      <c r="D1" s="17" t="s">
        <v>43</v>
      </c>
      <c r="E1" s="18" t="s">
        <v>44</v>
      </c>
      <c r="F1" s="17" t="s">
        <v>55</v>
      </c>
      <c r="G1" s="17" t="s">
        <v>734</v>
      </c>
      <c r="H1" s="19"/>
      <c r="I1" s="56" t="s">
        <v>46</v>
      </c>
      <c r="J1" s="20"/>
      <c r="K1" s="299"/>
    </row>
    <row r="2" spans="1:12" ht="13.5" customHeight="1" x14ac:dyDescent="0.2">
      <c r="A2" s="616"/>
      <c r="B2" s="2" t="str">
        <f>Rydberg!B2</f>
        <v>Local Time</v>
      </c>
      <c r="C2" s="2" t="str">
        <f>Rydberg!C2</f>
        <v>s</v>
      </c>
      <c r="D2" s="270"/>
      <c r="E2" s="8"/>
      <c r="F2" s="8"/>
      <c r="G2" s="8"/>
      <c r="H2" s="8"/>
      <c r="I2" s="57"/>
      <c r="J2" s="22"/>
      <c r="K2" s="80"/>
      <c r="L2" s="24"/>
    </row>
    <row r="3" spans="1:12" ht="13.5" customHeight="1" x14ac:dyDescent="0.2">
      <c r="A3" s="616"/>
      <c r="B3" s="2" t="str">
        <f>Rydberg!B3</f>
        <v>Length</v>
      </c>
      <c r="C3" s="7" t="str">
        <f>Rydberg!C3</f>
        <v>m</v>
      </c>
      <c r="D3" s="28">
        <f>'yard-pound'!D17*6</f>
        <v>1.8288000000000002</v>
      </c>
      <c r="E3" s="8">
        <v>0</v>
      </c>
      <c r="F3" s="21">
        <f>D3*POWER(10,E3)</f>
        <v>1.8288000000000002</v>
      </c>
      <c r="G3" s="21">
        <f>$D3</f>
        <v>1.8288000000000002</v>
      </c>
      <c r="H3" s="8">
        <v>0</v>
      </c>
      <c r="I3" s="58">
        <f>F3/POWER(10,H3)</f>
        <v>1.8288000000000002</v>
      </c>
      <c r="J3" s="118" t="s">
        <v>735</v>
      </c>
      <c r="K3" s="80"/>
      <c r="L3" s="268">
        <f>F3/G3</f>
        <v>1</v>
      </c>
    </row>
    <row r="4" spans="1:12" ht="13.5" customHeight="1" x14ac:dyDescent="0.2">
      <c r="A4" s="616"/>
      <c r="B4" s="300" t="str">
        <f>Rydberg!B4</f>
        <v>Time</v>
      </c>
      <c r="C4" s="301" t="str">
        <f>Rydberg!C4</f>
        <v>s</v>
      </c>
      <c r="D4" s="302">
        <f>86400/200000</f>
        <v>0.432</v>
      </c>
      <c r="E4" s="38">
        <v>0</v>
      </c>
      <c r="F4" s="37">
        <f t="shared" ref="F4:F30" si="0">D4*POWER(10,E4)</f>
        <v>0.432</v>
      </c>
      <c r="G4" s="37">
        <f>$D4</f>
        <v>0.432</v>
      </c>
      <c r="H4" s="38">
        <v>0</v>
      </c>
      <c r="I4" s="303">
        <f t="shared" ref="I4:I30" si="1">F4/POWER(10,H4)</f>
        <v>0.432</v>
      </c>
      <c r="J4" s="304" t="s">
        <v>719</v>
      </c>
      <c r="K4" s="24"/>
      <c r="L4" s="268">
        <f t="shared" ref="L4:L30" si="2">F4/G4</f>
        <v>1</v>
      </c>
    </row>
    <row r="5" spans="1:12" ht="13.5" customHeight="1" x14ac:dyDescent="0.2">
      <c r="A5" s="616"/>
      <c r="B5" s="2" t="str">
        <f>Rydberg!B5</f>
        <v>Energy</v>
      </c>
      <c r="C5" s="2" t="str">
        <f>Rydberg!C5</f>
        <v>J</v>
      </c>
      <c r="D5" s="21">
        <f>D8*POWER(D3/D4,2)</f>
        <v>109610.31130911486</v>
      </c>
      <c r="E5" s="8">
        <v>-3</v>
      </c>
      <c r="F5" s="21">
        <f t="shared" si="0"/>
        <v>109.61031130911486</v>
      </c>
      <c r="G5" s="21">
        <f>G8*POWER(G3/G4,2)</f>
        <v>109.61031130911485</v>
      </c>
      <c r="H5" s="8">
        <v>0</v>
      </c>
      <c r="I5" s="58">
        <f t="shared" si="1"/>
        <v>109.61031130911486</v>
      </c>
      <c r="J5" s="118" t="s">
        <v>712</v>
      </c>
      <c r="K5" s="24"/>
      <c r="L5" s="268">
        <f t="shared" si="2"/>
        <v>1.0000000000000002</v>
      </c>
    </row>
    <row r="6" spans="1:12" ht="13.5" customHeight="1" x14ac:dyDescent="0.2">
      <c r="A6" s="616"/>
      <c r="B6" s="2" t="str">
        <f>Rydberg!B6</f>
        <v>Temperature</v>
      </c>
      <c r="C6" s="2" t="str">
        <f>Rydberg!C6</f>
        <v>K</v>
      </c>
      <c r="D6" s="21">
        <f>D5/D8/D55</f>
        <v>4.2832483535160419E-3</v>
      </c>
      <c r="E6" s="8">
        <v>3</v>
      </c>
      <c r="F6" s="21">
        <f t="shared" si="0"/>
        <v>4.2832483535160417</v>
      </c>
      <c r="G6" s="21">
        <f>G5/G8/D55*1000</f>
        <v>4.2832483535160417</v>
      </c>
      <c r="H6" s="8">
        <v>0</v>
      </c>
      <c r="I6" s="58">
        <f t="shared" si="1"/>
        <v>4.2832483535160417</v>
      </c>
      <c r="J6" s="118" t="s">
        <v>713</v>
      </c>
      <c r="K6" s="24"/>
      <c r="L6" s="268">
        <f t="shared" si="2"/>
        <v>1</v>
      </c>
    </row>
    <row r="7" spans="1:12" ht="13.5" customHeight="1" x14ac:dyDescent="0.2">
      <c r="A7" s="616"/>
      <c r="B7" s="2" t="str">
        <f>Rydberg!B7</f>
        <v>Amount of substance</v>
      </c>
      <c r="C7" s="2" t="str">
        <f>Rydberg!C7</f>
        <v>mol</v>
      </c>
      <c r="D7" s="21">
        <f>D8</f>
        <v>6116.2676035838131</v>
      </c>
      <c r="E7" s="8">
        <v>-3</v>
      </c>
      <c r="F7" s="21">
        <f t="shared" si="0"/>
        <v>6.1162676035838128</v>
      </c>
      <c r="G7" s="21">
        <f>$D7/1000</f>
        <v>6.1162676035838128</v>
      </c>
      <c r="H7" s="8">
        <v>0</v>
      </c>
      <c r="I7" s="58">
        <f t="shared" si="1"/>
        <v>6.1162676035838128</v>
      </c>
      <c r="J7" s="118" t="str">
        <f>Rydberg!L7</f>
        <v>mol</v>
      </c>
      <c r="K7" s="24"/>
      <c r="L7" s="268">
        <f t="shared" si="2"/>
        <v>1</v>
      </c>
    </row>
    <row r="8" spans="1:12" ht="13.5" customHeight="1" x14ac:dyDescent="0.2">
      <c r="A8" s="616"/>
      <c r="B8" s="2" t="str">
        <f>Rydberg!B8</f>
        <v>Mass</v>
      </c>
      <c r="C8" s="2" t="str">
        <f>Rydberg!C8</f>
        <v>g</v>
      </c>
      <c r="D8" s="21">
        <f>D53*POWER(D3,3)</f>
        <v>6116.2676035838131</v>
      </c>
      <c r="E8" s="8">
        <v>-3</v>
      </c>
      <c r="F8" s="21">
        <f t="shared" si="0"/>
        <v>6.1162676035838128</v>
      </c>
      <c r="G8" s="21">
        <f>$D8/1000</f>
        <v>6.1162676035838128</v>
      </c>
      <c r="H8" s="8">
        <v>0</v>
      </c>
      <c r="I8" s="58">
        <f t="shared" si="1"/>
        <v>6.1162676035838128</v>
      </c>
      <c r="J8" s="118" t="s">
        <v>61</v>
      </c>
      <c r="K8" s="24"/>
      <c r="L8" s="268">
        <f t="shared" si="2"/>
        <v>1</v>
      </c>
    </row>
    <row r="9" spans="1:12" ht="13.5" customHeight="1" x14ac:dyDescent="0.2">
      <c r="A9" s="616"/>
      <c r="B9" s="2" t="str">
        <f>Rydberg!B9</f>
        <v>Power</v>
      </c>
      <c r="C9" s="2" t="str">
        <f>Rydberg!C9</f>
        <v>W</v>
      </c>
      <c r="D9" s="21">
        <f>D$5/D$4</f>
        <v>253727.5724748029</v>
      </c>
      <c r="E9" s="8">
        <v>-3</v>
      </c>
      <c r="F9" s="21">
        <f t="shared" si="0"/>
        <v>253.72757247480291</v>
      </c>
      <c r="G9" s="21">
        <f>G5/G4</f>
        <v>253.72757247480288</v>
      </c>
      <c r="H9" s="8">
        <v>0</v>
      </c>
      <c r="I9" s="58">
        <f t="shared" si="1"/>
        <v>253.72757247480291</v>
      </c>
      <c r="J9" s="118" t="s">
        <v>714</v>
      </c>
      <c r="K9" s="24"/>
      <c r="L9" s="268">
        <f t="shared" si="2"/>
        <v>1.0000000000000002</v>
      </c>
    </row>
    <row r="10" spans="1:12" ht="13.5" customHeight="1" x14ac:dyDescent="0.2">
      <c r="A10" s="616"/>
      <c r="B10" s="2" t="str">
        <f>Rydberg!B10</f>
        <v>Force</v>
      </c>
      <c r="C10" s="2" t="str">
        <f>Rydberg!C10</f>
        <v>N</v>
      </c>
      <c r="D10" s="21">
        <f>D$5/D$3</f>
        <v>59935.647041292017</v>
      </c>
      <c r="E10" s="8">
        <v>-3</v>
      </c>
      <c r="F10" s="21">
        <f t="shared" si="0"/>
        <v>59.935647041292022</v>
      </c>
      <c r="G10" s="21">
        <f>G5/G3</f>
        <v>59.935647041292015</v>
      </c>
      <c r="H10" s="8">
        <v>0</v>
      </c>
      <c r="I10" s="58">
        <f t="shared" si="1"/>
        <v>59.935647041292022</v>
      </c>
      <c r="J10" s="118" t="s">
        <v>715</v>
      </c>
      <c r="K10" s="24"/>
      <c r="L10" s="268">
        <f t="shared" si="2"/>
        <v>1.0000000000000002</v>
      </c>
    </row>
    <row r="11" spans="1:12" ht="13.5" customHeight="1" x14ac:dyDescent="0.2">
      <c r="A11" s="616"/>
      <c r="B11" s="2" t="str">
        <f>Rydberg!B11</f>
        <v>Pressure</v>
      </c>
      <c r="C11" s="2" t="str">
        <f>Rydberg!C11</f>
        <v>P</v>
      </c>
      <c r="D11" s="21">
        <f>D$5/POWER(D$3,3)</f>
        <v>17920.609320000007</v>
      </c>
      <c r="E11" s="8">
        <v>-3</v>
      </c>
      <c r="F11" s="21">
        <f t="shared" si="0"/>
        <v>17.920609320000008</v>
      </c>
      <c r="G11" s="21">
        <f>G10/(G3*G3)</f>
        <v>17.920609320000004</v>
      </c>
      <c r="H11" s="8">
        <v>0</v>
      </c>
      <c r="I11" s="58">
        <f t="shared" si="1"/>
        <v>17.920609320000008</v>
      </c>
      <c r="J11" s="118" t="str">
        <f>Rydberg!L11</f>
        <v>Pa</v>
      </c>
      <c r="K11" s="24"/>
      <c r="L11" s="268">
        <f t="shared" si="2"/>
        <v>1.0000000000000002</v>
      </c>
    </row>
    <row r="12" spans="1:12" ht="13.5" customHeight="1" x14ac:dyDescent="0.2">
      <c r="A12" s="616"/>
      <c r="B12" s="2" t="str">
        <f>Rydberg!B12</f>
        <v>Charge</v>
      </c>
      <c r="C12" s="2" t="str">
        <f>Rydberg!C12</f>
        <v>C</v>
      </c>
      <c r="D12" s="21">
        <f>D41*D7*D33</f>
        <v>590130111.08682561</v>
      </c>
      <c r="E12" s="8">
        <v>-9</v>
      </c>
      <c r="F12" s="21">
        <f t="shared" si="0"/>
        <v>0.59013011108682567</v>
      </c>
      <c r="G12" s="21">
        <f>$D12/1000000000</f>
        <v>0.59013011108682556</v>
      </c>
      <c r="H12" s="8">
        <v>0</v>
      </c>
      <c r="I12" s="58">
        <f t="shared" si="1"/>
        <v>0.59013011108682567</v>
      </c>
      <c r="J12" s="118" t="s">
        <v>720</v>
      </c>
      <c r="K12" s="24"/>
      <c r="L12" s="268">
        <f t="shared" si="2"/>
        <v>1.0000000000000002</v>
      </c>
    </row>
    <row r="13" spans="1:12" ht="14.25" customHeight="1" x14ac:dyDescent="0.2">
      <c r="A13" s="616"/>
      <c r="B13" s="2" t="str">
        <f>Rydberg!B13</f>
        <v>Electric current</v>
      </c>
      <c r="C13" s="2" t="str">
        <f>Rydberg!C13</f>
        <v>A</v>
      </c>
      <c r="D13" s="21">
        <f>D$12/D$4</f>
        <v>1366041923.8120964</v>
      </c>
      <c r="E13" s="8">
        <v>-9</v>
      </c>
      <c r="F13" s="21">
        <f t="shared" si="0"/>
        <v>1.3660419238120964</v>
      </c>
      <c r="G13" s="21">
        <f>G12/G4</f>
        <v>1.3660419238120962</v>
      </c>
      <c r="H13" s="8">
        <v>0</v>
      </c>
      <c r="I13" s="58">
        <f t="shared" si="1"/>
        <v>1.3660419238120964</v>
      </c>
      <c r="J13" s="118" t="s">
        <v>721</v>
      </c>
      <c r="K13" s="24"/>
      <c r="L13" s="268">
        <f t="shared" si="2"/>
        <v>1.0000000000000002</v>
      </c>
    </row>
    <row r="14" spans="1:12" ht="14.25" customHeight="1" x14ac:dyDescent="0.2">
      <c r="A14" s="616"/>
      <c r="B14" s="2" t="str">
        <f>Rydberg!B14</f>
        <v>Field Strength</v>
      </c>
      <c r="C14" s="2" t="str">
        <f>Rydberg!C14</f>
        <v>O</v>
      </c>
      <c r="D14" s="21">
        <f>D13/D3</f>
        <v>746960806.98386717</v>
      </c>
      <c r="E14" s="8">
        <v>-9</v>
      </c>
      <c r="F14" s="21">
        <f t="shared" si="0"/>
        <v>0.74696080698386724</v>
      </c>
      <c r="G14" s="21">
        <f>G13/G3</f>
        <v>0.74696080698386702</v>
      </c>
      <c r="H14" s="8">
        <v>0</v>
      </c>
      <c r="I14" s="58">
        <f t="shared" si="1"/>
        <v>0.74696080698386724</v>
      </c>
      <c r="J14" s="118" t="s">
        <v>652</v>
      </c>
      <c r="K14" s="24"/>
      <c r="L14" s="268">
        <f t="shared" si="2"/>
        <v>1.0000000000000002</v>
      </c>
    </row>
    <row r="15" spans="1:12" ht="14.25" customHeight="1" x14ac:dyDescent="0.2">
      <c r="A15" s="616"/>
      <c r="B15" s="2" t="str">
        <f>Rydberg!B15</f>
        <v>Flux density</v>
      </c>
      <c r="C15" s="2" t="str">
        <f>Rydberg!C15</f>
        <v>G</v>
      </c>
      <c r="D15" s="21">
        <f>D12/D3/D3</f>
        <v>176447434.72059849</v>
      </c>
      <c r="E15" s="8">
        <v>-9</v>
      </c>
      <c r="F15" s="21">
        <f t="shared" si="0"/>
        <v>0.17644743472059851</v>
      </c>
      <c r="G15" s="21">
        <f>G12/(G3*G3)</f>
        <v>0.17644743472059848</v>
      </c>
      <c r="H15" s="8">
        <v>0</v>
      </c>
      <c r="I15" s="58">
        <f t="shared" si="1"/>
        <v>0.17644743472059851</v>
      </c>
      <c r="J15" s="118" t="s">
        <v>722</v>
      </c>
      <c r="K15" s="24"/>
      <c r="L15" s="268">
        <f t="shared" si="2"/>
        <v>1.0000000000000002</v>
      </c>
    </row>
    <row r="16" spans="1:12" ht="14.25" customHeight="1" x14ac:dyDescent="0.2">
      <c r="A16" s="616"/>
      <c r="B16" s="2" t="str">
        <f>Rydberg!B16</f>
        <v>Impedance</v>
      </c>
      <c r="C16" s="2" t="s">
        <v>108</v>
      </c>
      <c r="D16" s="21">
        <f>D5*D3/(D12*D12)</f>
        <v>5.7560170877448371E-13</v>
      </c>
      <c r="E16" s="8">
        <v>15</v>
      </c>
      <c r="F16" s="21">
        <f t="shared" si="0"/>
        <v>575.60170877448365</v>
      </c>
      <c r="G16" s="21">
        <f>F16</f>
        <v>575.60170877448365</v>
      </c>
      <c r="H16" s="8">
        <v>0</v>
      </c>
      <c r="I16" s="58">
        <f t="shared" si="1"/>
        <v>575.60170877448365</v>
      </c>
      <c r="J16" s="118" t="str">
        <f>Rydberg!L16</f>
        <v>Ω</v>
      </c>
      <c r="K16" s="24"/>
      <c r="L16" s="268">
        <f t="shared" si="2"/>
        <v>1</v>
      </c>
    </row>
    <row r="17" spans="1:12" ht="14.25" customHeight="1" x14ac:dyDescent="0.2">
      <c r="A17" s="616"/>
      <c r="B17" s="2" t="str">
        <f>Rydberg!B17</f>
        <v>Electric potential difference</v>
      </c>
      <c r="C17" s="2" t="str">
        <f>Rydberg!C17</f>
        <v>ΩA</v>
      </c>
      <c r="D17" s="21">
        <f>D13*D$16</f>
        <v>7.8629606560382578E-4</v>
      </c>
      <c r="E17" s="8">
        <v>6</v>
      </c>
      <c r="F17" s="21">
        <f t="shared" si="0"/>
        <v>786.29606560382581</v>
      </c>
      <c r="G17" s="21">
        <f>G13*G16</f>
        <v>786.29606560382558</v>
      </c>
      <c r="H17" s="8">
        <v>0</v>
      </c>
      <c r="I17" s="58">
        <f t="shared" si="1"/>
        <v>786.29606560382581</v>
      </c>
      <c r="J17" s="118" t="str">
        <f>Rydberg!L17</f>
        <v>V</v>
      </c>
      <c r="K17" s="24"/>
      <c r="L17" s="268">
        <f t="shared" si="2"/>
        <v>1.0000000000000002</v>
      </c>
    </row>
    <row r="18" spans="1:12" ht="14.25" customHeight="1" x14ac:dyDescent="0.2">
      <c r="A18" s="616"/>
      <c r="B18" s="2" t="str">
        <f>Rydberg!B18</f>
        <v>Electric capacitance</v>
      </c>
      <c r="C18" s="2" t="str">
        <f>Rydberg!C18</f>
        <v>s/Ω</v>
      </c>
      <c r="D18" s="21">
        <f>D4/D16</f>
        <v>750518967220.88135</v>
      </c>
      <c r="E18" s="8">
        <v>-15</v>
      </c>
      <c r="F18" s="21">
        <f t="shared" si="0"/>
        <v>7.5051896722088144E-4</v>
      </c>
      <c r="G18" s="21">
        <f>G4/G16</f>
        <v>7.5051896722088134E-4</v>
      </c>
      <c r="H18" s="8">
        <v>-3</v>
      </c>
      <c r="I18" s="58">
        <f t="shared" si="1"/>
        <v>0.75051896722088141</v>
      </c>
      <c r="J18" s="118" t="str">
        <f>Rydberg!L18</f>
        <v>mF</v>
      </c>
      <c r="K18" s="76"/>
      <c r="L18" s="268">
        <f t="shared" si="2"/>
        <v>1.0000000000000002</v>
      </c>
    </row>
    <row r="19" spans="1:12" ht="14.25" customHeight="1" x14ac:dyDescent="0.2">
      <c r="A19" s="616"/>
      <c r="B19" s="2" t="str">
        <f>Rydberg!B19</f>
        <v>Magnetic flux</v>
      </c>
      <c r="C19" s="2" t="str">
        <f>Rydberg!C19</f>
        <v>ΩC</v>
      </c>
      <c r="D19" s="21">
        <f>D12*D16</f>
        <v>3.3967990034085272E-4</v>
      </c>
      <c r="E19" s="8">
        <v>6</v>
      </c>
      <c r="F19" s="21">
        <f t="shared" si="0"/>
        <v>339.67990034085273</v>
      </c>
      <c r="G19" s="21">
        <f>G12*G16</f>
        <v>339.67990034085267</v>
      </c>
      <c r="H19" s="8">
        <v>0</v>
      </c>
      <c r="I19" s="58">
        <f t="shared" si="1"/>
        <v>339.67990034085273</v>
      </c>
      <c r="J19" s="118" t="str">
        <f>Rydberg!L19</f>
        <v>Wb</v>
      </c>
      <c r="K19" s="76"/>
      <c r="L19" s="268">
        <f t="shared" si="2"/>
        <v>1.0000000000000002</v>
      </c>
    </row>
    <row r="20" spans="1:12" ht="14.25" customHeight="1" x14ac:dyDescent="0.2">
      <c r="A20" s="616"/>
      <c r="B20" s="2" t="str">
        <f>Rydberg!B20</f>
        <v>Magnetic flux density</v>
      </c>
      <c r="C20" s="2" t="str">
        <f>Rydberg!C20</f>
        <v>ΩG</v>
      </c>
      <c r="D20" s="21">
        <f>D19/D3/D3</f>
        <v>1.0156344493405067E-4</v>
      </c>
      <c r="E20" s="8">
        <v>6</v>
      </c>
      <c r="F20" s="21">
        <f t="shared" si="0"/>
        <v>101.56344493405066</v>
      </c>
      <c r="G20" s="21">
        <f>G15*G16</f>
        <v>101.56344493405065</v>
      </c>
      <c r="H20" s="8">
        <v>0</v>
      </c>
      <c r="I20" s="58">
        <f t="shared" si="1"/>
        <v>101.56344493405066</v>
      </c>
      <c r="J20" s="118" t="str">
        <f>Rydberg!L20</f>
        <v>T</v>
      </c>
      <c r="K20" s="76"/>
      <c r="L20" s="268">
        <f t="shared" si="2"/>
        <v>1.0000000000000002</v>
      </c>
    </row>
    <row r="21" spans="1:12" ht="14.25" customHeight="1" x14ac:dyDescent="0.2">
      <c r="A21" s="616"/>
      <c r="B21" s="2" t="str">
        <f>Rydberg!B21</f>
        <v>Inductance</v>
      </c>
      <c r="C21" s="2" t="str">
        <f>Rydberg!C21</f>
        <v>sΩ</v>
      </c>
      <c r="D21" s="21">
        <f>D4*D$16</f>
        <v>2.4865993819057695E-13</v>
      </c>
      <c r="E21" s="8">
        <v>15</v>
      </c>
      <c r="F21" s="21">
        <f t="shared" si="0"/>
        <v>248.65993819057695</v>
      </c>
      <c r="G21" s="21">
        <f>G4*G16</f>
        <v>248.65993819057692</v>
      </c>
      <c r="H21" s="8">
        <v>0</v>
      </c>
      <c r="I21" s="58">
        <f t="shared" si="1"/>
        <v>248.65993819057695</v>
      </c>
      <c r="J21" s="118" t="str">
        <f>Rydberg!L21</f>
        <v>H</v>
      </c>
      <c r="K21" s="76"/>
      <c r="L21" s="268">
        <f t="shared" si="2"/>
        <v>1.0000000000000002</v>
      </c>
    </row>
    <row r="22" spans="1:12" ht="14.25" customHeight="1" x14ac:dyDescent="0.2">
      <c r="A22" s="616"/>
      <c r="B22" s="2" t="str">
        <f>Rydberg!B22</f>
        <v>Frequency</v>
      </c>
      <c r="C22" s="2" t="str">
        <f>Rydberg!C22</f>
        <v>Ω_1/s</v>
      </c>
      <c r="D22" s="21">
        <f>1/D4</f>
        <v>2.3148148148148149</v>
      </c>
      <c r="E22" s="8">
        <f>-E4</f>
        <v>0</v>
      </c>
      <c r="F22" s="21">
        <f t="shared" si="0"/>
        <v>2.3148148148148149</v>
      </c>
      <c r="G22" s="21">
        <f>1/G4</f>
        <v>2.3148148148148149</v>
      </c>
      <c r="H22" s="8">
        <v>0</v>
      </c>
      <c r="I22" s="58">
        <f t="shared" si="1"/>
        <v>2.3148148148148149</v>
      </c>
      <c r="J22" s="118" t="s">
        <v>674</v>
      </c>
      <c r="K22" s="257"/>
      <c r="L22" s="268">
        <f t="shared" si="2"/>
        <v>1</v>
      </c>
    </row>
    <row r="23" spans="1:12" ht="14.25" customHeight="1" x14ac:dyDescent="0.2">
      <c r="A23" s="616"/>
      <c r="B23" s="2" t="str">
        <f>Rydberg!B23</f>
        <v>Luminous flux</v>
      </c>
      <c r="C23" s="2" t="str">
        <f>Rydberg!C23</f>
        <v>W_e</v>
      </c>
      <c r="D23" s="21">
        <f>D9</f>
        <v>253727.5724748029</v>
      </c>
      <c r="E23" s="8">
        <f>E9</f>
        <v>-3</v>
      </c>
      <c r="F23" s="21">
        <f t="shared" si="0"/>
        <v>253.72757247480291</v>
      </c>
      <c r="G23" s="21">
        <f>G9</f>
        <v>253.72757247480288</v>
      </c>
      <c r="H23" s="8">
        <v>0</v>
      </c>
      <c r="I23" s="58">
        <f t="shared" si="1"/>
        <v>253.72757247480291</v>
      </c>
      <c r="J23" s="118" t="s">
        <v>716</v>
      </c>
      <c r="K23" s="258"/>
      <c r="L23" s="268">
        <f t="shared" si="2"/>
        <v>1.0000000000000002</v>
      </c>
    </row>
    <row r="24" spans="1:12" ht="14.25" customHeight="1" x14ac:dyDescent="0.2">
      <c r="A24" s="616"/>
      <c r="B24" s="2" t="str">
        <f>Rydberg!B24</f>
        <v>Luminous intensity</v>
      </c>
      <c r="C24" s="2" t="str">
        <f>Rydberg!C24</f>
        <v>W_e/sr</v>
      </c>
      <c r="D24" s="21">
        <f>D23</f>
        <v>253727.5724748029</v>
      </c>
      <c r="E24" s="8">
        <f>E9</f>
        <v>-3</v>
      </c>
      <c r="F24" s="21">
        <f t="shared" si="0"/>
        <v>253.72757247480291</v>
      </c>
      <c r="G24" s="21">
        <f>G23</f>
        <v>253.72757247480288</v>
      </c>
      <c r="H24" s="8">
        <v>0</v>
      </c>
      <c r="I24" s="58">
        <f t="shared" si="1"/>
        <v>253.72757247480291</v>
      </c>
      <c r="J24" s="118" t="s">
        <v>717</v>
      </c>
      <c r="K24" s="24"/>
      <c r="L24" s="268">
        <f t="shared" si="2"/>
        <v>1.0000000000000002</v>
      </c>
    </row>
    <row r="25" spans="1:12" ht="14.25" customHeight="1" x14ac:dyDescent="0.2">
      <c r="A25" s="616"/>
      <c r="B25" s="2"/>
      <c r="C25" s="2" t="str">
        <f>Rydberg!C25</f>
        <v>W_e/Ω_2</v>
      </c>
      <c r="D25" s="21">
        <f>D23/(4*PI())</f>
        <v>20190.998679036002</v>
      </c>
      <c r="E25" s="8">
        <f>E9</f>
        <v>-3</v>
      </c>
      <c r="F25" s="21">
        <f t="shared" si="0"/>
        <v>20.190998679036003</v>
      </c>
      <c r="G25" s="21">
        <f>G24/(4*PI())</f>
        <v>20.190998679036003</v>
      </c>
      <c r="H25" s="8">
        <v>0</v>
      </c>
      <c r="I25" s="58">
        <f t="shared" si="1"/>
        <v>20.190998679036003</v>
      </c>
      <c r="J25" s="118" t="s">
        <v>717</v>
      </c>
      <c r="K25" s="24"/>
      <c r="L25" s="268">
        <f t="shared" si="2"/>
        <v>1</v>
      </c>
    </row>
    <row r="26" spans="1:12" ht="14.25" customHeight="1" x14ac:dyDescent="0.2">
      <c r="A26" s="616"/>
      <c r="B26" s="2" t="str">
        <f>Rydberg!B26</f>
        <v>Illuminance and luminous emittance</v>
      </c>
      <c r="C26" s="2" t="str">
        <f>Rydberg!C26</f>
        <v>W_e/m^2</v>
      </c>
      <c r="D26" s="21">
        <f>D23/D3/D3</f>
        <v>75863.912788000031</v>
      </c>
      <c r="E26" s="8">
        <f>E9-2*E3</f>
        <v>-3</v>
      </c>
      <c r="F26" s="21">
        <f t="shared" si="0"/>
        <v>75.863912788000036</v>
      </c>
      <c r="G26" s="21">
        <f>G23/(G3*G3)</f>
        <v>75.863912788000036</v>
      </c>
      <c r="H26" s="8">
        <v>0</v>
      </c>
      <c r="I26" s="58">
        <f t="shared" si="1"/>
        <v>75.863912788000036</v>
      </c>
      <c r="J26" s="118" t="s">
        <v>718</v>
      </c>
      <c r="K26" s="24"/>
      <c r="L26" s="268">
        <f t="shared" si="2"/>
        <v>1</v>
      </c>
    </row>
    <row r="27" spans="1:12" ht="14.25" customHeight="1" x14ac:dyDescent="0.2">
      <c r="A27" s="616"/>
      <c r="B27" s="2" t="str">
        <f>Rydberg!B27</f>
        <v>Catalytic activity</v>
      </c>
      <c r="C27" s="2" t="str">
        <f>Rydberg!C27</f>
        <v>mol/s</v>
      </c>
      <c r="D27" s="21">
        <f>D7/D4</f>
        <v>14158.026860147716</v>
      </c>
      <c r="E27" s="8">
        <f>E7-E4</f>
        <v>-3</v>
      </c>
      <c r="F27" s="21">
        <f t="shared" si="0"/>
        <v>14.158026860147716</v>
      </c>
      <c r="G27" s="21">
        <f>G7/G4</f>
        <v>14.158026860147714</v>
      </c>
      <c r="H27" s="8">
        <v>0</v>
      </c>
      <c r="I27" s="58">
        <f t="shared" si="1"/>
        <v>14.158026860147716</v>
      </c>
      <c r="J27" s="118" t="s">
        <v>666</v>
      </c>
      <c r="K27" s="24"/>
      <c r="L27" s="268">
        <f t="shared" si="2"/>
        <v>1.0000000000000002</v>
      </c>
    </row>
    <row r="28" spans="1:12" ht="14.25" customHeight="1" x14ac:dyDescent="0.2">
      <c r="A28" s="616"/>
      <c r="B28" s="2" t="str">
        <f>Rydberg!B28</f>
        <v>Radio activity</v>
      </c>
      <c r="C28" s="2" t="str">
        <f>Rydberg!C28</f>
        <v>mol_n/s</v>
      </c>
      <c r="D28" s="21">
        <f>1/D4</f>
        <v>2.3148148148148149</v>
      </c>
      <c r="E28" s="8">
        <f>-E4</f>
        <v>0</v>
      </c>
      <c r="F28" s="21">
        <f t="shared" si="0"/>
        <v>2.3148148148148149</v>
      </c>
      <c r="G28" s="21">
        <f>1/G4</f>
        <v>2.3148148148148149</v>
      </c>
      <c r="H28" s="8">
        <v>0</v>
      </c>
      <c r="I28" s="58">
        <f t="shared" si="1"/>
        <v>2.3148148148148149</v>
      </c>
      <c r="J28" s="118" t="s">
        <v>668</v>
      </c>
      <c r="K28" s="24"/>
      <c r="L28" s="268">
        <f t="shared" si="2"/>
        <v>1</v>
      </c>
    </row>
    <row r="29" spans="1:12" ht="14.25" customHeight="1" x14ac:dyDescent="0.2">
      <c r="A29" s="616"/>
      <c r="B29" s="2" t="str">
        <f>Rydberg!B29</f>
        <v>Absorbed radiation dose</v>
      </c>
      <c r="C29" s="2" t="str">
        <f>Rydberg!C29</f>
        <v>J/g</v>
      </c>
      <c r="D29" s="21">
        <f>D5/D8</f>
        <v>17.92111111111112</v>
      </c>
      <c r="E29" s="8">
        <v>0</v>
      </c>
      <c r="F29" s="21">
        <f t="shared" si="0"/>
        <v>17.92111111111112</v>
      </c>
      <c r="G29" s="21">
        <f>G5/G8</f>
        <v>17.92111111111112</v>
      </c>
      <c r="H29" s="8">
        <v>0</v>
      </c>
      <c r="I29" s="58">
        <f t="shared" si="1"/>
        <v>17.92111111111112</v>
      </c>
      <c r="J29" s="118" t="s">
        <v>670</v>
      </c>
      <c r="K29" s="24"/>
      <c r="L29" s="268">
        <f t="shared" si="2"/>
        <v>1</v>
      </c>
    </row>
    <row r="30" spans="1:12" ht="14.25" customHeight="1" thickBot="1" x14ac:dyDescent="0.25">
      <c r="A30" s="660"/>
      <c r="B30" s="6" t="str">
        <f>Rydberg!B30</f>
        <v>Equivalent dose</v>
      </c>
      <c r="C30" s="6" t="str">
        <f>Rydberg!C30</f>
        <v>J_e/g</v>
      </c>
      <c r="D30" s="29">
        <f>D5/D8/K30</f>
        <v>17.92111111111112</v>
      </c>
      <c r="E30" s="30">
        <v>0</v>
      </c>
      <c r="F30" s="29">
        <f t="shared" si="0"/>
        <v>17.92111111111112</v>
      </c>
      <c r="G30" s="29">
        <f>G29</f>
        <v>17.92111111111112</v>
      </c>
      <c r="H30" s="30">
        <v>0</v>
      </c>
      <c r="I30" s="59">
        <f t="shared" si="1"/>
        <v>17.92111111111112</v>
      </c>
      <c r="J30" s="119" t="s">
        <v>671</v>
      </c>
      <c r="K30" s="261">
        <v>1</v>
      </c>
      <c r="L30" s="268">
        <f t="shared" si="2"/>
        <v>1</v>
      </c>
    </row>
    <row r="31" spans="1:12" ht="11.25" customHeight="1" x14ac:dyDescent="0.2">
      <c r="A31" s="615" t="s">
        <v>27</v>
      </c>
      <c r="B31" s="17" t="s">
        <v>42</v>
      </c>
      <c r="C31" s="18" t="str">
        <f>Rydberg!C31</f>
        <v>Unit Symbol</v>
      </c>
      <c r="D31" s="17" t="s">
        <v>43</v>
      </c>
      <c r="E31" s="18" t="s">
        <v>54</v>
      </c>
      <c r="F31" s="17" t="s">
        <v>47</v>
      </c>
      <c r="G31" s="17" t="s">
        <v>92</v>
      </c>
      <c r="H31" s="575"/>
      <c r="I31" s="576"/>
      <c r="J31" s="20" t="str">
        <f>Rydberg!L31</f>
        <v>Power</v>
      </c>
    </row>
    <row r="32" spans="1:12" ht="14.25" customHeight="1" x14ac:dyDescent="0.2">
      <c r="A32" s="616"/>
      <c r="B32" s="2" t="str">
        <f>Rydberg!B32</f>
        <v>Fine Structure Constant</v>
      </c>
      <c r="C32" s="2" t="str">
        <f>Rydberg!C32</f>
        <v>-</v>
      </c>
      <c r="D32" s="21">
        <f>Rydberg!D32</f>
        <v>7.2973525643E-3</v>
      </c>
      <c r="E32" s="8">
        <v>9</v>
      </c>
      <c r="F32" s="21">
        <f>D32</f>
        <v>7.2973525643E-3</v>
      </c>
      <c r="G32" s="37"/>
      <c r="H32" s="269">
        <f>FLOOR(LOG10(F32)/3,1)*3</f>
        <v>-3</v>
      </c>
      <c r="I32" s="61">
        <f>F32/POWER(10,H32)</f>
        <v>7.2973525642999997</v>
      </c>
      <c r="J32" s="39"/>
    </row>
    <row r="33" spans="1:10" ht="15" customHeight="1" x14ac:dyDescent="0.2">
      <c r="A33" s="616"/>
      <c r="B33" s="3" t="str">
        <f>Rydberg!B33</f>
        <v>Avogadro constant</v>
      </c>
      <c r="C33" s="3" t="str">
        <f>Rydberg!C33</f>
        <v>1/mol</v>
      </c>
      <c r="D33" s="21">
        <f>Rydberg!D33</f>
        <v>6.0221407599999999E+23</v>
      </c>
      <c r="E33" s="8">
        <v>7</v>
      </c>
      <c r="F33" s="21">
        <f>D33/(1/F$7)</f>
        <v>3.6833024434609597E+24</v>
      </c>
      <c r="G33" s="37"/>
      <c r="H33" s="269">
        <f t="shared" ref="H33:H68" si="3">FLOOR(LOG10(F33)/3,1)*3</f>
        <v>24</v>
      </c>
      <c r="I33" s="61">
        <f t="shared" ref="I33:I68" si="4">F33/POWER(10,H33)</f>
        <v>3.6833024434609598</v>
      </c>
      <c r="J33" s="39"/>
    </row>
    <row r="34" spans="1:10" ht="15" customHeight="1" x14ac:dyDescent="0.2">
      <c r="A34" s="616"/>
      <c r="B34" s="3" t="str">
        <f>Rydberg!B34</f>
        <v>Rydberg constant</v>
      </c>
      <c r="C34" s="3" t="str">
        <f>Rydberg!C34</f>
        <v>Ω_1/m</v>
      </c>
      <c r="D34" s="21">
        <f>Rydberg!D34</f>
        <v>10973731.568157</v>
      </c>
      <c r="E34" s="8">
        <v>12</v>
      </c>
      <c r="F34" s="21">
        <f>D34/(1/F$3)</f>
        <v>20068760.291845527</v>
      </c>
      <c r="G34" s="37"/>
      <c r="H34" s="269">
        <f t="shared" si="3"/>
        <v>6</v>
      </c>
      <c r="I34" s="61">
        <f t="shared" si="4"/>
        <v>20.068760291845525</v>
      </c>
      <c r="J34" s="39"/>
    </row>
    <row r="35" spans="1:10" ht="15" customHeight="1" x14ac:dyDescent="0.2">
      <c r="A35" s="616"/>
      <c r="B35" s="3" t="str">
        <f>Rydberg!B35</f>
        <v>Speed of light in vacuum</v>
      </c>
      <c r="C35" s="3" t="str">
        <f>Rydberg!C35</f>
        <v>m/s</v>
      </c>
      <c r="D35" s="21">
        <f>Rydberg!D35</f>
        <v>299792458</v>
      </c>
      <c r="E35" s="8">
        <v>12</v>
      </c>
      <c r="F35" s="21">
        <f>D35/(F$3/F$4)</f>
        <v>70817116.062992111</v>
      </c>
      <c r="G35" s="37"/>
      <c r="H35" s="269">
        <f t="shared" si="3"/>
        <v>6</v>
      </c>
      <c r="I35" s="61">
        <f t="shared" si="4"/>
        <v>70.817116062992113</v>
      </c>
      <c r="J35" s="39"/>
    </row>
    <row r="36" spans="1:10" ht="15" customHeight="1" x14ac:dyDescent="0.2">
      <c r="A36" s="616"/>
      <c r="B36" s="3" t="str">
        <f>Rydberg!B36</f>
        <v>Quantum of action</v>
      </c>
      <c r="C36" s="3" t="str">
        <f>Rydberg!C36</f>
        <v>Js</v>
      </c>
      <c r="D36" s="21">
        <f>Rydberg!D36</f>
        <v>1.0545718176461565E-34</v>
      </c>
      <c r="E36" s="8">
        <v>7</v>
      </c>
      <c r="F36" s="21">
        <f>D36/(F$5*F$4)</f>
        <v>2.2271065902633856E-36</v>
      </c>
      <c r="G36" s="37"/>
      <c r="H36" s="269">
        <f t="shared" si="3"/>
        <v>-36</v>
      </c>
      <c r="I36" s="61">
        <f t="shared" si="4"/>
        <v>2.2271065902633858</v>
      </c>
      <c r="J36" s="39"/>
    </row>
    <row r="37" spans="1:10" ht="15" customHeight="1" x14ac:dyDescent="0.2">
      <c r="A37" s="616"/>
      <c r="B37" s="3" t="str">
        <f>Rydberg!B37</f>
        <v>Boltzmann constant</v>
      </c>
      <c r="C37" s="3" t="str">
        <f>Rydberg!C37</f>
        <v>J/K</v>
      </c>
      <c r="D37" s="21">
        <f>Rydberg!D37</f>
        <v>1.3806490000000001E-23</v>
      </c>
      <c r="E37" s="8">
        <v>6</v>
      </c>
      <c r="F37" s="21">
        <f>D37/(F$5/F$6)</f>
        <v>5.3951699300956251E-25</v>
      </c>
      <c r="G37" s="37"/>
      <c r="H37" s="269">
        <f t="shared" si="3"/>
        <v>-27</v>
      </c>
      <c r="I37" s="61">
        <f t="shared" si="4"/>
        <v>539.5169930095625</v>
      </c>
      <c r="J37" s="39"/>
    </row>
    <row r="38" spans="1:10" ht="15" customHeight="1" x14ac:dyDescent="0.2">
      <c r="A38" s="616"/>
      <c r="B38" s="3" t="str">
        <f>Rydberg!B38</f>
        <v>Gas constant</v>
      </c>
      <c r="C38" s="3" t="str">
        <f>Rydberg!C38</f>
        <v>J/(mol K)</v>
      </c>
      <c r="D38" s="21">
        <f>Rydberg!D38</f>
        <v>8.3144626181532395</v>
      </c>
      <c r="E38" s="8">
        <v>6</v>
      </c>
      <c r="F38" s="21">
        <f>D38/(F$5/F$6/F$7)</f>
        <v>1.9872042586408312</v>
      </c>
      <c r="G38" s="37"/>
      <c r="H38" s="269">
        <f t="shared" si="3"/>
        <v>0</v>
      </c>
      <c r="I38" s="61">
        <f t="shared" si="4"/>
        <v>1.9872042586408312</v>
      </c>
      <c r="J38" s="39"/>
    </row>
    <row r="39" spans="1:10" ht="15" customHeight="1" x14ac:dyDescent="0.2">
      <c r="A39" s="616"/>
      <c r="B39" s="3" t="str">
        <f>Rydberg!B39</f>
        <v>Unified atomic mass unit</v>
      </c>
      <c r="C39" s="3" t="str">
        <f>Rydberg!C39</f>
        <v>kg</v>
      </c>
      <c r="D39" s="21">
        <f>Rydberg!D39</f>
        <v>1.6605390689199999E-27</v>
      </c>
      <c r="E39" s="8">
        <v>7</v>
      </c>
      <c r="F39" s="21">
        <f>D39/F$8</f>
        <v>2.7149548982242222E-28</v>
      </c>
      <c r="G39" s="37"/>
      <c r="H39" s="269">
        <f t="shared" si="3"/>
        <v>-30</v>
      </c>
      <c r="I39" s="61">
        <f t="shared" si="4"/>
        <v>271.49548982242226</v>
      </c>
      <c r="J39" s="39"/>
    </row>
    <row r="40" spans="1:10" ht="15" customHeight="1" x14ac:dyDescent="0.2">
      <c r="A40" s="616"/>
      <c r="B40" s="3" t="str">
        <f>Rydberg!B40</f>
        <v>Bohr Radius</v>
      </c>
      <c r="C40" s="3" t="str">
        <f>Rydberg!C40</f>
        <v>m</v>
      </c>
      <c r="D40" s="21">
        <f>Rydberg!D40</f>
        <v>5.2917721054102549E-11</v>
      </c>
      <c r="E40" s="8">
        <v>9</v>
      </c>
      <c r="F40" s="21">
        <f>D40/F$3</f>
        <v>2.8935761731245922E-11</v>
      </c>
      <c r="G40" s="37"/>
      <c r="H40" s="269">
        <f t="shared" si="3"/>
        <v>-12</v>
      </c>
      <c r="I40" s="61">
        <f t="shared" si="4"/>
        <v>28.935761731245922</v>
      </c>
      <c r="J40" s="39"/>
    </row>
    <row r="41" spans="1:10" ht="15" customHeight="1" x14ac:dyDescent="0.2">
      <c r="A41" s="616"/>
      <c r="B41" s="3" t="str">
        <f>Rydberg!B41</f>
        <v>Elementary electric charge</v>
      </c>
      <c r="C41" s="3" t="str">
        <f>Rydberg!C41</f>
        <v>C</v>
      </c>
      <c r="D41" s="21">
        <f>Rydberg!D41</f>
        <v>1.6021766339999999E-19</v>
      </c>
      <c r="E41" s="8">
        <v>9</v>
      </c>
      <c r="F41" s="21">
        <f>D41/F$12</f>
        <v>2.7149548953692893E-19</v>
      </c>
      <c r="G41" s="37"/>
      <c r="H41" s="269">
        <f t="shared" si="3"/>
        <v>-21</v>
      </c>
      <c r="I41" s="61">
        <f t="shared" si="4"/>
        <v>271.49548953692897</v>
      </c>
      <c r="J41" s="39"/>
    </row>
    <row r="42" spans="1:10" ht="15" customHeight="1" x14ac:dyDescent="0.2">
      <c r="A42" s="616"/>
      <c r="B42" s="3" t="str">
        <f>Rydberg!B42</f>
        <v>Electron mass</v>
      </c>
      <c r="C42" s="3" t="str">
        <f>Rydberg!C42</f>
        <v>kg</v>
      </c>
      <c r="D42" s="21">
        <f>Rydberg!D42</f>
        <v>9.1093837139983745E-31</v>
      </c>
      <c r="E42" s="8">
        <v>7</v>
      </c>
      <c r="F42" s="21">
        <f>D42/F$8</f>
        <v>1.4893697111389882E-31</v>
      </c>
      <c r="G42" s="37"/>
      <c r="H42" s="269">
        <f t="shared" si="3"/>
        <v>-33</v>
      </c>
      <c r="I42" s="61">
        <f t="shared" si="4"/>
        <v>148.93697111389881</v>
      </c>
      <c r="J42" s="39"/>
    </row>
    <row r="43" spans="1:10" ht="15" customHeight="1" x14ac:dyDescent="0.2">
      <c r="A43" s="616"/>
      <c r="B43" s="3" t="str">
        <f>Rydberg!B44</f>
        <v>Newtonian constant of gravitation</v>
      </c>
      <c r="C43" s="3" t="str">
        <f>Rydberg!C44</f>
        <v>(m/s)^4/N</v>
      </c>
      <c r="D43" s="21">
        <f>Rydberg!D44</f>
        <v>6.6742999999999994E-11</v>
      </c>
      <c r="E43" s="8">
        <v>4</v>
      </c>
      <c r="F43" s="21">
        <f>D43/(POWER(F$3/F$4,4)/F$10)</f>
        <v>1.2455496868322301E-11</v>
      </c>
      <c r="G43" s="37"/>
      <c r="H43" s="269">
        <f t="shared" si="3"/>
        <v>-12</v>
      </c>
      <c r="I43" s="61">
        <f t="shared" si="4"/>
        <v>12.455496868322301</v>
      </c>
      <c r="J43" s="39"/>
    </row>
    <row r="44" spans="1:10" ht="15" customHeight="1" x14ac:dyDescent="0.2">
      <c r="A44" s="616"/>
      <c r="B44" s="3" t="str">
        <f>Rydberg!B45</f>
        <v>Planck force</v>
      </c>
      <c r="C44" s="3" t="str">
        <f>Rydberg!C45</f>
        <v>N</v>
      </c>
      <c r="D44" s="21">
        <f>Rydberg!D45</f>
        <v>1.2102555643382063E+44</v>
      </c>
      <c r="E44" s="8">
        <v>4</v>
      </c>
      <c r="F44" s="21">
        <f>D44/F$10</f>
        <v>2.0192583613962049E+42</v>
      </c>
      <c r="G44" s="37"/>
      <c r="H44" s="269">
        <f t="shared" si="3"/>
        <v>42</v>
      </c>
      <c r="I44" s="61">
        <f t="shared" si="4"/>
        <v>2.0192583613962047</v>
      </c>
      <c r="J44" s="39"/>
    </row>
    <row r="45" spans="1:10" ht="15" customHeight="1" x14ac:dyDescent="0.2">
      <c r="A45" s="616"/>
      <c r="B45" s="3" t="str">
        <f>Rydberg!B46</f>
        <v>Gravitic meter</v>
      </c>
      <c r="C45" s="3" t="str">
        <f>Rydberg!C46</f>
        <v>m</v>
      </c>
      <c r="D45" s="21">
        <f>Rydberg!D46</f>
        <v>9.5618936743262592E-35</v>
      </c>
      <c r="E45" s="8">
        <v>4</v>
      </c>
      <c r="F45" s="21">
        <f>D45/F$3</f>
        <v>5.2285070397672014E-35</v>
      </c>
      <c r="G45" s="37"/>
      <c r="H45" s="269">
        <f t="shared" si="3"/>
        <v>-36</v>
      </c>
      <c r="I45" s="61">
        <f t="shared" si="4"/>
        <v>52.285070397672015</v>
      </c>
      <c r="J45" s="39"/>
    </row>
    <row r="46" spans="1:10" ht="15" customHeight="1" x14ac:dyDescent="0.2">
      <c r="A46" s="616"/>
      <c r="B46" s="3" t="str">
        <f>Rydberg!B47</f>
        <v>Planck length</v>
      </c>
      <c r="C46" s="3" t="str">
        <f>Rydberg!C47</f>
        <v>m</v>
      </c>
      <c r="D46" s="21">
        <f>Rydberg!D47</f>
        <v>1.6162550244237053E-35</v>
      </c>
      <c r="E46" s="8">
        <v>4</v>
      </c>
      <c r="F46" s="21">
        <f>D46/F$3</f>
        <v>8.8377899410745034E-36</v>
      </c>
      <c r="G46" s="37"/>
      <c r="H46" s="269">
        <f t="shared" si="3"/>
        <v>-36</v>
      </c>
      <c r="I46" s="61">
        <f t="shared" si="4"/>
        <v>8.8377899410745044</v>
      </c>
      <c r="J46" s="39"/>
    </row>
    <row r="47" spans="1:10" ht="15" customHeight="1" x14ac:dyDescent="0.2">
      <c r="A47" s="616"/>
      <c r="B47" s="3" t="str">
        <f>Rydberg!B48</f>
        <v>Adjusted Planck length</v>
      </c>
      <c r="C47" s="3" t="str">
        <f>Rydberg!C48</f>
        <v>m</v>
      </c>
      <c r="D47" s="21">
        <f>Rydberg!D48</f>
        <v>1.8920265367777891E-34</v>
      </c>
      <c r="E47" s="8">
        <v>4</v>
      </c>
      <c r="F47" s="21">
        <f>D47/F$3</f>
        <v>1.0345726907140141E-34</v>
      </c>
      <c r="G47" s="37"/>
      <c r="H47" s="269">
        <f t="shared" si="3"/>
        <v>-36</v>
      </c>
      <c r="I47" s="61">
        <f t="shared" si="4"/>
        <v>103.45726907140141</v>
      </c>
      <c r="J47" s="39"/>
    </row>
    <row r="48" spans="1:10" ht="15" customHeight="1" x14ac:dyDescent="0.2">
      <c r="A48" s="616"/>
      <c r="B48" s="3" t="str">
        <f>Rydberg!B49</f>
        <v>Stefan-Boltzmann constant</v>
      </c>
      <c r="C48" s="64" t="str">
        <f>Rydberg!C49</f>
        <v>W/m^2/K^4</v>
      </c>
      <c r="D48" s="21">
        <f>Rydberg!D49</f>
        <v>5.6703744191844301E-8</v>
      </c>
      <c r="E48" s="8">
        <v>6</v>
      </c>
      <c r="F48" s="21">
        <f>D48/(F$9*POWER(F$3,-2)*POWER(F$6,-4))</f>
        <v>2.5157618371028382E-7</v>
      </c>
      <c r="G48" s="37"/>
      <c r="H48" s="269">
        <f t="shared" si="3"/>
        <v>-9</v>
      </c>
      <c r="I48" s="61">
        <f t="shared" si="4"/>
        <v>251.5761837102838</v>
      </c>
      <c r="J48" s="39"/>
    </row>
    <row r="49" spans="1:10" ht="15" customHeight="1" x14ac:dyDescent="0.2">
      <c r="A49" s="616"/>
      <c r="B49" s="3" t="str">
        <f>Rydberg!B50</f>
        <v>Black-body radiation at the ice point</v>
      </c>
      <c r="C49" s="3" t="str">
        <f>Rydberg!C50</f>
        <v>W/m^2</v>
      </c>
      <c r="D49" s="21">
        <f>Rydberg!D50</f>
        <v>315.65782231107141</v>
      </c>
      <c r="E49" s="8">
        <v>6</v>
      </c>
      <c r="F49" s="21">
        <f>D49/(F$9*POWER(F$3,-2))</f>
        <v>4.1608428923666247</v>
      </c>
      <c r="G49" s="37"/>
      <c r="H49" s="269">
        <f t="shared" si="3"/>
        <v>0</v>
      </c>
      <c r="I49" s="61">
        <f t="shared" si="4"/>
        <v>4.1608428923666247</v>
      </c>
      <c r="J49" s="39"/>
    </row>
    <row r="50" spans="1:10" ht="15" customHeight="1" x14ac:dyDescent="0.2">
      <c r="A50" s="616"/>
      <c r="B50" s="3" t="str">
        <f>Rydberg!B51</f>
        <v>Temperature of the triple point of water</v>
      </c>
      <c r="C50" s="3" t="str">
        <f>Rydberg!C51</f>
        <v>K</v>
      </c>
      <c r="D50" s="21">
        <f>Rydberg!D51</f>
        <v>273.16000000000003</v>
      </c>
      <c r="E50" s="8">
        <v>6</v>
      </c>
      <c r="F50" s="21">
        <f>D50/F$6</f>
        <v>63.774027900055778</v>
      </c>
      <c r="G50" s="37"/>
      <c r="H50" s="269">
        <f t="shared" si="3"/>
        <v>0</v>
      </c>
      <c r="I50" s="61">
        <f t="shared" si="4"/>
        <v>63.774027900055778</v>
      </c>
      <c r="J50" s="39"/>
    </row>
    <row r="51" spans="1:10" ht="15" customHeight="1" x14ac:dyDescent="0.2">
      <c r="A51" s="616"/>
      <c r="B51" s="3" t="str">
        <f>Rydberg!B52</f>
        <v>Molar volume of an ideal gas</v>
      </c>
      <c r="C51" s="3" t="str">
        <f>Rydberg!C52</f>
        <v>m^3/mol</v>
      </c>
      <c r="D51" s="21">
        <f>Rydberg!D52</f>
        <v>2.2413969539999998E-2</v>
      </c>
      <c r="E51" s="8">
        <v>6</v>
      </c>
      <c r="F51" s="21">
        <f>D51/(POWER(F$3,3)/F$7)</f>
        <v>2.2413341948852875E-2</v>
      </c>
      <c r="G51" s="37"/>
      <c r="H51" s="269">
        <f t="shared" si="3"/>
        <v>-3</v>
      </c>
      <c r="I51" s="61">
        <f t="shared" si="4"/>
        <v>22.413341948852874</v>
      </c>
      <c r="J51" s="39"/>
    </row>
    <row r="52" spans="1:10" ht="15" customHeight="1" x14ac:dyDescent="0.2">
      <c r="A52" s="616"/>
      <c r="B52" s="67" t="str">
        <f>Rydberg!B53</f>
        <v>-log(Sqrt([H+][OH-])/(mol/m^3))</v>
      </c>
      <c r="C52" s="3" t="s">
        <v>723</v>
      </c>
      <c r="D52" s="21">
        <f>Rydberg!D53</f>
        <v>1.0039920318408906E-4</v>
      </c>
      <c r="E52" s="8">
        <v>4</v>
      </c>
      <c r="F52" s="21">
        <f>-LOG(D$52/(F$7*POWER(F$3,-3)))/LOG(10)</f>
        <v>3.9982575735295067</v>
      </c>
      <c r="G52" s="37"/>
      <c r="H52" s="269">
        <f t="shared" si="3"/>
        <v>0</v>
      </c>
      <c r="I52" s="61">
        <f t="shared" si="4"/>
        <v>3.9982575735295067</v>
      </c>
      <c r="J52" s="39"/>
    </row>
    <row r="53" spans="1:10" ht="15" customHeight="1" x14ac:dyDescent="0.2">
      <c r="A53" s="616"/>
      <c r="B53" s="272" t="str">
        <f>Rydberg!B54</f>
        <v>Maximum density of water</v>
      </c>
      <c r="C53" s="272" t="str">
        <f>Rydberg!C54</f>
        <v>kg/m^3</v>
      </c>
      <c r="D53" s="37">
        <f>Rydberg!D54</f>
        <v>999.97199999999998</v>
      </c>
      <c r="E53" s="38">
        <v>6</v>
      </c>
      <c r="F53" s="37">
        <f>D53/(F$8*POWER(F$3,-3))</f>
        <v>1000.0000000000001</v>
      </c>
      <c r="G53" s="37"/>
      <c r="H53" s="269">
        <f t="shared" si="3"/>
        <v>3</v>
      </c>
      <c r="I53" s="273">
        <f t="shared" si="4"/>
        <v>1.0000000000000002</v>
      </c>
      <c r="J53" s="39"/>
    </row>
    <row r="54" spans="1:10" ht="15" customHeight="1" x14ac:dyDescent="0.2">
      <c r="A54" s="616"/>
      <c r="B54" s="3" t="str">
        <f>Rydberg!B55</f>
        <v>Density of ice at the ice point</v>
      </c>
      <c r="C54" s="3" t="str">
        <f>Rydberg!C55</f>
        <v>kg/m^3</v>
      </c>
      <c r="D54" s="21">
        <f>Rydberg!D55</f>
        <v>916.8</v>
      </c>
      <c r="E54" s="8">
        <v>4</v>
      </c>
      <c r="F54" s="21">
        <f>D54/(F$8*POWER(F$3,-3))</f>
        <v>916.82567111879143</v>
      </c>
      <c r="G54" s="37"/>
      <c r="H54" s="269">
        <f t="shared" si="3"/>
        <v>0</v>
      </c>
      <c r="I54" s="61">
        <f t="shared" si="4"/>
        <v>916.82567111879143</v>
      </c>
      <c r="J54" s="39"/>
    </row>
    <row r="55" spans="1:10" ht="15" customHeight="1" x14ac:dyDescent="0.2">
      <c r="A55" s="616"/>
      <c r="B55" s="272" t="str">
        <f>Rydberg!B56</f>
        <v>Specific heat of water</v>
      </c>
      <c r="C55" s="272" t="str">
        <f>Rydberg!C56</f>
        <v>J/kg/K</v>
      </c>
      <c r="D55" s="37">
        <f>Rydberg!D56</f>
        <v>4184</v>
      </c>
      <c r="E55" s="38">
        <v>4</v>
      </c>
      <c r="F55" s="37">
        <f>D55/(F$5/F$8/F$6)</f>
        <v>999.99999999999977</v>
      </c>
      <c r="G55" s="37"/>
      <c r="H55" s="269">
        <f t="shared" si="3"/>
        <v>3</v>
      </c>
      <c r="I55" s="273">
        <f t="shared" si="4"/>
        <v>0.99999999999999978</v>
      </c>
      <c r="J55" s="274"/>
    </row>
    <row r="56" spans="1:10" ht="15" customHeight="1" x14ac:dyDescent="0.2">
      <c r="A56" s="616"/>
      <c r="B56" s="3" t="str">
        <f>Rydberg!B57</f>
        <v>Surface tension of water at 25℃</v>
      </c>
      <c r="C56" s="3" t="str">
        <f>Rydberg!C57</f>
        <v>N/m</v>
      </c>
      <c r="D56" s="21">
        <f>Rydberg!D57</f>
        <v>7.1970000000000006E-2</v>
      </c>
      <c r="E56" s="8">
        <v>4</v>
      </c>
      <c r="F56" s="21">
        <f>D$56/(F$10/F$3)</f>
        <v>2.1960009192746799E-3</v>
      </c>
      <c r="G56" s="37"/>
      <c r="H56" s="269">
        <f t="shared" si="3"/>
        <v>-3</v>
      </c>
      <c r="I56" s="61">
        <f t="shared" si="4"/>
        <v>2.1960009192746797</v>
      </c>
      <c r="J56" s="39"/>
    </row>
    <row r="57" spans="1:10" ht="15" customHeight="1" x14ac:dyDescent="0.2">
      <c r="A57" s="616"/>
      <c r="B57" s="5" t="str">
        <f>Rydberg!B58</f>
        <v>photon energy at 540THz</v>
      </c>
      <c r="C57" s="3" t="str">
        <f>Rydberg!C58</f>
        <v>J</v>
      </c>
      <c r="D57" s="21">
        <f>D36*540000000000000*(2*PI())</f>
        <v>3.5780778809999999E-19</v>
      </c>
      <c r="E57" s="8">
        <v>7</v>
      </c>
      <c r="F57" s="21">
        <f>D57/F$5</f>
        <v>3.2643624840270458E-21</v>
      </c>
      <c r="G57" s="37"/>
      <c r="H57" s="269">
        <f t="shared" si="3"/>
        <v>-21</v>
      </c>
      <c r="I57" s="61">
        <f t="shared" si="4"/>
        <v>3.2643624840270462</v>
      </c>
      <c r="J57" s="39"/>
    </row>
    <row r="58" spans="1:10" ht="15" customHeight="1" x14ac:dyDescent="0.2">
      <c r="A58" s="616"/>
      <c r="B58" s="224" t="str">
        <f>Rydberg!B59</f>
        <v>(according to the definition of candela)</v>
      </c>
      <c r="C58" s="3" t="str">
        <f>Rydberg!C59</f>
        <v>eΩA</v>
      </c>
      <c r="D58" s="21">
        <f>D57/D41</f>
        <v>2.2332605563388839</v>
      </c>
      <c r="E58" s="8">
        <v>7</v>
      </c>
      <c r="F58" s="21">
        <f>D58/F$17</f>
        <v>2.8402285780533324E-3</v>
      </c>
      <c r="G58" s="37"/>
      <c r="H58" s="269">
        <f t="shared" si="3"/>
        <v>-3</v>
      </c>
      <c r="I58" s="61">
        <f t="shared" si="4"/>
        <v>2.8402285780533325</v>
      </c>
      <c r="J58" s="254"/>
    </row>
    <row r="59" spans="1:10" ht="15" customHeight="1" x14ac:dyDescent="0.2">
      <c r="A59" s="616"/>
      <c r="B59" s="267">
        <f>Rydberg!B60</f>
        <v>1.024</v>
      </c>
      <c r="C59" s="3" t="str">
        <f>Rydberg!C60</f>
        <v>P/m</v>
      </c>
      <c r="D59" s="21">
        <f>D53*D62*B59</f>
        <v>10041.728423731198</v>
      </c>
      <c r="E59" s="8">
        <v>6</v>
      </c>
      <c r="F59" s="21">
        <f>D59/(F11/F3)</f>
        <v>1024.7594048503931</v>
      </c>
      <c r="G59" s="37"/>
      <c r="H59" s="269">
        <f t="shared" si="3"/>
        <v>3</v>
      </c>
      <c r="I59" s="61">
        <f t="shared" si="4"/>
        <v>1.0247594048503932</v>
      </c>
      <c r="J59" s="39"/>
    </row>
    <row r="60" spans="1:10" ht="15" customHeight="1" x14ac:dyDescent="0.2">
      <c r="A60" s="616"/>
      <c r="B60" s="3" t="str">
        <f>Rydberg!B61</f>
        <v>Sea depth at standard atmosphere</v>
      </c>
      <c r="C60" s="3" t="str">
        <f>Rydberg!C61</f>
        <v>m</v>
      </c>
      <c r="D60" s="21">
        <f>D61/D59</f>
        <v>10.090394374791382</v>
      </c>
      <c r="E60" s="8">
        <v>6</v>
      </c>
      <c r="F60" s="21">
        <f>D60/F$3</f>
        <v>5.5174947368719272</v>
      </c>
      <c r="G60" s="37"/>
      <c r="H60" s="269">
        <f t="shared" si="3"/>
        <v>0</v>
      </c>
      <c r="I60" s="61">
        <f t="shared" si="4"/>
        <v>5.5174947368719272</v>
      </c>
      <c r="J60" s="39"/>
    </row>
    <row r="61" spans="1:10" ht="15" customHeight="1" x14ac:dyDescent="0.2">
      <c r="A61" s="616"/>
      <c r="B61" s="3" t="str">
        <f>Rydberg!B62</f>
        <v>Standard atmosphere</v>
      </c>
      <c r="C61" s="3" t="str">
        <f>Rydberg!C62</f>
        <v>P</v>
      </c>
      <c r="D61" s="21">
        <f>Rydberg!D62</f>
        <v>101325</v>
      </c>
      <c r="E61" s="8">
        <v>6</v>
      </c>
      <c r="F61" s="21">
        <f>D61/F$11</f>
        <v>5654.1046228220521</v>
      </c>
      <c r="G61" s="37"/>
      <c r="H61" s="269">
        <f t="shared" si="3"/>
        <v>3</v>
      </c>
      <c r="I61" s="61">
        <f t="shared" si="4"/>
        <v>5.654104622822052</v>
      </c>
      <c r="J61" s="39"/>
    </row>
    <row r="62" spans="1:10" ht="15" customHeight="1" x14ac:dyDescent="0.2">
      <c r="A62" s="616"/>
      <c r="B62" s="272" t="str">
        <f>Rydberg!B63</f>
        <v>Standard gravitational acceleration</v>
      </c>
      <c r="C62" s="272" t="str">
        <f>Rydberg!C63</f>
        <v>m/s^2</v>
      </c>
      <c r="D62" s="37">
        <f>Rydberg!D63</f>
        <v>9.8066499999999994</v>
      </c>
      <c r="E62" s="38">
        <v>7</v>
      </c>
      <c r="F62" s="37">
        <f>D62/(F$3/F$4/F$4)</f>
        <v>1.0007416062992123</v>
      </c>
      <c r="G62" s="37"/>
      <c r="H62" s="269">
        <f t="shared" si="3"/>
        <v>0</v>
      </c>
      <c r="I62" s="273">
        <f t="shared" si="4"/>
        <v>1.0007416062992123</v>
      </c>
      <c r="J62" s="274"/>
    </row>
    <row r="63" spans="1:10" ht="15" customHeight="1" x14ac:dyDescent="0.2">
      <c r="A63" s="616"/>
      <c r="B63" s="3" t="str">
        <f>Rydberg!B64</f>
        <v>Gravitational radius of the Earth</v>
      </c>
      <c r="C63" s="3" t="str">
        <f>Rydberg!C64</f>
        <v>m</v>
      </c>
      <c r="D63" s="21">
        <f>Rydberg!D64</f>
        <v>4.4350280391176706E-3</v>
      </c>
      <c r="E63" s="8">
        <v>10</v>
      </c>
      <c r="F63" s="21">
        <f>D63/F$3</f>
        <v>2.4251028210398461E-3</v>
      </c>
      <c r="G63" s="37"/>
      <c r="H63" s="269">
        <f t="shared" si="3"/>
        <v>-3</v>
      </c>
      <c r="I63" s="61">
        <f t="shared" si="4"/>
        <v>2.4251028210398462</v>
      </c>
      <c r="J63" s="39"/>
    </row>
    <row r="64" spans="1:10" ht="15" customHeight="1" x14ac:dyDescent="0.2">
      <c r="A64" s="616"/>
      <c r="B64" s="3" t="str">
        <f>Rydberg!B65</f>
        <v>Equatorial radius of the Earth</v>
      </c>
      <c r="C64" s="3" t="str">
        <f>Rydberg!C65</f>
        <v>m</v>
      </c>
      <c r="D64" s="21">
        <f>Rydberg!D65</f>
        <v>6378137</v>
      </c>
      <c r="E64" s="8">
        <v>7</v>
      </c>
      <c r="F64" s="21">
        <f>D64/F$3</f>
        <v>3487607.7209098861</v>
      </c>
      <c r="G64" s="37"/>
      <c r="H64" s="269">
        <f t="shared" si="3"/>
        <v>6</v>
      </c>
      <c r="I64" s="61">
        <f t="shared" si="4"/>
        <v>3.4876077209098861</v>
      </c>
      <c r="J64" s="39"/>
    </row>
    <row r="65" spans="1:10" ht="15" customHeight="1" x14ac:dyDescent="0.2">
      <c r="A65" s="616"/>
      <c r="B65" s="3" t="str">
        <f>Rydberg!B66</f>
        <v>Meridian length of the Earth / 4</v>
      </c>
      <c r="C65" s="3" t="str">
        <f>Rydberg!C66</f>
        <v>m</v>
      </c>
      <c r="D65" s="21">
        <f>Rydberg!D66</f>
        <v>10001965.75</v>
      </c>
      <c r="E65" s="8">
        <v>7</v>
      </c>
      <c r="F65" s="21">
        <f>D65/F$3</f>
        <v>5469141.3768591424</v>
      </c>
      <c r="G65" s="37"/>
      <c r="H65" s="269">
        <f t="shared" si="3"/>
        <v>6</v>
      </c>
      <c r="I65" s="61">
        <f t="shared" si="4"/>
        <v>5.4691413768591426</v>
      </c>
      <c r="J65" s="39"/>
    </row>
    <row r="66" spans="1:10" ht="15" customHeight="1" x14ac:dyDescent="0.2">
      <c r="A66" s="616"/>
      <c r="B66" s="3" t="str">
        <f>Rydberg!B67</f>
        <v>Gravitational radius of the Sun</v>
      </c>
      <c r="C66" s="3" t="str">
        <f>Rydberg!C67</f>
        <v>m</v>
      </c>
      <c r="D66" s="21">
        <f>Rydberg!D67</f>
        <v>1476.6250385063113</v>
      </c>
      <c r="E66" s="8">
        <v>8</v>
      </c>
      <c r="F66" s="21">
        <f>D66/F$3</f>
        <v>807.42838938446585</v>
      </c>
      <c r="G66" s="37"/>
      <c r="H66" s="269">
        <f t="shared" si="3"/>
        <v>0</v>
      </c>
      <c r="I66" s="61">
        <f t="shared" si="4"/>
        <v>807.42838938446585</v>
      </c>
      <c r="J66" s="39"/>
    </row>
    <row r="67" spans="1:10" ht="15" customHeight="1" x14ac:dyDescent="0.2">
      <c r="A67" s="616"/>
      <c r="B67" s="3" t="str">
        <f>Rydberg!B68</f>
        <v>Astronomical unit</v>
      </c>
      <c r="C67" s="3" t="str">
        <f>Rydberg!C68</f>
        <v>m</v>
      </c>
      <c r="D67" s="21">
        <f>Rydberg!D68</f>
        <v>149597870000</v>
      </c>
      <c r="E67" s="8">
        <v>9</v>
      </c>
      <c r="F67" s="21">
        <f>D67/F$3</f>
        <v>81801110017.497803</v>
      </c>
      <c r="G67" s="37"/>
      <c r="H67" s="269">
        <f t="shared" si="3"/>
        <v>9</v>
      </c>
      <c r="I67" s="61">
        <f t="shared" si="4"/>
        <v>81.801110017497805</v>
      </c>
      <c r="J67" s="39"/>
    </row>
    <row r="68" spans="1:10" ht="15" customHeight="1" thickBot="1" x14ac:dyDescent="0.25">
      <c r="A68" s="617"/>
      <c r="B68" s="89" t="str">
        <f>Rydberg!B69</f>
        <v>Astronomical unit / c0</v>
      </c>
      <c r="C68" s="89" t="str">
        <f>Rydberg!C69</f>
        <v>s</v>
      </c>
      <c r="D68" s="32">
        <f>Rydberg!D69</f>
        <v>499.00478150120773</v>
      </c>
      <c r="E68" s="33">
        <v>9</v>
      </c>
      <c r="F68" s="32">
        <f>D68/F$4</f>
        <v>1155.1036608824254</v>
      </c>
      <c r="G68" s="47"/>
      <c r="H68" s="271">
        <f t="shared" si="3"/>
        <v>3</v>
      </c>
      <c r="I68" s="63">
        <f t="shared" si="4"/>
        <v>1.1551036608824254</v>
      </c>
      <c r="J68" s="49"/>
    </row>
  </sheetData>
  <mergeCells count="3">
    <mergeCell ref="A1:A30"/>
    <mergeCell ref="A31:A68"/>
    <mergeCell ref="H31:I31"/>
  </mergeCells>
  <phoneticPr fontId="1"/>
  <printOptions horizontalCentered="1"/>
  <pageMargins left="0.70866141732283472" right="0.70866141732283472" top="0.74803149606299213" bottom="0.74803149606299213" header="0.31496062992125984" footer="0.31496062992125984"/>
  <pageSetup paperSize="9" scale="80" orientation="portrait" r:id="rId1"/>
  <headerFooter>
    <oddHeader>&amp;A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L68"/>
  <sheetViews>
    <sheetView workbookViewId="0">
      <selection activeCell="E64" sqref="E64"/>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4" style="14" customWidth="1"/>
    <col min="8" max="8" width="3.6328125" style="14" customWidth="1"/>
    <col min="9" max="9" width="9.1796875" style="14" customWidth="1"/>
    <col min="10" max="10" width="14.6328125" style="14" customWidth="1"/>
    <col min="11" max="11" width="9" style="14" customWidth="1"/>
    <col min="12" max="12" width="3.1796875" style="14" customWidth="1"/>
    <col min="13" max="16384" width="9" style="14"/>
  </cols>
  <sheetData>
    <row r="1" spans="1:12" ht="11.25" customHeight="1" x14ac:dyDescent="0.2">
      <c r="A1" s="615" t="s">
        <v>26</v>
      </c>
      <c r="B1" s="17" t="s">
        <v>42</v>
      </c>
      <c r="C1" s="18" t="str">
        <f>Rydberg!C1</f>
        <v>Unit Symbol</v>
      </c>
      <c r="D1" s="17" t="s">
        <v>43</v>
      </c>
      <c r="E1" s="18" t="s">
        <v>44</v>
      </c>
      <c r="F1" s="17" t="s">
        <v>55</v>
      </c>
      <c r="G1" s="17" t="s">
        <v>734</v>
      </c>
      <c r="H1" s="19"/>
      <c r="I1" s="56" t="s">
        <v>46</v>
      </c>
      <c r="J1" s="20"/>
      <c r="K1" s="299"/>
    </row>
    <row r="2" spans="1:12" ht="13.5" customHeight="1" x14ac:dyDescent="0.2">
      <c r="A2" s="616"/>
      <c r="B2" s="2" t="str">
        <f>Rydberg!B2</f>
        <v>Local Time</v>
      </c>
      <c r="C2" s="2" t="str">
        <f>Rydberg!C2</f>
        <v>s</v>
      </c>
      <c r="D2" s="270"/>
      <c r="E2" s="8"/>
      <c r="F2" s="8"/>
      <c r="G2" s="8"/>
      <c r="H2" s="8"/>
      <c r="I2" s="57"/>
      <c r="J2" s="22"/>
      <c r="K2" s="80"/>
      <c r="L2" s="24"/>
    </row>
    <row r="3" spans="1:12" ht="13.5" customHeight="1" x14ac:dyDescent="0.2">
      <c r="A3" s="616"/>
      <c r="B3" s="2" t="str">
        <f>Rydberg!B3</f>
        <v>Length</v>
      </c>
      <c r="C3" s="7" t="str">
        <f>Rydberg!C3</f>
        <v>m</v>
      </c>
      <c r="D3" s="28">
        <f>'yard-pound'!D17*6</f>
        <v>1.8288000000000002</v>
      </c>
      <c r="E3" s="8">
        <v>-1</v>
      </c>
      <c r="F3" s="21">
        <f>D3*POWER(10,E3)</f>
        <v>0.18288000000000004</v>
      </c>
      <c r="G3" s="21">
        <f>$D3/10</f>
        <v>0.18288000000000001</v>
      </c>
      <c r="H3" s="8">
        <v>0</v>
      </c>
      <c r="I3" s="58">
        <f>F3/POWER(10,H3)</f>
        <v>0.18288000000000004</v>
      </c>
      <c r="J3" s="118" t="s">
        <v>736</v>
      </c>
      <c r="K3" s="80"/>
      <c r="L3" s="268">
        <f>F3/G3</f>
        <v>1.0000000000000002</v>
      </c>
    </row>
    <row r="4" spans="1:12" ht="13.5" customHeight="1" x14ac:dyDescent="0.2">
      <c r="A4" s="616"/>
      <c r="B4" s="300" t="str">
        <f>Rydberg!B4</f>
        <v>Time</v>
      </c>
      <c r="C4" s="301" t="str">
        <f>Rydberg!C4</f>
        <v>s</v>
      </c>
      <c r="D4" s="302">
        <f>86400/200000</f>
        <v>0.432</v>
      </c>
      <c r="E4" s="38">
        <v>0</v>
      </c>
      <c r="F4" s="37">
        <f t="shared" ref="F4:F30" si="0">D4*POWER(10,E4)</f>
        <v>0.432</v>
      </c>
      <c r="G4" s="37">
        <f>$D4</f>
        <v>0.432</v>
      </c>
      <c r="H4" s="38">
        <v>0</v>
      </c>
      <c r="I4" s="303">
        <f t="shared" ref="I4:I30" si="1">F4/POWER(10,H4)</f>
        <v>0.432</v>
      </c>
      <c r="J4" s="304" t="s">
        <v>56</v>
      </c>
      <c r="K4" s="24"/>
      <c r="L4" s="268">
        <f t="shared" ref="L4:L30" si="2">F4/G4</f>
        <v>1</v>
      </c>
    </row>
    <row r="5" spans="1:12" ht="13.5" customHeight="1" x14ac:dyDescent="0.2">
      <c r="A5" s="616"/>
      <c r="B5" s="2" t="str">
        <f>Rydberg!B5</f>
        <v>Energy</v>
      </c>
      <c r="C5" s="2" t="str">
        <f>Rydberg!C5</f>
        <v>J</v>
      </c>
      <c r="D5" s="21">
        <f>D8*POWER(D3/D4,2)</f>
        <v>109610.31130911486</v>
      </c>
      <c r="E5" s="8">
        <v>-5</v>
      </c>
      <c r="F5" s="21">
        <f t="shared" si="0"/>
        <v>1.0961031130911487</v>
      </c>
      <c r="G5" s="21">
        <f>G8*POWER(G3/G4,2)</f>
        <v>1.0961031130911483</v>
      </c>
      <c r="H5" s="8">
        <v>0</v>
      </c>
      <c r="I5" s="58">
        <f t="shared" si="1"/>
        <v>1.0961031130911487</v>
      </c>
      <c r="J5" s="118" t="s">
        <v>58</v>
      </c>
      <c r="K5" s="24"/>
      <c r="L5" s="268">
        <f t="shared" si="2"/>
        <v>1.0000000000000004</v>
      </c>
    </row>
    <row r="6" spans="1:12" ht="13.5" customHeight="1" x14ac:dyDescent="0.2">
      <c r="A6" s="616"/>
      <c r="B6" s="2" t="str">
        <f>Rydberg!B6</f>
        <v>Temperature</v>
      </c>
      <c r="C6" s="2" t="str">
        <f>Rydberg!C6</f>
        <v>K</v>
      </c>
      <c r="D6" s="21">
        <f>D5/D8/D55</f>
        <v>4.2832483535160419E-3</v>
      </c>
      <c r="E6" s="8">
        <v>1</v>
      </c>
      <c r="F6" s="21">
        <f t="shared" si="0"/>
        <v>4.2832483535160421E-2</v>
      </c>
      <c r="G6" s="21">
        <f>G5/G8/D55*1000</f>
        <v>4.2832483535160414E-2</v>
      </c>
      <c r="H6" s="8">
        <v>-3</v>
      </c>
      <c r="I6" s="58">
        <f t="shared" si="1"/>
        <v>42.832483535160421</v>
      </c>
      <c r="J6" s="118" t="s">
        <v>737</v>
      </c>
      <c r="K6" s="24"/>
      <c r="L6" s="268">
        <f t="shared" si="2"/>
        <v>1.0000000000000002</v>
      </c>
    </row>
    <row r="7" spans="1:12" ht="13.5" customHeight="1" x14ac:dyDescent="0.2">
      <c r="A7" s="616"/>
      <c r="B7" s="2" t="str">
        <f>Rydberg!B7</f>
        <v>Amount of substance</v>
      </c>
      <c r="C7" s="2" t="str">
        <f>Rydberg!C7</f>
        <v>mol</v>
      </c>
      <c r="D7" s="21">
        <f>D8</f>
        <v>6116.2676035838131</v>
      </c>
      <c r="E7" s="8">
        <v>-3</v>
      </c>
      <c r="F7" s="21">
        <f t="shared" si="0"/>
        <v>6.1162676035838128</v>
      </c>
      <c r="G7" s="21">
        <f>$D7/1000</f>
        <v>6.1162676035838128</v>
      </c>
      <c r="H7" s="8">
        <v>0</v>
      </c>
      <c r="I7" s="58">
        <f t="shared" si="1"/>
        <v>6.1162676035838128</v>
      </c>
      <c r="J7" s="118" t="str">
        <f>Rydberg!L7</f>
        <v>mol</v>
      </c>
      <c r="K7" s="24"/>
      <c r="L7" s="268">
        <f t="shared" si="2"/>
        <v>1</v>
      </c>
    </row>
    <row r="8" spans="1:12" ht="13.5" customHeight="1" x14ac:dyDescent="0.2">
      <c r="A8" s="616"/>
      <c r="B8" s="2" t="str">
        <f>Rydberg!B8</f>
        <v>Mass</v>
      </c>
      <c r="C8" s="2" t="str">
        <f>Rydberg!C8</f>
        <v>g</v>
      </c>
      <c r="D8" s="21">
        <f>D53*POWER(D3,3)</f>
        <v>6116.2676035838131</v>
      </c>
      <c r="E8" s="8">
        <v>-3</v>
      </c>
      <c r="F8" s="21">
        <f t="shared" si="0"/>
        <v>6.1162676035838128</v>
      </c>
      <c r="G8" s="21">
        <f>$D8/1000</f>
        <v>6.1162676035838128</v>
      </c>
      <c r="H8" s="8">
        <v>0</v>
      </c>
      <c r="I8" s="58">
        <f t="shared" si="1"/>
        <v>6.1162676035838128</v>
      </c>
      <c r="J8" s="118" t="s">
        <v>61</v>
      </c>
      <c r="K8" s="24"/>
      <c r="L8" s="268">
        <f t="shared" si="2"/>
        <v>1</v>
      </c>
    </row>
    <row r="9" spans="1:12" ht="13.5" customHeight="1" x14ac:dyDescent="0.2">
      <c r="A9" s="616"/>
      <c r="B9" s="2" t="str">
        <f>Rydberg!B9</f>
        <v>Power</v>
      </c>
      <c r="C9" s="2" t="str">
        <f>Rydberg!C9</f>
        <v>W</v>
      </c>
      <c r="D9" s="21">
        <f>D$5/D$4</f>
        <v>253727.5724748029</v>
      </c>
      <c r="E9" s="8">
        <v>-5</v>
      </c>
      <c r="F9" s="21">
        <f t="shared" si="0"/>
        <v>2.5372757247480293</v>
      </c>
      <c r="G9" s="21">
        <f>G5/G4</f>
        <v>2.5372757247480284</v>
      </c>
      <c r="H9" s="8">
        <v>0</v>
      </c>
      <c r="I9" s="58">
        <f t="shared" si="1"/>
        <v>2.5372757247480293</v>
      </c>
      <c r="J9" s="118" t="s">
        <v>62</v>
      </c>
      <c r="K9" s="24"/>
      <c r="L9" s="268">
        <f t="shared" si="2"/>
        <v>1.0000000000000004</v>
      </c>
    </row>
    <row r="10" spans="1:12" ht="13.5" customHeight="1" x14ac:dyDescent="0.2">
      <c r="A10" s="616"/>
      <c r="B10" s="2" t="str">
        <f>Rydberg!B10</f>
        <v>Force</v>
      </c>
      <c r="C10" s="2" t="str">
        <f>Rydberg!C10</f>
        <v>N</v>
      </c>
      <c r="D10" s="21">
        <f>D$5/D$3</f>
        <v>59935.647041292017</v>
      </c>
      <c r="E10" s="8">
        <v>-4</v>
      </c>
      <c r="F10" s="21">
        <f t="shared" si="0"/>
        <v>5.9935647041292022</v>
      </c>
      <c r="G10" s="21">
        <f>G5/G3</f>
        <v>5.9935647041292004</v>
      </c>
      <c r="H10" s="8">
        <v>0</v>
      </c>
      <c r="I10" s="58">
        <f t="shared" si="1"/>
        <v>5.9935647041292022</v>
      </c>
      <c r="J10" s="118" t="s">
        <v>63</v>
      </c>
      <c r="K10" s="24"/>
      <c r="L10" s="268">
        <f t="shared" si="2"/>
        <v>1.0000000000000002</v>
      </c>
    </row>
    <row r="11" spans="1:12" ht="13.5" customHeight="1" x14ac:dyDescent="0.2">
      <c r="A11" s="616"/>
      <c r="B11" s="2" t="str">
        <f>Rydberg!B11</f>
        <v>Pressure</v>
      </c>
      <c r="C11" s="2" t="str">
        <f>Rydberg!C11</f>
        <v>P</v>
      </c>
      <c r="D11" s="21">
        <f>D$5/POWER(D$3,3)</f>
        <v>17920.609320000007</v>
      </c>
      <c r="E11" s="8">
        <v>-2</v>
      </c>
      <c r="F11" s="21">
        <f t="shared" si="0"/>
        <v>179.20609320000008</v>
      </c>
      <c r="G11" s="21">
        <f>G10/(G3*G3)</f>
        <v>179.20609320000003</v>
      </c>
      <c r="H11" s="8">
        <v>0</v>
      </c>
      <c r="I11" s="58">
        <f t="shared" si="1"/>
        <v>179.20609320000008</v>
      </c>
      <c r="J11" s="118" t="str">
        <f>Rydberg!L11</f>
        <v>Pa</v>
      </c>
      <c r="K11" s="24"/>
      <c r="L11" s="268">
        <f t="shared" si="2"/>
        <v>1.0000000000000002</v>
      </c>
    </row>
    <row r="12" spans="1:12" ht="13.5" customHeight="1" x14ac:dyDescent="0.2">
      <c r="A12" s="616"/>
      <c r="B12" s="2" t="str">
        <f>Rydberg!B12</f>
        <v>Charge</v>
      </c>
      <c r="C12" s="2" t="str">
        <f>Rydberg!C12</f>
        <v>C</v>
      </c>
      <c r="D12" s="21">
        <f>D41*D7*D33</f>
        <v>590130111.08682561</v>
      </c>
      <c r="E12" s="8">
        <v>-9</v>
      </c>
      <c r="F12" s="21">
        <f t="shared" si="0"/>
        <v>0.59013011108682567</v>
      </c>
      <c r="G12" s="21">
        <f>$D12/1000000000</f>
        <v>0.59013011108682556</v>
      </c>
      <c r="H12" s="8">
        <v>0</v>
      </c>
      <c r="I12" s="58">
        <f t="shared" si="1"/>
        <v>0.59013011108682567</v>
      </c>
      <c r="J12" s="118" t="s">
        <v>65</v>
      </c>
      <c r="K12" s="24"/>
      <c r="L12" s="268">
        <f t="shared" si="2"/>
        <v>1.0000000000000002</v>
      </c>
    </row>
    <row r="13" spans="1:12" ht="14.25" customHeight="1" x14ac:dyDescent="0.2">
      <c r="A13" s="616"/>
      <c r="B13" s="2" t="str">
        <f>Rydberg!B13</f>
        <v>Electric current</v>
      </c>
      <c r="C13" s="2" t="str">
        <f>Rydberg!C13</f>
        <v>A</v>
      </c>
      <c r="D13" s="21">
        <f>D$12/D$4</f>
        <v>1366041923.8120964</v>
      </c>
      <c r="E13" s="8">
        <v>-9</v>
      </c>
      <c r="F13" s="21">
        <f t="shared" si="0"/>
        <v>1.3660419238120964</v>
      </c>
      <c r="G13" s="21">
        <f>G12/G4</f>
        <v>1.3660419238120962</v>
      </c>
      <c r="H13" s="8">
        <v>0</v>
      </c>
      <c r="I13" s="58">
        <f t="shared" si="1"/>
        <v>1.3660419238120964</v>
      </c>
      <c r="J13" s="118" t="s">
        <v>66</v>
      </c>
      <c r="K13" s="24"/>
      <c r="L13" s="268">
        <f t="shared" si="2"/>
        <v>1.0000000000000002</v>
      </c>
    </row>
    <row r="14" spans="1:12" ht="14.25" customHeight="1" x14ac:dyDescent="0.2">
      <c r="A14" s="616"/>
      <c r="B14" s="2" t="str">
        <f>Rydberg!B14</f>
        <v>Field Strength</v>
      </c>
      <c r="C14" s="2" t="str">
        <f>Rydberg!C14</f>
        <v>O</v>
      </c>
      <c r="D14" s="21">
        <f>D13/D3</f>
        <v>746960806.98386717</v>
      </c>
      <c r="E14" s="8">
        <v>-8</v>
      </c>
      <c r="F14" s="21">
        <f t="shared" si="0"/>
        <v>7.4696080698386718</v>
      </c>
      <c r="G14" s="21">
        <f>G13/G3</f>
        <v>7.4696080698386709</v>
      </c>
      <c r="H14" s="8">
        <v>0</v>
      </c>
      <c r="I14" s="58">
        <f t="shared" si="1"/>
        <v>7.4696080698386718</v>
      </c>
      <c r="J14" s="118" t="s">
        <v>652</v>
      </c>
      <c r="K14" s="24"/>
      <c r="L14" s="268">
        <f t="shared" si="2"/>
        <v>1.0000000000000002</v>
      </c>
    </row>
    <row r="15" spans="1:12" ht="14.25" customHeight="1" x14ac:dyDescent="0.2">
      <c r="A15" s="616"/>
      <c r="B15" s="2" t="str">
        <f>Rydberg!B15</f>
        <v>Flux density</v>
      </c>
      <c r="C15" s="2" t="str">
        <f>Rydberg!C15</f>
        <v>G</v>
      </c>
      <c r="D15" s="21">
        <f>D12/D3/D3</f>
        <v>176447434.72059849</v>
      </c>
      <c r="E15" s="8">
        <v>-7</v>
      </c>
      <c r="F15" s="21">
        <f t="shared" si="0"/>
        <v>17.644743472059847</v>
      </c>
      <c r="G15" s="21">
        <f>G12/(G3*G3)</f>
        <v>17.644743472059851</v>
      </c>
      <c r="H15" s="8">
        <v>0</v>
      </c>
      <c r="I15" s="58">
        <f t="shared" si="1"/>
        <v>17.644743472059847</v>
      </c>
      <c r="J15" s="118" t="s">
        <v>722</v>
      </c>
      <c r="K15" s="24"/>
      <c r="L15" s="268">
        <f t="shared" si="2"/>
        <v>0.99999999999999978</v>
      </c>
    </row>
    <row r="16" spans="1:12" ht="14.25" customHeight="1" x14ac:dyDescent="0.2">
      <c r="A16" s="616"/>
      <c r="B16" s="2" t="str">
        <f>Rydberg!B16</f>
        <v>Impedance</v>
      </c>
      <c r="C16" s="2" t="s">
        <v>108</v>
      </c>
      <c r="D16" s="21">
        <f>D5*D3/(D12*D12)</f>
        <v>5.7560170877448371E-13</v>
      </c>
      <c r="E16" s="8">
        <v>12</v>
      </c>
      <c r="F16" s="21">
        <f t="shared" si="0"/>
        <v>0.57560170877448369</v>
      </c>
      <c r="G16" s="21">
        <f>F16</f>
        <v>0.57560170877448369</v>
      </c>
      <c r="H16" s="8">
        <v>0</v>
      </c>
      <c r="I16" s="58">
        <f t="shared" si="1"/>
        <v>0.57560170877448369</v>
      </c>
      <c r="J16" s="118" t="str">
        <f>Rydberg!L16</f>
        <v>Ω</v>
      </c>
      <c r="K16" s="24"/>
      <c r="L16" s="268">
        <f t="shared" si="2"/>
        <v>1</v>
      </c>
    </row>
    <row r="17" spans="1:12" ht="14.25" customHeight="1" x14ac:dyDescent="0.2">
      <c r="A17" s="616"/>
      <c r="B17" s="2" t="str">
        <f>Rydberg!B17</f>
        <v>Electric potential difference</v>
      </c>
      <c r="C17" s="2" t="str">
        <f>Rydberg!C17</f>
        <v>ΩA</v>
      </c>
      <c r="D17" s="21">
        <f>D13*D$16</f>
        <v>7.8629606560382578E-4</v>
      </c>
      <c r="E17" s="8">
        <v>3</v>
      </c>
      <c r="F17" s="21">
        <f t="shared" si="0"/>
        <v>0.78629606560382581</v>
      </c>
      <c r="G17" s="21">
        <f>G13*G16</f>
        <v>0.78629606560382559</v>
      </c>
      <c r="H17" s="8">
        <v>0</v>
      </c>
      <c r="I17" s="58">
        <f t="shared" si="1"/>
        <v>0.78629606560382581</v>
      </c>
      <c r="J17" s="118" t="str">
        <f>Rydberg!L17</f>
        <v>V</v>
      </c>
      <c r="K17" s="24"/>
      <c r="L17" s="268">
        <f t="shared" si="2"/>
        <v>1.0000000000000002</v>
      </c>
    </row>
    <row r="18" spans="1:12" ht="14.25" customHeight="1" x14ac:dyDescent="0.2">
      <c r="A18" s="616"/>
      <c r="B18" s="2" t="str">
        <f>Rydberg!B18</f>
        <v>Electric capacitance</v>
      </c>
      <c r="C18" s="2" t="str">
        <f>Rydberg!C18</f>
        <v>s/Ω</v>
      </c>
      <c r="D18" s="21">
        <f>D4/D16</f>
        <v>750518967220.88135</v>
      </c>
      <c r="E18" s="8">
        <v>-12</v>
      </c>
      <c r="F18" s="21">
        <f t="shared" si="0"/>
        <v>0.75051896722088129</v>
      </c>
      <c r="G18" s="21">
        <f>G4/G16</f>
        <v>0.75051896722088129</v>
      </c>
      <c r="H18" s="8">
        <v>-3</v>
      </c>
      <c r="I18" s="58">
        <f t="shared" si="1"/>
        <v>750.51896722088122</v>
      </c>
      <c r="J18" s="118" t="str">
        <f>Rydberg!L18</f>
        <v>mF</v>
      </c>
      <c r="K18" s="76"/>
      <c r="L18" s="268">
        <f t="shared" si="2"/>
        <v>1</v>
      </c>
    </row>
    <row r="19" spans="1:12" ht="14.25" customHeight="1" x14ac:dyDescent="0.2">
      <c r="A19" s="616"/>
      <c r="B19" s="2" t="str">
        <f>Rydberg!B19</f>
        <v>Magnetic flux</v>
      </c>
      <c r="C19" s="2" t="str">
        <f>Rydberg!C19</f>
        <v>ΩC</v>
      </c>
      <c r="D19" s="21">
        <f>D12*D16</f>
        <v>3.3967990034085272E-4</v>
      </c>
      <c r="E19" s="8">
        <v>3</v>
      </c>
      <c r="F19" s="21">
        <f t="shared" si="0"/>
        <v>0.33967990034085271</v>
      </c>
      <c r="G19" s="21">
        <f>G12*G16</f>
        <v>0.33967990034085266</v>
      </c>
      <c r="H19" s="8">
        <v>0</v>
      </c>
      <c r="I19" s="58">
        <f t="shared" si="1"/>
        <v>0.33967990034085271</v>
      </c>
      <c r="J19" s="118" t="str">
        <f>Rydberg!L19</f>
        <v>Wb</v>
      </c>
      <c r="K19" s="76"/>
      <c r="L19" s="268">
        <f t="shared" si="2"/>
        <v>1.0000000000000002</v>
      </c>
    </row>
    <row r="20" spans="1:12" ht="14.25" customHeight="1" x14ac:dyDescent="0.2">
      <c r="A20" s="616"/>
      <c r="B20" s="2" t="str">
        <f>Rydberg!B20</f>
        <v>Magnetic flux density</v>
      </c>
      <c r="C20" s="2" t="str">
        <f>Rydberg!C20</f>
        <v>ΩG</v>
      </c>
      <c r="D20" s="21">
        <f>D19/D3/D3</f>
        <v>1.0156344493405067E-4</v>
      </c>
      <c r="E20" s="8">
        <v>5</v>
      </c>
      <c r="F20" s="21">
        <f t="shared" si="0"/>
        <v>10.156344493405067</v>
      </c>
      <c r="G20" s="21">
        <f>G15*G16</f>
        <v>10.156344493405067</v>
      </c>
      <c r="H20" s="8">
        <v>0</v>
      </c>
      <c r="I20" s="58">
        <f t="shared" si="1"/>
        <v>10.156344493405067</v>
      </c>
      <c r="J20" s="118" t="str">
        <f>Rydberg!L20</f>
        <v>T</v>
      </c>
      <c r="K20" s="76"/>
      <c r="L20" s="268">
        <f t="shared" si="2"/>
        <v>1</v>
      </c>
    </row>
    <row r="21" spans="1:12" ht="14.25" customHeight="1" x14ac:dyDescent="0.2">
      <c r="A21" s="616"/>
      <c r="B21" s="2" t="str">
        <f>Rydberg!B21</f>
        <v>Inductance</v>
      </c>
      <c r="C21" s="2" t="str">
        <f>Rydberg!C21</f>
        <v>sΩ</v>
      </c>
      <c r="D21" s="21">
        <f>D4*D$16</f>
        <v>2.4865993819057695E-13</v>
      </c>
      <c r="E21" s="8">
        <v>12</v>
      </c>
      <c r="F21" s="21">
        <f t="shared" si="0"/>
        <v>0.24865993819057694</v>
      </c>
      <c r="G21" s="21">
        <f>G4*G16</f>
        <v>0.24865993819057694</v>
      </c>
      <c r="H21" s="8">
        <v>0</v>
      </c>
      <c r="I21" s="58">
        <f t="shared" si="1"/>
        <v>0.24865993819057694</v>
      </c>
      <c r="J21" s="118" t="str">
        <f>Rydberg!L21</f>
        <v>H</v>
      </c>
      <c r="K21" s="76"/>
      <c r="L21" s="268">
        <f t="shared" si="2"/>
        <v>1</v>
      </c>
    </row>
    <row r="22" spans="1:12" ht="14.25" customHeight="1" x14ac:dyDescent="0.2">
      <c r="A22" s="616"/>
      <c r="B22" s="2" t="str">
        <f>Rydberg!B22</f>
        <v>Frequency</v>
      </c>
      <c r="C22" s="2" t="str">
        <f>Rydberg!C22</f>
        <v>Ω_1/s</v>
      </c>
      <c r="D22" s="21">
        <f>1/D4</f>
        <v>2.3148148148148149</v>
      </c>
      <c r="E22" s="8">
        <f>-E4</f>
        <v>0</v>
      </c>
      <c r="F22" s="21">
        <f t="shared" si="0"/>
        <v>2.3148148148148149</v>
      </c>
      <c r="G22" s="21">
        <f>1/G4</f>
        <v>2.3148148148148149</v>
      </c>
      <c r="H22" s="8">
        <v>0</v>
      </c>
      <c r="I22" s="58">
        <f t="shared" si="1"/>
        <v>2.3148148148148149</v>
      </c>
      <c r="J22" s="118" t="s">
        <v>674</v>
      </c>
      <c r="K22" s="257"/>
      <c r="L22" s="268">
        <f t="shared" si="2"/>
        <v>1</v>
      </c>
    </row>
    <row r="23" spans="1:12" ht="14.25" customHeight="1" x14ac:dyDescent="0.2">
      <c r="A23" s="616"/>
      <c r="B23" s="2" t="str">
        <f>Rydberg!B23</f>
        <v>Luminous flux</v>
      </c>
      <c r="C23" s="2" t="str">
        <f>Rydberg!C23</f>
        <v>W_e</v>
      </c>
      <c r="D23" s="21">
        <f>D9</f>
        <v>253727.5724748029</v>
      </c>
      <c r="E23" s="8">
        <f>E9</f>
        <v>-5</v>
      </c>
      <c r="F23" s="21">
        <f t="shared" si="0"/>
        <v>2.5372757247480293</v>
      </c>
      <c r="G23" s="21">
        <f>G9</f>
        <v>2.5372757247480284</v>
      </c>
      <c r="H23" s="8">
        <v>0</v>
      </c>
      <c r="I23" s="58">
        <f t="shared" si="1"/>
        <v>2.5372757247480293</v>
      </c>
      <c r="J23" s="118" t="s">
        <v>659</v>
      </c>
      <c r="K23" s="258"/>
      <c r="L23" s="268">
        <f t="shared" si="2"/>
        <v>1.0000000000000004</v>
      </c>
    </row>
    <row r="24" spans="1:12" ht="14.25" customHeight="1" x14ac:dyDescent="0.2">
      <c r="A24" s="616"/>
      <c r="B24" s="2" t="str">
        <f>Rydberg!B24</f>
        <v>Luminous intensity</v>
      </c>
      <c r="C24" s="2" t="str">
        <f>Rydberg!C24</f>
        <v>W_e/sr</v>
      </c>
      <c r="D24" s="21">
        <f>D23</f>
        <v>253727.5724748029</v>
      </c>
      <c r="E24" s="8">
        <f>E9</f>
        <v>-5</v>
      </c>
      <c r="F24" s="21">
        <f t="shared" si="0"/>
        <v>2.5372757247480293</v>
      </c>
      <c r="G24" s="21">
        <f>G23</f>
        <v>2.5372757247480284</v>
      </c>
      <c r="H24" s="8">
        <v>0</v>
      </c>
      <c r="I24" s="58">
        <f t="shared" si="1"/>
        <v>2.5372757247480293</v>
      </c>
      <c r="J24" s="118" t="s">
        <v>662</v>
      </c>
      <c r="K24" s="24"/>
      <c r="L24" s="268">
        <f t="shared" si="2"/>
        <v>1.0000000000000004</v>
      </c>
    </row>
    <row r="25" spans="1:12" ht="14.25" customHeight="1" x14ac:dyDescent="0.2">
      <c r="A25" s="616"/>
      <c r="B25" s="2"/>
      <c r="C25" s="2" t="str">
        <f>Rydberg!C25</f>
        <v>W_e/Ω_2</v>
      </c>
      <c r="D25" s="21">
        <f>D23/(4*PI())</f>
        <v>20190.998679036002</v>
      </c>
      <c r="E25" s="8">
        <f>E9</f>
        <v>-5</v>
      </c>
      <c r="F25" s="21">
        <f t="shared" si="0"/>
        <v>0.20190998679036004</v>
      </c>
      <c r="G25" s="21">
        <f>G24/(4*PI())</f>
        <v>0.20190998679035999</v>
      </c>
      <c r="H25" s="8">
        <v>0</v>
      </c>
      <c r="I25" s="58">
        <f t="shared" si="1"/>
        <v>0.20190998679036004</v>
      </c>
      <c r="J25" s="118" t="s">
        <v>662</v>
      </c>
      <c r="K25" s="24"/>
      <c r="L25" s="268">
        <f t="shared" si="2"/>
        <v>1.0000000000000002</v>
      </c>
    </row>
    <row r="26" spans="1:12" ht="14.25" customHeight="1" x14ac:dyDescent="0.2">
      <c r="A26" s="616"/>
      <c r="B26" s="2" t="str">
        <f>Rydberg!B26</f>
        <v>Illuminance and luminous emittance</v>
      </c>
      <c r="C26" s="2" t="str">
        <f>Rydberg!C26</f>
        <v>W_e/m^2</v>
      </c>
      <c r="D26" s="21">
        <f>D23/D3/D3</f>
        <v>75863.912788000031</v>
      </c>
      <c r="E26" s="8">
        <f>E9-2*E3</f>
        <v>-3</v>
      </c>
      <c r="F26" s="21">
        <f t="shared" si="0"/>
        <v>75.863912788000036</v>
      </c>
      <c r="G26" s="21">
        <f>G23/(G3*G3)</f>
        <v>75.863912788000022</v>
      </c>
      <c r="H26" s="8">
        <v>0</v>
      </c>
      <c r="I26" s="58">
        <f t="shared" si="1"/>
        <v>75.863912788000036</v>
      </c>
      <c r="J26" s="118" t="s">
        <v>675</v>
      </c>
      <c r="K26" s="24"/>
      <c r="L26" s="268">
        <f t="shared" si="2"/>
        <v>1.0000000000000002</v>
      </c>
    </row>
    <row r="27" spans="1:12" ht="14.25" customHeight="1" x14ac:dyDescent="0.2">
      <c r="A27" s="616"/>
      <c r="B27" s="2" t="str">
        <f>Rydberg!B27</f>
        <v>Catalytic activity</v>
      </c>
      <c r="C27" s="2" t="str">
        <f>Rydberg!C27</f>
        <v>mol/s</v>
      </c>
      <c r="D27" s="21">
        <f>D7/D4</f>
        <v>14158.026860147716</v>
      </c>
      <c r="E27" s="8">
        <f>E7-E4</f>
        <v>-3</v>
      </c>
      <c r="F27" s="21">
        <f t="shared" si="0"/>
        <v>14.158026860147716</v>
      </c>
      <c r="G27" s="21">
        <f>G7/G4</f>
        <v>14.158026860147714</v>
      </c>
      <c r="H27" s="8">
        <v>0</v>
      </c>
      <c r="I27" s="58">
        <f t="shared" si="1"/>
        <v>14.158026860147716</v>
      </c>
      <c r="J27" s="118" t="s">
        <v>666</v>
      </c>
      <c r="K27" s="24"/>
      <c r="L27" s="268">
        <f t="shared" si="2"/>
        <v>1.0000000000000002</v>
      </c>
    </row>
    <row r="28" spans="1:12" ht="14.25" customHeight="1" x14ac:dyDescent="0.2">
      <c r="A28" s="616"/>
      <c r="B28" s="2" t="str">
        <f>Rydberg!B28</f>
        <v>Radio activity</v>
      </c>
      <c r="C28" s="2" t="str">
        <f>Rydberg!C28</f>
        <v>mol_n/s</v>
      </c>
      <c r="D28" s="21">
        <f>1/D4</f>
        <v>2.3148148148148149</v>
      </c>
      <c r="E28" s="8">
        <f>-E4</f>
        <v>0</v>
      </c>
      <c r="F28" s="21">
        <f t="shared" si="0"/>
        <v>2.3148148148148149</v>
      </c>
      <c r="G28" s="21">
        <f>1/G4</f>
        <v>2.3148148148148149</v>
      </c>
      <c r="H28" s="8">
        <v>0</v>
      </c>
      <c r="I28" s="58">
        <f t="shared" si="1"/>
        <v>2.3148148148148149</v>
      </c>
      <c r="J28" s="118" t="s">
        <v>668</v>
      </c>
      <c r="K28" s="24"/>
      <c r="L28" s="268">
        <f t="shared" si="2"/>
        <v>1</v>
      </c>
    </row>
    <row r="29" spans="1:12" ht="14.25" customHeight="1" x14ac:dyDescent="0.2">
      <c r="A29" s="616"/>
      <c r="B29" s="2" t="str">
        <f>Rydberg!B29</f>
        <v>Absorbed radiation dose</v>
      </c>
      <c r="C29" s="2" t="str">
        <f>Rydberg!C29</f>
        <v>J/g</v>
      </c>
      <c r="D29" s="21">
        <f>D5/D8</f>
        <v>17.92111111111112</v>
      </c>
      <c r="E29" s="8">
        <v>-2</v>
      </c>
      <c r="F29" s="21">
        <f t="shared" si="0"/>
        <v>0.17921111111111121</v>
      </c>
      <c r="G29" s="21">
        <f>G5/G8</f>
        <v>0.17921111111111115</v>
      </c>
      <c r="H29" s="8">
        <v>-3</v>
      </c>
      <c r="I29" s="58">
        <f t="shared" si="1"/>
        <v>179.21111111111119</v>
      </c>
      <c r="J29" s="118" t="s">
        <v>670</v>
      </c>
      <c r="K29" s="24"/>
      <c r="L29" s="268">
        <f t="shared" si="2"/>
        <v>1.0000000000000002</v>
      </c>
    </row>
    <row r="30" spans="1:12" ht="14.25" customHeight="1" thickBot="1" x14ac:dyDescent="0.25">
      <c r="A30" s="660"/>
      <c r="B30" s="6" t="str">
        <f>Rydberg!B30</f>
        <v>Equivalent dose</v>
      </c>
      <c r="C30" s="6" t="str">
        <f>Rydberg!C30</f>
        <v>J_e/g</v>
      </c>
      <c r="D30" s="29">
        <f>D5/D8/K30</f>
        <v>17.92111111111112</v>
      </c>
      <c r="E30" s="30">
        <v>-2</v>
      </c>
      <c r="F30" s="29">
        <f t="shared" si="0"/>
        <v>0.17921111111111121</v>
      </c>
      <c r="G30" s="29">
        <f>G29</f>
        <v>0.17921111111111115</v>
      </c>
      <c r="H30" s="30">
        <v>-3</v>
      </c>
      <c r="I30" s="59">
        <f t="shared" si="1"/>
        <v>179.21111111111119</v>
      </c>
      <c r="J30" s="119" t="s">
        <v>671</v>
      </c>
      <c r="K30" s="261">
        <v>1</v>
      </c>
      <c r="L30" s="268">
        <f t="shared" si="2"/>
        <v>1.0000000000000002</v>
      </c>
    </row>
    <row r="31" spans="1:12" ht="11.25" customHeight="1" x14ac:dyDescent="0.2">
      <c r="A31" s="615" t="s">
        <v>27</v>
      </c>
      <c r="B31" s="17" t="s">
        <v>42</v>
      </c>
      <c r="C31" s="18" t="str">
        <f>Rydberg!C31</f>
        <v>Unit Symbol</v>
      </c>
      <c r="D31" s="17" t="s">
        <v>43</v>
      </c>
      <c r="E31" s="18" t="s">
        <v>54</v>
      </c>
      <c r="F31" s="17" t="s">
        <v>47</v>
      </c>
      <c r="G31" s="17" t="s">
        <v>92</v>
      </c>
      <c r="H31" s="575"/>
      <c r="I31" s="576"/>
      <c r="J31" s="20" t="str">
        <f>Rydberg!L31</f>
        <v>Power</v>
      </c>
    </row>
    <row r="32" spans="1:12" ht="14.25" customHeight="1" x14ac:dyDescent="0.2">
      <c r="A32" s="616"/>
      <c r="B32" s="2" t="str">
        <f>Rydberg!B32</f>
        <v>Fine Structure Constant</v>
      </c>
      <c r="C32" s="2" t="str">
        <f>Rydberg!C32</f>
        <v>-</v>
      </c>
      <c r="D32" s="21">
        <f>Rydberg!D32</f>
        <v>7.2973525643E-3</v>
      </c>
      <c r="E32" s="8">
        <v>9</v>
      </c>
      <c r="F32" s="21">
        <f>D32</f>
        <v>7.2973525643E-3</v>
      </c>
      <c r="G32" s="37"/>
      <c r="H32" s="269">
        <f>FLOOR(LOG10(F32)/3,1)*3</f>
        <v>-3</v>
      </c>
      <c r="I32" s="61">
        <f>F32/POWER(10,H32)</f>
        <v>7.2973525642999997</v>
      </c>
      <c r="J32" s="39"/>
    </row>
    <row r="33" spans="1:10" ht="15" customHeight="1" x14ac:dyDescent="0.2">
      <c r="A33" s="616"/>
      <c r="B33" s="3" t="str">
        <f>Rydberg!B33</f>
        <v>Avogadro constant</v>
      </c>
      <c r="C33" s="3" t="str">
        <f>Rydberg!C33</f>
        <v>1/mol</v>
      </c>
      <c r="D33" s="21">
        <f>Rydberg!D33</f>
        <v>6.0221407599999999E+23</v>
      </c>
      <c r="E33" s="8">
        <v>7</v>
      </c>
      <c r="F33" s="21">
        <f>D33/(1/F$7)</f>
        <v>3.6833024434609597E+24</v>
      </c>
      <c r="G33" s="37"/>
      <c r="H33" s="269">
        <f t="shared" ref="H33:H68" si="3">FLOOR(LOG10(F33)/3,1)*3</f>
        <v>24</v>
      </c>
      <c r="I33" s="61">
        <f t="shared" ref="I33:I68" si="4">F33/POWER(10,H33)</f>
        <v>3.6833024434609598</v>
      </c>
      <c r="J33" s="39"/>
    </row>
    <row r="34" spans="1:10" ht="15" customHeight="1" x14ac:dyDescent="0.2">
      <c r="A34" s="616"/>
      <c r="B34" s="3" t="str">
        <f>Rydberg!B34</f>
        <v>Rydberg constant</v>
      </c>
      <c r="C34" s="3" t="str">
        <f>Rydberg!C34</f>
        <v>Ω_1/m</v>
      </c>
      <c r="D34" s="21">
        <f>Rydberg!D34</f>
        <v>10973731.568157</v>
      </c>
      <c r="E34" s="8">
        <v>12</v>
      </c>
      <c r="F34" s="21">
        <f>D34/(1/F$3)</f>
        <v>2006876.0291845528</v>
      </c>
      <c r="G34" s="37"/>
      <c r="H34" s="269">
        <f t="shared" si="3"/>
        <v>6</v>
      </c>
      <c r="I34" s="61">
        <f t="shared" si="4"/>
        <v>2.0068760291845527</v>
      </c>
      <c r="J34" s="39"/>
    </row>
    <row r="35" spans="1:10" ht="15" customHeight="1" x14ac:dyDescent="0.2">
      <c r="A35" s="616"/>
      <c r="B35" s="3" t="str">
        <f>Rydberg!B35</f>
        <v>Speed of light in vacuum</v>
      </c>
      <c r="C35" s="3" t="str">
        <f>Rydberg!C35</f>
        <v>m/s</v>
      </c>
      <c r="D35" s="21">
        <f>Rydberg!D35</f>
        <v>299792458</v>
      </c>
      <c r="E35" s="8">
        <v>12</v>
      </c>
      <c r="F35" s="21">
        <f>D35/(F$3/F$4)</f>
        <v>708171160.62992108</v>
      </c>
      <c r="G35" s="37"/>
      <c r="H35" s="269">
        <f t="shared" si="3"/>
        <v>6</v>
      </c>
      <c r="I35" s="61">
        <f t="shared" si="4"/>
        <v>708.17116062992113</v>
      </c>
      <c r="J35" s="39"/>
    </row>
    <row r="36" spans="1:10" ht="15" customHeight="1" x14ac:dyDescent="0.2">
      <c r="A36" s="616"/>
      <c r="B36" s="3" t="str">
        <f>Rydberg!B36</f>
        <v>Quantum of action</v>
      </c>
      <c r="C36" s="3" t="str">
        <f>Rydberg!C36</f>
        <v>Js</v>
      </c>
      <c r="D36" s="21">
        <f>Rydberg!D36</f>
        <v>1.0545718176461565E-34</v>
      </c>
      <c r="E36" s="8">
        <v>7</v>
      </c>
      <c r="F36" s="21">
        <f>D36/(F$5*F$4)</f>
        <v>2.2271065902633857E-34</v>
      </c>
      <c r="G36" s="37"/>
      <c r="H36" s="269">
        <f t="shared" si="3"/>
        <v>-36</v>
      </c>
      <c r="I36" s="61">
        <f t="shared" si="4"/>
        <v>222.71065902633859</v>
      </c>
      <c r="J36" s="39"/>
    </row>
    <row r="37" spans="1:10" ht="15" customHeight="1" x14ac:dyDescent="0.2">
      <c r="A37" s="616"/>
      <c r="B37" s="3" t="str">
        <f>Rydberg!B37</f>
        <v>Boltzmann constant</v>
      </c>
      <c r="C37" s="3" t="str">
        <f>Rydberg!C37</f>
        <v>J/K</v>
      </c>
      <c r="D37" s="21">
        <f>Rydberg!D37</f>
        <v>1.3806490000000001E-23</v>
      </c>
      <c r="E37" s="8">
        <v>6</v>
      </c>
      <c r="F37" s="21">
        <f>D37/(F$5/F$6)</f>
        <v>5.3951699300956251E-25</v>
      </c>
      <c r="G37" s="37"/>
      <c r="H37" s="269">
        <f t="shared" si="3"/>
        <v>-27</v>
      </c>
      <c r="I37" s="61">
        <f t="shared" si="4"/>
        <v>539.5169930095625</v>
      </c>
      <c r="J37" s="39"/>
    </row>
    <row r="38" spans="1:10" ht="15" customHeight="1" x14ac:dyDescent="0.2">
      <c r="A38" s="616"/>
      <c r="B38" s="3" t="str">
        <f>Rydberg!B38</f>
        <v>Gas constant</v>
      </c>
      <c r="C38" s="3" t="str">
        <f>Rydberg!C38</f>
        <v>J/(mol K)</v>
      </c>
      <c r="D38" s="21">
        <f>Rydberg!D38</f>
        <v>8.3144626181532395</v>
      </c>
      <c r="E38" s="8">
        <v>6</v>
      </c>
      <c r="F38" s="21">
        <f>D38/(F$5/F$6/F$7)</f>
        <v>1.9872042586408312</v>
      </c>
      <c r="G38" s="37"/>
      <c r="H38" s="269">
        <f t="shared" si="3"/>
        <v>0</v>
      </c>
      <c r="I38" s="61">
        <f t="shared" si="4"/>
        <v>1.9872042586408312</v>
      </c>
      <c r="J38" s="39"/>
    </row>
    <row r="39" spans="1:10" ht="15" customHeight="1" x14ac:dyDescent="0.2">
      <c r="A39" s="616"/>
      <c r="B39" s="3" t="str">
        <f>Rydberg!B39</f>
        <v>Unified atomic mass unit</v>
      </c>
      <c r="C39" s="3" t="str">
        <f>Rydberg!C39</f>
        <v>kg</v>
      </c>
      <c r="D39" s="21">
        <f>Rydberg!D39</f>
        <v>1.6605390689199999E-27</v>
      </c>
      <c r="E39" s="8">
        <v>7</v>
      </c>
      <c r="F39" s="21">
        <f>D39/F$8</f>
        <v>2.7149548982242222E-28</v>
      </c>
      <c r="G39" s="37"/>
      <c r="H39" s="269">
        <f t="shared" si="3"/>
        <v>-30</v>
      </c>
      <c r="I39" s="61">
        <f t="shared" si="4"/>
        <v>271.49548982242226</v>
      </c>
      <c r="J39" s="39"/>
    </row>
    <row r="40" spans="1:10" ht="15" customHeight="1" x14ac:dyDescent="0.2">
      <c r="A40" s="616"/>
      <c r="B40" s="3" t="str">
        <f>Rydberg!B40</f>
        <v>Bohr Radius</v>
      </c>
      <c r="C40" s="3" t="str">
        <f>Rydberg!C40</f>
        <v>m</v>
      </c>
      <c r="D40" s="21">
        <f>Rydberg!D40</f>
        <v>5.2917721054102549E-11</v>
      </c>
      <c r="E40" s="8">
        <v>9</v>
      </c>
      <c r="F40" s="21">
        <f>D40/F$3</f>
        <v>2.8935761731245919E-10</v>
      </c>
      <c r="G40" s="37"/>
      <c r="H40" s="269">
        <f t="shared" si="3"/>
        <v>-12</v>
      </c>
      <c r="I40" s="61">
        <f t="shared" si="4"/>
        <v>289.35761731245918</v>
      </c>
      <c r="J40" s="39"/>
    </row>
    <row r="41" spans="1:10" ht="15" customHeight="1" x14ac:dyDescent="0.2">
      <c r="A41" s="616"/>
      <c r="B41" s="3" t="str">
        <f>Rydberg!B41</f>
        <v>Elementary electric charge</v>
      </c>
      <c r="C41" s="3" t="str">
        <f>Rydberg!C41</f>
        <v>C</v>
      </c>
      <c r="D41" s="21">
        <f>Rydberg!D41</f>
        <v>1.6021766339999999E-19</v>
      </c>
      <c r="E41" s="8">
        <v>9</v>
      </c>
      <c r="F41" s="21">
        <f>D41/F$12</f>
        <v>2.7149548953692893E-19</v>
      </c>
      <c r="G41" s="37"/>
      <c r="H41" s="269">
        <f t="shared" si="3"/>
        <v>-21</v>
      </c>
      <c r="I41" s="61">
        <f t="shared" si="4"/>
        <v>271.49548953692897</v>
      </c>
      <c r="J41" s="39"/>
    </row>
    <row r="42" spans="1:10" ht="15" customHeight="1" x14ac:dyDescent="0.2">
      <c r="A42" s="616"/>
      <c r="B42" s="3" t="str">
        <f>Rydberg!B42</f>
        <v>Electron mass</v>
      </c>
      <c r="C42" s="3" t="str">
        <f>Rydberg!C42</f>
        <v>kg</v>
      </c>
      <c r="D42" s="21">
        <f>Rydberg!D42</f>
        <v>9.1093837139983745E-31</v>
      </c>
      <c r="E42" s="8">
        <v>7</v>
      </c>
      <c r="F42" s="21">
        <f>D42/F$8</f>
        <v>1.4893697111389882E-31</v>
      </c>
      <c r="G42" s="37"/>
      <c r="H42" s="269">
        <f t="shared" si="3"/>
        <v>-33</v>
      </c>
      <c r="I42" s="61">
        <f t="shared" si="4"/>
        <v>148.93697111389881</v>
      </c>
      <c r="J42" s="39"/>
    </row>
    <row r="43" spans="1:10" ht="15" customHeight="1" x14ac:dyDescent="0.2">
      <c r="A43" s="616"/>
      <c r="B43" s="3" t="str">
        <f>Rydberg!B44</f>
        <v>Newtonian constant of gravitation</v>
      </c>
      <c r="C43" s="3" t="str">
        <f>Rydberg!C44</f>
        <v>(m/s)^4/N</v>
      </c>
      <c r="D43" s="21">
        <f>Rydberg!D44</f>
        <v>6.6742999999999994E-11</v>
      </c>
      <c r="E43" s="8">
        <v>4</v>
      </c>
      <c r="F43" s="21">
        <f>D43/(POWER(F$3/F$4,4)/F$10)</f>
        <v>1.2455496868322299E-8</v>
      </c>
      <c r="G43" s="37"/>
      <c r="H43" s="269">
        <f t="shared" si="3"/>
        <v>-9</v>
      </c>
      <c r="I43" s="61">
        <f t="shared" si="4"/>
        <v>12.455496868322298</v>
      </c>
      <c r="J43" s="39"/>
    </row>
    <row r="44" spans="1:10" ht="15" customHeight="1" x14ac:dyDescent="0.2">
      <c r="A44" s="616"/>
      <c r="B44" s="3" t="str">
        <f>Rydberg!B45</f>
        <v>Planck force</v>
      </c>
      <c r="C44" s="3" t="str">
        <f>Rydberg!C45</f>
        <v>N</v>
      </c>
      <c r="D44" s="21">
        <f>Rydberg!D45</f>
        <v>1.2102555643382063E+44</v>
      </c>
      <c r="E44" s="8">
        <v>4</v>
      </c>
      <c r="F44" s="21">
        <f>D44/F$10</f>
        <v>2.0192583613962049E+43</v>
      </c>
      <c r="G44" s="37"/>
      <c r="H44" s="269">
        <f t="shared" si="3"/>
        <v>42</v>
      </c>
      <c r="I44" s="61">
        <f t="shared" si="4"/>
        <v>20.19258361396205</v>
      </c>
      <c r="J44" s="39"/>
    </row>
    <row r="45" spans="1:10" ht="15" customHeight="1" x14ac:dyDescent="0.2">
      <c r="A45" s="616"/>
      <c r="B45" s="3" t="str">
        <f>Rydberg!B46</f>
        <v>Gravitic meter</v>
      </c>
      <c r="C45" s="3" t="str">
        <f>Rydberg!C46</f>
        <v>m</v>
      </c>
      <c r="D45" s="21">
        <f>Rydberg!D46</f>
        <v>9.5618936743262592E-35</v>
      </c>
      <c r="E45" s="8">
        <v>4</v>
      </c>
      <c r="F45" s="21">
        <f>D45/F$3</f>
        <v>5.2285070397672008E-34</v>
      </c>
      <c r="G45" s="37"/>
      <c r="H45" s="269">
        <f t="shared" si="3"/>
        <v>-36</v>
      </c>
      <c r="I45" s="61">
        <f t="shared" si="4"/>
        <v>522.85070397672007</v>
      </c>
      <c r="J45" s="39"/>
    </row>
    <row r="46" spans="1:10" ht="15" customHeight="1" x14ac:dyDescent="0.2">
      <c r="A46" s="616"/>
      <c r="B46" s="3" t="str">
        <f>Rydberg!B47</f>
        <v>Planck length</v>
      </c>
      <c r="C46" s="3" t="str">
        <f>Rydberg!C47</f>
        <v>m</v>
      </c>
      <c r="D46" s="21">
        <f>Rydberg!D47</f>
        <v>1.6162550244237053E-35</v>
      </c>
      <c r="E46" s="8">
        <v>4</v>
      </c>
      <c r="F46" s="21">
        <f>D46/F$3</f>
        <v>8.837789941074502E-35</v>
      </c>
      <c r="G46" s="37"/>
      <c r="H46" s="269">
        <f t="shared" si="3"/>
        <v>-36</v>
      </c>
      <c r="I46" s="61">
        <f t="shared" si="4"/>
        <v>88.37789941074503</v>
      </c>
      <c r="J46" s="39"/>
    </row>
    <row r="47" spans="1:10" ht="15" customHeight="1" x14ac:dyDescent="0.2">
      <c r="A47" s="616"/>
      <c r="B47" s="3" t="str">
        <f>Rydberg!B48</f>
        <v>Adjusted Planck length</v>
      </c>
      <c r="C47" s="3" t="str">
        <f>Rydberg!C48</f>
        <v>m</v>
      </c>
      <c r="D47" s="21">
        <f>Rydberg!D48</f>
        <v>1.8920265367777891E-34</v>
      </c>
      <c r="E47" s="8">
        <v>4</v>
      </c>
      <c r="F47" s="21">
        <f>D47/F$3</f>
        <v>1.034572690714014E-33</v>
      </c>
      <c r="G47" s="37"/>
      <c r="H47" s="269">
        <f t="shared" si="3"/>
        <v>-33</v>
      </c>
      <c r="I47" s="61">
        <f t="shared" si="4"/>
        <v>1.0345726907140138</v>
      </c>
      <c r="J47" s="39"/>
    </row>
    <row r="48" spans="1:10" ht="15" customHeight="1" x14ac:dyDescent="0.2">
      <c r="A48" s="616"/>
      <c r="B48" s="3" t="str">
        <f>Rydberg!B49</f>
        <v>Stefan-Boltzmann constant</v>
      </c>
      <c r="C48" s="64" t="str">
        <f>Rydberg!C49</f>
        <v>W/m^2/K^4</v>
      </c>
      <c r="D48" s="21">
        <f>Rydberg!D49</f>
        <v>5.6703744191844301E-8</v>
      </c>
      <c r="E48" s="8">
        <v>6</v>
      </c>
      <c r="F48" s="21">
        <f>D48/(F$9*POWER(F$3,-2)*POWER(F$6,-4))</f>
        <v>2.5157618371028398E-15</v>
      </c>
      <c r="G48" s="37"/>
      <c r="H48" s="269">
        <f t="shared" si="3"/>
        <v>-15</v>
      </c>
      <c r="I48" s="61">
        <f t="shared" si="4"/>
        <v>2.5157618371028398</v>
      </c>
      <c r="J48" s="39"/>
    </row>
    <row r="49" spans="1:10" ht="15" customHeight="1" x14ac:dyDescent="0.2">
      <c r="A49" s="616"/>
      <c r="B49" s="3" t="str">
        <f>Rydberg!B50</f>
        <v>Black-body radiation at the ice point</v>
      </c>
      <c r="C49" s="3" t="str">
        <f>Rydberg!C50</f>
        <v>W/m^2</v>
      </c>
      <c r="D49" s="21">
        <f>Rydberg!D50</f>
        <v>315.65782231107141</v>
      </c>
      <c r="E49" s="8">
        <v>6</v>
      </c>
      <c r="F49" s="21">
        <f>D49/(F$9*POWER(F$3,-2))</f>
        <v>4.1608428923666247</v>
      </c>
      <c r="G49" s="37"/>
      <c r="H49" s="269">
        <f t="shared" si="3"/>
        <v>0</v>
      </c>
      <c r="I49" s="61">
        <f t="shared" si="4"/>
        <v>4.1608428923666247</v>
      </c>
      <c r="J49" s="39"/>
    </row>
    <row r="50" spans="1:10" ht="15" customHeight="1" x14ac:dyDescent="0.2">
      <c r="A50" s="616"/>
      <c r="B50" s="3" t="str">
        <f>Rydberg!B51</f>
        <v>Temperature of the triple point of water</v>
      </c>
      <c r="C50" s="3" t="str">
        <f>Rydberg!C51</f>
        <v>K</v>
      </c>
      <c r="D50" s="21">
        <f>Rydberg!D51</f>
        <v>273.16000000000003</v>
      </c>
      <c r="E50" s="8">
        <v>6</v>
      </c>
      <c r="F50" s="21">
        <f>D50/F$6</f>
        <v>6377.4027900055771</v>
      </c>
      <c r="G50" s="37"/>
      <c r="H50" s="269">
        <f t="shared" si="3"/>
        <v>3</v>
      </c>
      <c r="I50" s="61">
        <f t="shared" si="4"/>
        <v>6.3774027900055774</v>
      </c>
      <c r="J50" s="39"/>
    </row>
    <row r="51" spans="1:10" ht="15" customHeight="1" x14ac:dyDescent="0.2">
      <c r="A51" s="616"/>
      <c r="B51" s="3" t="str">
        <f>Rydberg!B52</f>
        <v>Molar volume of an ideal gas</v>
      </c>
      <c r="C51" s="3" t="str">
        <f>Rydberg!C52</f>
        <v>m^3/mol</v>
      </c>
      <c r="D51" s="21">
        <f>Rydberg!D52</f>
        <v>2.2413969539999998E-2</v>
      </c>
      <c r="E51" s="8">
        <v>6</v>
      </c>
      <c r="F51" s="21">
        <f>D51/(POWER(F$3,3)/F$7)</f>
        <v>22.413341948852867</v>
      </c>
      <c r="G51" s="37"/>
      <c r="H51" s="269">
        <f t="shared" si="3"/>
        <v>0</v>
      </c>
      <c r="I51" s="61">
        <f t="shared" si="4"/>
        <v>22.413341948852867</v>
      </c>
      <c r="J51" s="39"/>
    </row>
    <row r="52" spans="1:10" ht="15" customHeight="1" x14ac:dyDescent="0.2">
      <c r="A52" s="616"/>
      <c r="B52" s="67" t="str">
        <f>Rydberg!B53</f>
        <v>-log(Sqrt([H+][OH-])/(mol/m^3))</v>
      </c>
      <c r="C52" s="3" t="s">
        <v>723</v>
      </c>
      <c r="D52" s="21">
        <f>Rydberg!D53</f>
        <v>1.0039920318408906E-4</v>
      </c>
      <c r="E52" s="8">
        <v>4</v>
      </c>
      <c r="F52" s="21">
        <f>-LOG(D$52/(F$7*POWER(F$3,-3)))/LOG(10)</f>
        <v>6.9982575735295072</v>
      </c>
      <c r="G52" s="37"/>
      <c r="H52" s="269">
        <f t="shared" si="3"/>
        <v>0</v>
      </c>
      <c r="I52" s="61">
        <f t="shared" si="4"/>
        <v>6.9982575735295072</v>
      </c>
      <c r="J52" s="39"/>
    </row>
    <row r="53" spans="1:10" ht="15" customHeight="1" x14ac:dyDescent="0.2">
      <c r="A53" s="616"/>
      <c r="B53" s="272" t="str">
        <f>Rydberg!B54</f>
        <v>Maximum density of water</v>
      </c>
      <c r="C53" s="272" t="str">
        <f>Rydberg!C54</f>
        <v>kg/m^3</v>
      </c>
      <c r="D53" s="37">
        <f>Rydberg!D54</f>
        <v>999.97199999999998</v>
      </c>
      <c r="E53" s="38">
        <v>6</v>
      </c>
      <c r="F53" s="37">
        <f>D53/(F$8*POWER(F$3,-3))</f>
        <v>1.0000000000000002</v>
      </c>
      <c r="G53" s="37"/>
      <c r="H53" s="269">
        <f t="shared" si="3"/>
        <v>0</v>
      </c>
      <c r="I53" s="273">
        <f t="shared" si="4"/>
        <v>1.0000000000000002</v>
      </c>
      <c r="J53" s="39"/>
    </row>
    <row r="54" spans="1:10" ht="15" customHeight="1" x14ac:dyDescent="0.2">
      <c r="A54" s="616"/>
      <c r="B54" s="3" t="str">
        <f>Rydberg!B55</f>
        <v>Density of ice at the ice point</v>
      </c>
      <c r="C54" s="3" t="str">
        <f>Rydberg!C55</f>
        <v>kg/m^3</v>
      </c>
      <c r="D54" s="21">
        <f>Rydberg!D55</f>
        <v>916.8</v>
      </c>
      <c r="E54" s="8">
        <v>4</v>
      </c>
      <c r="F54" s="21">
        <f>D54/(F$8*POWER(F$3,-3))</f>
        <v>0.91682567111879154</v>
      </c>
      <c r="G54" s="37"/>
      <c r="H54" s="269">
        <f t="shared" si="3"/>
        <v>-3</v>
      </c>
      <c r="I54" s="61">
        <f t="shared" si="4"/>
        <v>916.82567111879155</v>
      </c>
      <c r="J54" s="39"/>
    </row>
    <row r="55" spans="1:10" ht="15" customHeight="1" x14ac:dyDescent="0.2">
      <c r="A55" s="616"/>
      <c r="B55" s="272" t="str">
        <f>Rydberg!B56</f>
        <v>Specific heat of water</v>
      </c>
      <c r="C55" s="272" t="str">
        <f>Rydberg!C56</f>
        <v>J/kg/K</v>
      </c>
      <c r="D55" s="37">
        <f>Rydberg!D56</f>
        <v>4184</v>
      </c>
      <c r="E55" s="38">
        <v>4</v>
      </c>
      <c r="F55" s="37">
        <f>D55/(F$5/F$8/F$6)</f>
        <v>999.99999999999977</v>
      </c>
      <c r="G55" s="37"/>
      <c r="H55" s="269">
        <f t="shared" si="3"/>
        <v>3</v>
      </c>
      <c r="I55" s="273">
        <f t="shared" si="4"/>
        <v>0.99999999999999978</v>
      </c>
      <c r="J55" s="274"/>
    </row>
    <row r="56" spans="1:10" ht="15" customHeight="1" x14ac:dyDescent="0.2">
      <c r="A56" s="616"/>
      <c r="B56" s="3" t="str">
        <f>Rydberg!B57</f>
        <v>Surface tension of water at 25℃</v>
      </c>
      <c r="C56" s="3" t="str">
        <f>Rydberg!C57</f>
        <v>N/m</v>
      </c>
      <c r="D56" s="21">
        <f>Rydberg!D57</f>
        <v>7.1970000000000006E-2</v>
      </c>
      <c r="E56" s="8">
        <v>4</v>
      </c>
      <c r="F56" s="21">
        <f>D$56/(F$10/F$3)</f>
        <v>2.1960009192746803E-3</v>
      </c>
      <c r="G56" s="37"/>
      <c r="H56" s="269">
        <f t="shared" si="3"/>
        <v>-3</v>
      </c>
      <c r="I56" s="61">
        <f t="shared" si="4"/>
        <v>2.1960009192746801</v>
      </c>
      <c r="J56" s="39"/>
    </row>
    <row r="57" spans="1:10" ht="15" customHeight="1" x14ac:dyDescent="0.2">
      <c r="A57" s="616"/>
      <c r="B57" s="5" t="str">
        <f>Rydberg!B58</f>
        <v>photon energy at 540THz</v>
      </c>
      <c r="C57" s="3" t="str">
        <f>Rydberg!C58</f>
        <v>J</v>
      </c>
      <c r="D57" s="21">
        <f>D36*540000000000000*(2*PI())</f>
        <v>3.5780778809999999E-19</v>
      </c>
      <c r="E57" s="8">
        <v>7</v>
      </c>
      <c r="F57" s="21">
        <f>D57/F$5</f>
        <v>3.2643624840270455E-19</v>
      </c>
      <c r="G57" s="37"/>
      <c r="H57" s="269">
        <f t="shared" si="3"/>
        <v>-21</v>
      </c>
      <c r="I57" s="61">
        <f t="shared" si="4"/>
        <v>326.43624840270456</v>
      </c>
      <c r="J57" s="39"/>
    </row>
    <row r="58" spans="1:10" ht="15" customHeight="1" x14ac:dyDescent="0.2">
      <c r="A58" s="616"/>
      <c r="B58" s="224" t="str">
        <f>Rydberg!B59</f>
        <v>(according to the definition of candela)</v>
      </c>
      <c r="C58" s="3" t="str">
        <f>Rydberg!C59</f>
        <v>eΩA</v>
      </c>
      <c r="D58" s="21">
        <f>D57/D41</f>
        <v>2.2332605563388839</v>
      </c>
      <c r="E58" s="8">
        <v>7</v>
      </c>
      <c r="F58" s="21">
        <f>D58/F$17</f>
        <v>2.8402285780533325</v>
      </c>
      <c r="G58" s="37"/>
      <c r="H58" s="269">
        <f t="shared" si="3"/>
        <v>0</v>
      </c>
      <c r="I58" s="61">
        <f t="shared" si="4"/>
        <v>2.8402285780533325</v>
      </c>
      <c r="J58" s="254"/>
    </row>
    <row r="59" spans="1:10" ht="15" customHeight="1" x14ac:dyDescent="0.2">
      <c r="A59" s="616"/>
      <c r="B59" s="267">
        <f>Rydberg!B60</f>
        <v>1.024</v>
      </c>
      <c r="C59" s="3" t="str">
        <f>Rydberg!C60</f>
        <v>P/m</v>
      </c>
      <c r="D59" s="21">
        <f>D53*D62*B59</f>
        <v>10041.728423731198</v>
      </c>
      <c r="E59" s="8">
        <v>6</v>
      </c>
      <c r="F59" s="21">
        <f>D59/(F11/F3)</f>
        <v>10.247594048503933</v>
      </c>
      <c r="G59" s="37"/>
      <c r="H59" s="269">
        <f t="shared" si="3"/>
        <v>0</v>
      </c>
      <c r="I59" s="61">
        <f t="shared" si="4"/>
        <v>10.247594048503933</v>
      </c>
      <c r="J59" s="39"/>
    </row>
    <row r="60" spans="1:10" ht="15" customHeight="1" x14ac:dyDescent="0.2">
      <c r="A60" s="616"/>
      <c r="B60" s="3" t="str">
        <f>Rydberg!B61</f>
        <v>Sea depth at standard atmosphere</v>
      </c>
      <c r="C60" s="3" t="str">
        <f>Rydberg!C61</f>
        <v>m</v>
      </c>
      <c r="D60" s="21">
        <f>D61/D59</f>
        <v>10.090394374791382</v>
      </c>
      <c r="E60" s="8">
        <v>6</v>
      </c>
      <c r="F60" s="21">
        <f>D60/F$3</f>
        <v>55.174947368719266</v>
      </c>
      <c r="G60" s="37"/>
      <c r="H60" s="269">
        <f t="shared" si="3"/>
        <v>0</v>
      </c>
      <c r="I60" s="61">
        <f t="shared" si="4"/>
        <v>55.174947368719266</v>
      </c>
      <c r="J60" s="39"/>
    </row>
    <row r="61" spans="1:10" ht="15" customHeight="1" x14ac:dyDescent="0.2">
      <c r="A61" s="616"/>
      <c r="B61" s="3" t="str">
        <f>Rydberg!B62</f>
        <v>Standard atmosphere</v>
      </c>
      <c r="C61" s="3" t="str">
        <f>Rydberg!C62</f>
        <v>P</v>
      </c>
      <c r="D61" s="21">
        <f>Rydberg!D62</f>
        <v>101325</v>
      </c>
      <c r="E61" s="8">
        <v>6</v>
      </c>
      <c r="F61" s="21">
        <f>D61/F$11</f>
        <v>565.41046228220523</v>
      </c>
      <c r="G61" s="37"/>
      <c r="H61" s="269">
        <f t="shared" si="3"/>
        <v>0</v>
      </c>
      <c r="I61" s="61">
        <f t="shared" si="4"/>
        <v>565.41046228220523</v>
      </c>
      <c r="J61" s="39"/>
    </row>
    <row r="62" spans="1:10" ht="15" customHeight="1" x14ac:dyDescent="0.2">
      <c r="A62" s="616"/>
      <c r="B62" s="272" t="str">
        <f>Rydberg!B63</f>
        <v>Standard gravitational acceleration</v>
      </c>
      <c r="C62" s="272" t="str">
        <f>Rydberg!C63</f>
        <v>m/s^2</v>
      </c>
      <c r="D62" s="37">
        <f>Rydberg!D63</f>
        <v>9.8066499999999994</v>
      </c>
      <c r="E62" s="38">
        <v>7</v>
      </c>
      <c r="F62" s="37">
        <f>D62/(F$3/F$4/F$4)</f>
        <v>10.007416062992123</v>
      </c>
      <c r="G62" s="37"/>
      <c r="H62" s="269">
        <f t="shared" si="3"/>
        <v>0</v>
      </c>
      <c r="I62" s="273">
        <f t="shared" si="4"/>
        <v>10.007416062992123</v>
      </c>
      <c r="J62" s="274"/>
    </row>
    <row r="63" spans="1:10" ht="15" customHeight="1" x14ac:dyDescent="0.2">
      <c r="A63" s="616"/>
      <c r="B63" s="3" t="str">
        <f>Rydberg!B64</f>
        <v>Gravitational radius of the Earth</v>
      </c>
      <c r="C63" s="3" t="str">
        <f>Rydberg!C64</f>
        <v>m</v>
      </c>
      <c r="D63" s="21">
        <f>Rydberg!D64</f>
        <v>4.4350280391176706E-3</v>
      </c>
      <c r="E63" s="8">
        <v>10</v>
      </c>
      <c r="F63" s="21">
        <f>D63/F$3</f>
        <v>2.4251028210398456E-2</v>
      </c>
      <c r="G63" s="37"/>
      <c r="H63" s="269">
        <f t="shared" si="3"/>
        <v>-3</v>
      </c>
      <c r="I63" s="61">
        <f t="shared" si="4"/>
        <v>24.251028210398456</v>
      </c>
      <c r="J63" s="39"/>
    </row>
    <row r="64" spans="1:10" ht="15" customHeight="1" x14ac:dyDescent="0.2">
      <c r="A64" s="616"/>
      <c r="B64" s="3" t="str">
        <f>Rydberg!B65</f>
        <v>Equatorial radius of the Earth</v>
      </c>
      <c r="C64" s="3" t="str">
        <f>Rydberg!C65</f>
        <v>m</v>
      </c>
      <c r="D64" s="21">
        <f>Rydberg!D65</f>
        <v>6378137</v>
      </c>
      <c r="E64" s="8">
        <v>7</v>
      </c>
      <c r="F64" s="21">
        <f>D64/F$3</f>
        <v>34876077.209098853</v>
      </c>
      <c r="G64" s="37"/>
      <c r="H64" s="269">
        <f t="shared" si="3"/>
        <v>6</v>
      </c>
      <c r="I64" s="61">
        <f t="shared" si="4"/>
        <v>34.876077209098852</v>
      </c>
      <c r="J64" s="39"/>
    </row>
    <row r="65" spans="1:10" ht="15" customHeight="1" x14ac:dyDescent="0.2">
      <c r="A65" s="616"/>
      <c r="B65" s="3" t="str">
        <f>Rydberg!B66</f>
        <v>Meridian length of the Earth / 4</v>
      </c>
      <c r="C65" s="3" t="str">
        <f>Rydberg!C66</f>
        <v>m</v>
      </c>
      <c r="D65" s="21">
        <f>Rydberg!D66</f>
        <v>10001965.75</v>
      </c>
      <c r="E65" s="8">
        <v>7</v>
      </c>
      <c r="F65" s="21">
        <f>D65/F$3</f>
        <v>54691413.768591411</v>
      </c>
      <c r="G65" s="37"/>
      <c r="H65" s="269">
        <f t="shared" si="3"/>
        <v>6</v>
      </c>
      <c r="I65" s="61">
        <f t="shared" si="4"/>
        <v>54.69141376859141</v>
      </c>
      <c r="J65" s="39"/>
    </row>
    <row r="66" spans="1:10" ht="15" customHeight="1" x14ac:dyDescent="0.2">
      <c r="A66" s="616"/>
      <c r="B66" s="3" t="str">
        <f>Rydberg!B67</f>
        <v>Gravitational radius of the Sun</v>
      </c>
      <c r="C66" s="3" t="str">
        <f>Rydberg!C67</f>
        <v>m</v>
      </c>
      <c r="D66" s="21">
        <f>Rydberg!D67</f>
        <v>1476.6250385063113</v>
      </c>
      <c r="E66" s="8">
        <v>8</v>
      </c>
      <c r="F66" s="21">
        <f>D66/F$3</f>
        <v>8074.2838938446575</v>
      </c>
      <c r="G66" s="37"/>
      <c r="H66" s="269">
        <f t="shared" si="3"/>
        <v>3</v>
      </c>
      <c r="I66" s="61">
        <f t="shared" si="4"/>
        <v>8.0742838938446582</v>
      </c>
      <c r="J66" s="39"/>
    </row>
    <row r="67" spans="1:10" ht="15" customHeight="1" x14ac:dyDescent="0.2">
      <c r="A67" s="616"/>
      <c r="B67" s="3" t="str">
        <f>Rydberg!B68</f>
        <v>Astronomical unit</v>
      </c>
      <c r="C67" s="3" t="str">
        <f>Rydberg!C68</f>
        <v>m</v>
      </c>
      <c r="D67" s="21">
        <f>Rydberg!D68</f>
        <v>149597870000</v>
      </c>
      <c r="E67" s="8">
        <v>9</v>
      </c>
      <c r="F67" s="21">
        <f>D67/F$3</f>
        <v>818011100174.97791</v>
      </c>
      <c r="G67" s="37"/>
      <c r="H67" s="269">
        <f t="shared" si="3"/>
        <v>9</v>
      </c>
      <c r="I67" s="61">
        <f t="shared" si="4"/>
        <v>818.01110017497786</v>
      </c>
      <c r="J67" s="39"/>
    </row>
    <row r="68" spans="1:10" ht="15" customHeight="1" thickBot="1" x14ac:dyDescent="0.25">
      <c r="A68" s="617"/>
      <c r="B68" s="89" t="str">
        <f>Rydberg!B69</f>
        <v>Astronomical unit / c0</v>
      </c>
      <c r="C68" s="89" t="str">
        <f>Rydberg!C69</f>
        <v>s</v>
      </c>
      <c r="D68" s="32">
        <f>Rydberg!D69</f>
        <v>499.00478150120773</v>
      </c>
      <c r="E68" s="33">
        <v>9</v>
      </c>
      <c r="F68" s="32">
        <f>D68/F$4</f>
        <v>1155.1036608824254</v>
      </c>
      <c r="G68" s="47"/>
      <c r="H68" s="271">
        <f t="shared" si="3"/>
        <v>3</v>
      </c>
      <c r="I68" s="63">
        <f t="shared" si="4"/>
        <v>1.1551036608824254</v>
      </c>
      <c r="J68" s="49"/>
    </row>
  </sheetData>
  <mergeCells count="3">
    <mergeCell ref="A1:A30"/>
    <mergeCell ref="A31:A68"/>
    <mergeCell ref="H31:I31"/>
  </mergeCells>
  <phoneticPr fontId="1"/>
  <printOptions horizontalCentered="1"/>
  <pageMargins left="0.70866141732283472" right="0.70866141732283472" top="0.74803149606299213" bottom="0.74803149606299213" header="0.31496062992125984" footer="0.31496062992125984"/>
  <pageSetup paperSize="9" scale="80" orientation="portrait" r:id="rId1"/>
  <headerFooter>
    <oddHeader>&amp;A</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6"/>
  <sheetViews>
    <sheetView workbookViewId="0">
      <selection activeCell="K6" sqref="K6"/>
    </sheetView>
  </sheetViews>
  <sheetFormatPr defaultColWidth="9" defaultRowHeight="11.5" x14ac:dyDescent="0.2"/>
  <cols>
    <col min="1" max="1" width="16.453125" style="14" customWidth="1"/>
    <col min="2" max="2" width="9.6328125" style="14" customWidth="1"/>
    <col min="3" max="4" width="9.6328125" style="232" customWidth="1"/>
    <col min="5" max="7" width="9.6328125" style="14" customWidth="1"/>
    <col min="8" max="8" width="9.6328125" style="387" customWidth="1"/>
    <col min="9" max="9" width="9.6328125" style="14" customWidth="1"/>
    <col min="10" max="16384" width="9" style="14"/>
  </cols>
  <sheetData>
    <row r="1" spans="1:8" x14ac:dyDescent="0.2">
      <c r="A1" s="395" t="s">
        <v>1082</v>
      </c>
      <c r="B1" s="401">
        <v>1365.94</v>
      </c>
      <c r="C1" s="402" t="s">
        <v>1083</v>
      </c>
      <c r="D1" s="398">
        <f>$B1/(Clock_by_Rydberg!F9/POWER(Clock_by_Rydberg!F3,2))</f>
        <v>617.58992187612182</v>
      </c>
      <c r="E1" s="408" t="s">
        <v>1093</v>
      </c>
      <c r="F1" s="415">
        <f>$B1/(TGM!F9/POWER(TGM!F3,2))</f>
        <v>0.27650160097796167</v>
      </c>
      <c r="G1" s="416" t="s">
        <v>1098</v>
      </c>
      <c r="H1" s="411" t="s">
        <v>1111</v>
      </c>
    </row>
    <row r="2" spans="1:8" x14ac:dyDescent="0.2">
      <c r="A2" s="396" t="s">
        <v>1097</v>
      </c>
      <c r="B2" s="91">
        <f>B1*B7*B7</f>
        <v>3.0569085248498895E+25</v>
      </c>
      <c r="C2" s="403" t="s">
        <v>1084</v>
      </c>
      <c r="D2" s="399">
        <f>$B2/Clock_by_Rydberg!F9</f>
        <v>1.8633276388425983E+26</v>
      </c>
      <c r="E2" s="409" t="s">
        <v>1094</v>
      </c>
      <c r="F2" s="404">
        <f>$B2/TGM!F9</f>
        <v>7.0777629856157472E+22</v>
      </c>
      <c r="G2" s="417" t="s">
        <v>1099</v>
      </c>
      <c r="H2" s="412"/>
    </row>
    <row r="3" spans="1:8" x14ac:dyDescent="0.2">
      <c r="A3" s="396" t="s">
        <v>1086</v>
      </c>
      <c r="B3" s="404">
        <f>C7*B7*B7</f>
        <v>2.8645789066927231E+27</v>
      </c>
      <c r="C3" s="405" t="s">
        <v>1087</v>
      </c>
      <c r="D3" s="399">
        <f>$B3/Clock_by_Rydberg!F24</f>
        <v>2.4765695145962128E+25</v>
      </c>
      <c r="E3" s="409" t="s">
        <v>1095</v>
      </c>
      <c r="F3" s="404">
        <f>$B3/TGM!F24</f>
        <v>2.4284391286245942E+27</v>
      </c>
      <c r="G3" s="417" t="s">
        <v>1100</v>
      </c>
      <c r="H3" s="413" t="s">
        <v>1102</v>
      </c>
    </row>
    <row r="4" spans="1:8" ht="12" thickBot="1" x14ac:dyDescent="0.25">
      <c r="A4" s="397" t="s">
        <v>1088</v>
      </c>
      <c r="B4" s="406">
        <f>B3/B2</f>
        <v>93.708362007115966</v>
      </c>
      <c r="C4" s="407" t="s">
        <v>1089</v>
      </c>
      <c r="D4" s="400">
        <f>D3/D2</f>
        <v>0.13291111358894073</v>
      </c>
      <c r="E4" s="410" t="s">
        <v>1096</v>
      </c>
      <c r="F4" s="418">
        <f>F3/F2</f>
        <v>34310.82862706692</v>
      </c>
      <c r="G4" s="407" t="s">
        <v>1101</v>
      </c>
      <c r="H4" s="414"/>
    </row>
    <row r="5" spans="1:8" ht="12" thickBot="1" x14ac:dyDescent="0.25"/>
    <row r="6" spans="1:8" ht="35" thickBot="1" x14ac:dyDescent="0.25">
      <c r="A6" s="423" t="s">
        <v>1112</v>
      </c>
      <c r="B6" s="424" t="s">
        <v>1080</v>
      </c>
      <c r="C6" s="425" t="s">
        <v>1085</v>
      </c>
      <c r="D6" s="425" t="s">
        <v>1090</v>
      </c>
      <c r="E6" s="424" t="s">
        <v>1104</v>
      </c>
      <c r="F6" s="426" t="s">
        <v>1103</v>
      </c>
      <c r="G6" s="424" t="s">
        <v>1092</v>
      </c>
      <c r="H6" s="427" t="s">
        <v>1111</v>
      </c>
    </row>
    <row r="7" spans="1:8" x14ac:dyDescent="0.2">
      <c r="A7" s="419" t="s">
        <v>1081</v>
      </c>
      <c r="B7" s="45">
        <f>Rydberg!D68</f>
        <v>149597870000</v>
      </c>
      <c r="C7" s="428">
        <v>128000</v>
      </c>
      <c r="D7" s="421">
        <f>(-26.74+4.83)/2-LOG10(360*60*60/(2*PI())*10)*2.5</f>
        <v>-26.741062832941147</v>
      </c>
      <c r="E7" s="421">
        <f t="shared" ref="E7:E13" si="0">-2*LOG(B7/B$14,2)</f>
        <v>43.897148650652433</v>
      </c>
      <c r="F7" s="420">
        <f>C7/Clock_by_Rydberg!F$26*POWER(12,16)</f>
        <v>1.5176143829536858E+19</v>
      </c>
      <c r="G7" s="421">
        <f t="shared" ref="G7:G16" si="1">E7-E$16</f>
        <v>63.718439059704011</v>
      </c>
      <c r="H7" s="422"/>
    </row>
    <row r="8" spans="1:8" x14ac:dyDescent="0.2">
      <c r="A8" s="391" t="s">
        <v>1074</v>
      </c>
      <c r="B8" s="8">
        <f>Rydberg!D35*86400*365.25</f>
        <v>9460730472580800</v>
      </c>
      <c r="C8" s="12">
        <f t="shared" ref="C8:C16" si="2">C$7/POWER(B8/B$7,2)</f>
        <v>3.2004529695449158E-5</v>
      </c>
      <c r="D8" s="127">
        <f t="shared" ref="D8:D16" si="3">D$7+5*LOG10(B8/B$7)</f>
        <v>-2.7360665329429885</v>
      </c>
      <c r="E8" s="127">
        <f t="shared" si="0"/>
        <v>12</v>
      </c>
      <c r="F8" s="12">
        <f>C8/Clock_by_Rydberg!F$26*POWER(12,16)</f>
        <v>3794573014.4907808</v>
      </c>
      <c r="G8" s="127">
        <f t="shared" si="1"/>
        <v>31.821290409051578</v>
      </c>
      <c r="H8" s="388"/>
    </row>
    <row r="9" spans="1:8" x14ac:dyDescent="0.2">
      <c r="A9" s="392">
        <f>B9/B$8</f>
        <v>3.5254398282029262</v>
      </c>
      <c r="B9" s="8">
        <f>B$14*POWER(10,(0-D$14)/5)</f>
        <v>3.3353236011929444E+16</v>
      </c>
      <c r="C9" s="12">
        <f t="shared" si="2"/>
        <v>2.5750450803308646E-6</v>
      </c>
      <c r="D9" s="127">
        <f t="shared" si="3"/>
        <v>0</v>
      </c>
      <c r="E9" s="127">
        <f t="shared" si="0"/>
        <v>8.364393485894249</v>
      </c>
      <c r="F9" s="12">
        <f>C9/Clock_by_Rydberg!F$26*POWER(12,16)</f>
        <v>305306675.83314449</v>
      </c>
      <c r="G9" s="127">
        <f t="shared" si="1"/>
        <v>28.185683894945825</v>
      </c>
      <c r="H9" s="388"/>
    </row>
    <row r="10" spans="1:8" x14ac:dyDescent="0.2">
      <c r="A10" s="391" t="s">
        <v>1075</v>
      </c>
      <c r="B10" s="8">
        <f>360*60*60/(2*PI())*B7*10</f>
        <v>3.0856775670528307E+17</v>
      </c>
      <c r="C10" s="12">
        <f t="shared" si="2"/>
        <v>3.0085671090045293E-8</v>
      </c>
      <c r="D10" s="127">
        <f t="shared" si="3"/>
        <v>4.83106283294115</v>
      </c>
      <c r="E10" s="127">
        <f t="shared" si="0"/>
        <v>1.9450161447289163</v>
      </c>
      <c r="F10" s="12">
        <f>C10/Clock_by_Rydberg!F$26*POWER(12,16)</f>
        <v>3567066.1849270808</v>
      </c>
      <c r="G10" s="127">
        <f t="shared" si="1"/>
        <v>21.766306553780495</v>
      </c>
      <c r="H10" s="388"/>
    </row>
    <row r="11" spans="1:8" x14ac:dyDescent="0.2">
      <c r="A11" s="393">
        <f>B11/B$8</f>
        <v>35.254398282029271</v>
      </c>
      <c r="B11" s="8">
        <f>B$14*POWER(10,(5-D$14)/5)</f>
        <v>3.3353236011929453E+17</v>
      </c>
      <c r="C11" s="12">
        <f t="shared" si="2"/>
        <v>2.5750450803308634E-8</v>
      </c>
      <c r="D11" s="127">
        <f t="shared" si="3"/>
        <v>5.0000000000000036</v>
      </c>
      <c r="E11" s="127">
        <f t="shared" si="0"/>
        <v>1.720537296119524</v>
      </c>
      <c r="F11" s="12">
        <f>C11/Clock_by_Rydberg!F$26*POWER(12,16)</f>
        <v>3053066.7583314432</v>
      </c>
      <c r="G11" s="127">
        <f t="shared" si="1"/>
        <v>21.541827705171102</v>
      </c>
      <c r="H11" s="388"/>
    </row>
    <row r="12" spans="1:8" x14ac:dyDescent="0.2">
      <c r="A12" s="393">
        <f>B12/B$8</f>
        <v>55.874455841500961</v>
      </c>
      <c r="B12" s="8">
        <f>B$14*POWER(10,(6-D$14)/5)</f>
        <v>5.286131670185584E+17</v>
      </c>
      <c r="C12" s="12">
        <f t="shared" si="2"/>
        <v>1.0251439109782231E-8</v>
      </c>
      <c r="D12" s="127">
        <f t="shared" si="3"/>
        <v>6.0000000000000071</v>
      </c>
      <c r="E12" s="127">
        <f t="shared" si="0"/>
        <v>0.39176605816457932</v>
      </c>
      <c r="F12" s="12">
        <f>C12/Clock_by_Rydberg!F$26*POWER(12,16)</f>
        <v>1215447.7686702691</v>
      </c>
      <c r="G12" s="127">
        <f t="shared" si="1"/>
        <v>20.213056467216155</v>
      </c>
      <c r="H12" s="388"/>
    </row>
    <row r="13" spans="1:8" x14ac:dyDescent="0.2">
      <c r="A13" s="391" t="s">
        <v>1091</v>
      </c>
      <c r="B13" s="8">
        <f>Clock_by_Rydberg!F$3*POWER(12,17)</f>
        <v>6.0424362904758938E+17</v>
      </c>
      <c r="C13" s="12">
        <f t="shared" si="2"/>
        <v>7.8457890957579781E-9</v>
      </c>
      <c r="D13" s="127">
        <f t="shared" si="3"/>
        <v>6.2903705171967701</v>
      </c>
      <c r="E13" s="127">
        <f t="shared" si="0"/>
        <v>5.9300665634143442E-3</v>
      </c>
      <c r="F13" s="12">
        <f>C13/Clock_by_Rydberg!F$26*POWER(12,16)</f>
        <v>930225.18572996103</v>
      </c>
      <c r="G13" s="127">
        <f t="shared" si="1"/>
        <v>19.827220475614993</v>
      </c>
      <c r="H13" s="388"/>
    </row>
    <row r="14" spans="1:8" x14ac:dyDescent="0.2">
      <c r="A14" s="393">
        <f t="shared" ref="A14:A16" si="4">B14/B$8</f>
        <v>64</v>
      </c>
      <c r="B14" s="8">
        <f>B$8*64</f>
        <v>6.054867502451712E+17</v>
      </c>
      <c r="C14" s="12">
        <f t="shared" si="2"/>
        <v>7.8136058826780172E-9</v>
      </c>
      <c r="D14" s="127">
        <f t="shared" si="3"/>
        <v>6.2948333369764455</v>
      </c>
      <c r="E14" s="127">
        <v>0</v>
      </c>
      <c r="F14" s="12">
        <f>C14/Clock_by_Rydberg!F$26*POWER(12,16)</f>
        <v>926409.42736591329</v>
      </c>
      <c r="G14" s="127">
        <f t="shared" si="1"/>
        <v>19.821290409051578</v>
      </c>
      <c r="H14" s="389" t="s">
        <v>1113</v>
      </c>
    </row>
    <row r="15" spans="1:8" x14ac:dyDescent="0.2">
      <c r="A15" s="393">
        <f t="shared" si="4"/>
        <v>100</v>
      </c>
      <c r="B15" s="8">
        <f>B$8*100</f>
        <v>9.4607304725808E+17</v>
      </c>
      <c r="C15" s="12">
        <f t="shared" si="2"/>
        <v>3.2004529695449157E-9</v>
      </c>
      <c r="D15" s="127">
        <f t="shared" si="3"/>
        <v>7.2639334670570079</v>
      </c>
      <c r="E15" s="127">
        <f>-2*LOG(B15/B$14,2)</f>
        <v>-1.2877123795494494</v>
      </c>
      <c r="F15" s="12">
        <f>C15/Clock_by_Rydberg!F$26*POWER(12,16)</f>
        <v>379457.30144907802</v>
      </c>
      <c r="G15" s="127">
        <f t="shared" si="1"/>
        <v>18.533578029502127</v>
      </c>
      <c r="H15" s="388"/>
    </row>
    <row r="16" spans="1:8" ht="12" thickBot="1" x14ac:dyDescent="0.25">
      <c r="A16" s="429">
        <f t="shared" si="4"/>
        <v>61600.105637009918</v>
      </c>
      <c r="B16" s="394">
        <f>B$14*SQRT(F$14)</f>
        <v>5.8278199651425603E+20</v>
      </c>
      <c r="C16" s="394">
        <f t="shared" si="2"/>
        <v>8.4342901225591666E-15</v>
      </c>
      <c r="D16" s="130">
        <f t="shared" si="3"/>
        <v>21.21184075170472</v>
      </c>
      <c r="E16" s="130">
        <f>-2*LOG(B16/B$14,2)</f>
        <v>-19.821290409051578</v>
      </c>
      <c r="F16" s="394">
        <f>C16/Clock_by_Rydberg!F$26*POWER(12,16)</f>
        <v>0.99999999999999978</v>
      </c>
      <c r="G16" s="130">
        <f t="shared" si="1"/>
        <v>0</v>
      </c>
      <c r="H16" s="390"/>
    </row>
  </sheetData>
  <phoneticPr fontId="1"/>
  <hyperlinks>
    <hyperlink ref="C7" r:id="rId1" display="http://www.ebyte.it/library/educards/constants/ConstantsOfPhysicsAndMath.html" xr:uid="{00000000-0004-0000-1500-000000000000}"/>
  </hyperlinks>
  <printOptions horizontalCentered="1" verticalCentered="1"/>
  <pageMargins left="0.70866141732283472" right="0.70866141732283472" top="0.74803149606299213" bottom="0.74803149606299213" header="0.31496062992125984" footer="0.31496062992125984"/>
  <pageSetup paperSize="9" scale="150" fitToWidth="0" fitToHeight="0" orientation="landscape" r:id="rId2"/>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K123"/>
  <sheetViews>
    <sheetView workbookViewId="0">
      <selection activeCell="D39" sqref="D39"/>
    </sheetView>
  </sheetViews>
  <sheetFormatPr defaultColWidth="9" defaultRowHeight="11.5" x14ac:dyDescent="0.2"/>
  <cols>
    <col min="1" max="1" width="2.7265625" style="14" customWidth="1"/>
    <col min="2" max="2" width="26.81640625" style="14" customWidth="1"/>
    <col min="3" max="3" width="8.6328125" style="14" customWidth="1"/>
    <col min="4" max="4" width="14.1796875" style="14" customWidth="1"/>
    <col min="5" max="5" width="3.453125" style="14" customWidth="1"/>
    <col min="6" max="7" width="13.81640625" style="14" customWidth="1"/>
    <col min="8" max="8" width="7" style="14" customWidth="1"/>
    <col min="9" max="9" width="2.7265625" style="288" customWidth="1"/>
    <col min="10" max="10" width="3.6328125" style="14" customWidth="1"/>
    <col min="11" max="11" width="9.1796875" style="14" customWidth="1"/>
    <col min="12" max="12" width="14.63281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80" t="s">
        <v>26</v>
      </c>
      <c r="B1" s="17" t="s">
        <v>42</v>
      </c>
      <c r="C1" s="18" t="str">
        <f>Rydberg!C1</f>
        <v>Unit Symbol</v>
      </c>
      <c r="D1" s="17" t="s">
        <v>43</v>
      </c>
      <c r="E1" s="18" t="s">
        <v>44</v>
      </c>
      <c r="F1" s="17" t="s">
        <v>55</v>
      </c>
      <c r="G1" s="17" t="s">
        <v>107</v>
      </c>
      <c r="H1" s="18" t="str">
        <f>Rydberg!H$1</f>
        <v>difference</v>
      </c>
      <c r="I1" s="293" t="s">
        <v>724</v>
      </c>
      <c r="J1" s="19"/>
      <c r="K1" s="56" t="s">
        <v>46</v>
      </c>
      <c r="L1" s="20"/>
    </row>
    <row r="2" spans="1:37" ht="13.5" customHeight="1" x14ac:dyDescent="0.2">
      <c r="A2" s="581"/>
      <c r="B2" s="2" t="str">
        <f>Rydberg!B2</f>
        <v>Local Time</v>
      </c>
      <c r="C2" s="2" t="str">
        <f>Rydberg!C2</f>
        <v>s</v>
      </c>
      <c r="D2" s="21"/>
      <c r="E2" s="8"/>
      <c r="F2" s="8"/>
      <c r="G2" s="8"/>
      <c r="H2" s="8"/>
      <c r="I2" s="278"/>
      <c r="J2" s="8"/>
      <c r="K2" s="57"/>
      <c r="L2" s="22"/>
      <c r="M2" s="23"/>
      <c r="N2" s="24"/>
      <c r="O2" s="24"/>
      <c r="P2" s="24"/>
      <c r="Q2" s="24"/>
      <c r="R2" s="24"/>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123">
        <f>D$40*12*12*12</f>
        <v>9.1441821981489202E-8</v>
      </c>
      <c r="E3" s="8">
        <v>6</v>
      </c>
      <c r="F3" s="21">
        <f t="shared" ref="F3:F30" si="0">D3*POWER(12,E3)</f>
        <v>0.27304381736757505</v>
      </c>
      <c r="G3" s="21"/>
      <c r="H3" s="26"/>
      <c r="I3" s="279"/>
      <c r="J3" s="8">
        <v>-3</v>
      </c>
      <c r="K3" s="58">
        <f>F3/POWER(10,J3)</f>
        <v>273.04381736757506</v>
      </c>
      <c r="L3" s="118" t="str">
        <f>Rydberg!L3</f>
        <v>mm</v>
      </c>
      <c r="M3" s="23"/>
      <c r="N3" s="82">
        <f>-LOG(F3)/(LOG(12)-LOG(10))</f>
        <v>7.1199643987547701</v>
      </c>
      <c r="O3" s="24"/>
      <c r="P3" s="83">
        <f>POWER(12,N3)*F3/POWER(10,N3)</f>
        <v>0.99999999999999856</v>
      </c>
      <c r="Q3" s="24"/>
      <c r="R3" s="24"/>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123">
        <f>D$3/D$35</f>
        <v>3.0501708612525935E-16</v>
      </c>
      <c r="E4" s="8">
        <v>14</v>
      </c>
      <c r="F4" s="21">
        <f t="shared" si="0"/>
        <v>0.39161706887911157</v>
      </c>
      <c r="G4" s="21"/>
      <c r="H4" s="253"/>
      <c r="I4" s="280"/>
      <c r="J4" s="8">
        <v>-3</v>
      </c>
      <c r="K4" s="58">
        <f t="shared" ref="K4:K30" si="1">F4/POWER(10,J4)</f>
        <v>391.61706887911157</v>
      </c>
      <c r="L4" s="118" t="str">
        <f>Rydberg!L4</f>
        <v>ms</v>
      </c>
      <c r="M4" s="23"/>
      <c r="N4" s="82">
        <f t="shared" ref="N4:N30" si="2">-LOG(F4)/(LOG(12)-LOG(10))</f>
        <v>5.1418537567617939</v>
      </c>
      <c r="O4" s="24"/>
      <c r="P4" s="83">
        <f t="shared" ref="P4:P30" si="3">POWER(12,N4)*F4/POWER(10,N4)</f>
        <v>0.99999999999999689</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D$36/D$4</f>
        <v>3.4574188319833416E-19</v>
      </c>
      <c r="E5" s="8">
        <v>16</v>
      </c>
      <c r="F5" s="21">
        <f t="shared" si="0"/>
        <v>6.392223184409826E-2</v>
      </c>
      <c r="G5" s="21"/>
      <c r="H5" s="21"/>
      <c r="I5" s="278"/>
      <c r="J5" s="8">
        <v>-3</v>
      </c>
      <c r="K5" s="58">
        <f t="shared" si="1"/>
        <v>63.922231844098256</v>
      </c>
      <c r="L5" s="118" t="str">
        <f>Rydberg!L5</f>
        <v>mJ</v>
      </c>
      <c r="M5" s="23"/>
      <c r="N5" s="82">
        <f t="shared" si="2"/>
        <v>15.083724109663605</v>
      </c>
      <c r="O5" s="24"/>
      <c r="P5" s="83">
        <f t="shared" si="3"/>
        <v>0.99999999999999545</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25041.982661656519</v>
      </c>
      <c r="E6" s="132">
        <v>-8</v>
      </c>
      <c r="F6" s="135">
        <f t="shared" si="0"/>
        <v>5.8239648093430745E-5</v>
      </c>
      <c r="G6" s="21"/>
      <c r="H6" s="21"/>
      <c r="I6" s="278"/>
      <c r="J6" s="132">
        <v>-6</v>
      </c>
      <c r="K6" s="136">
        <f t="shared" si="1"/>
        <v>58.239648093430745</v>
      </c>
      <c r="L6" s="133" t="str">
        <f>Rydberg!L6</f>
        <v>μK</v>
      </c>
      <c r="M6" s="23"/>
      <c r="N6" s="82">
        <f t="shared" si="2"/>
        <v>53.482124483314074</v>
      </c>
      <c r="O6" s="24"/>
      <c r="P6" s="83">
        <f t="shared" si="3"/>
        <v>0.99999999999999412</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24</v>
      </c>
      <c r="F7" s="21">
        <f t="shared" si="0"/>
        <v>132.00762049838045</v>
      </c>
      <c r="G7" s="21"/>
      <c r="H7" s="21"/>
      <c r="I7" s="278"/>
      <c r="J7" s="8">
        <v>0</v>
      </c>
      <c r="K7" s="58">
        <f t="shared" si="1"/>
        <v>132.00762049838045</v>
      </c>
      <c r="L7" s="118" t="str">
        <f>Rydberg!L7</f>
        <v>mol</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3.8468972572071009E-36</v>
      </c>
      <c r="E8" s="8">
        <v>32</v>
      </c>
      <c r="F8" s="21">
        <f t="shared" si="0"/>
        <v>0.13149536982944637</v>
      </c>
      <c r="G8" s="21"/>
      <c r="H8" s="21"/>
      <c r="I8" s="278"/>
      <c r="J8" s="8">
        <v>-3</v>
      </c>
      <c r="K8" s="58">
        <f t="shared" si="1"/>
        <v>131.49536982944636</v>
      </c>
      <c r="L8" s="118" t="str">
        <f>Rydberg!L8</f>
        <v>g</v>
      </c>
      <c r="M8" s="23"/>
      <c r="N8" s="82">
        <f t="shared" si="2"/>
        <v>11.127502825677652</v>
      </c>
      <c r="O8" s="24"/>
      <c r="P8" s="83">
        <f t="shared" si="3"/>
        <v>0.99999999999999545</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1.1335164452274343E-3</v>
      </c>
      <c r="E9" s="8">
        <v>2</v>
      </c>
      <c r="F9" s="21">
        <f t="shared" si="0"/>
        <v>0.16322636811275054</v>
      </c>
      <c r="G9" s="21"/>
      <c r="H9" s="21"/>
      <c r="I9" s="278"/>
      <c r="J9" s="8">
        <v>-3</v>
      </c>
      <c r="K9" s="58">
        <f t="shared" si="1"/>
        <v>163.22636811275055</v>
      </c>
      <c r="L9" s="118" t="str">
        <f>Rydberg!L9</f>
        <v>mW</v>
      </c>
      <c r="M9" s="23"/>
      <c r="N9" s="82">
        <f t="shared" si="2"/>
        <v>9.9418703529018106</v>
      </c>
      <c r="O9" s="24"/>
      <c r="P9" s="83">
        <f t="shared" si="3"/>
        <v>0.99999999999999867</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3.7810038744451476E-12</v>
      </c>
      <c r="E10" s="8">
        <v>10</v>
      </c>
      <c r="F10" s="21">
        <f t="shared" si="0"/>
        <v>0.23410979402637536</v>
      </c>
      <c r="G10" s="21"/>
      <c r="H10" s="21"/>
      <c r="I10" s="278"/>
      <c r="J10" s="8">
        <v>-3</v>
      </c>
      <c r="K10" s="58">
        <f t="shared" si="1"/>
        <v>234.10979402637534</v>
      </c>
      <c r="L10" s="118" t="str">
        <f>Rydberg!L10</f>
        <v>mN</v>
      </c>
      <c r="M10" s="23"/>
      <c r="N10" s="82">
        <f t="shared" si="2"/>
        <v>7.9637597109088354</v>
      </c>
      <c r="O10" s="24"/>
      <c r="P10" s="83">
        <f t="shared" si="3"/>
        <v>0.99999999999999656</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452.18627969288605</v>
      </c>
      <c r="E11" s="8">
        <v>-2</v>
      </c>
      <c r="F11" s="21">
        <f t="shared" si="0"/>
        <v>3.1401824978672641</v>
      </c>
      <c r="G11" s="21"/>
      <c r="H11" s="21"/>
      <c r="I11" s="278"/>
      <c r="J11" s="8">
        <v>0</v>
      </c>
      <c r="K11" s="58">
        <f t="shared" si="1"/>
        <v>3.1401824978672641</v>
      </c>
      <c r="L11" s="118" t="str">
        <f>Rydberg!L11</f>
        <v>Pa</v>
      </c>
      <c r="M11" s="23"/>
      <c r="N11" s="82">
        <f t="shared" si="2"/>
        <v>-6.2761690866007047</v>
      </c>
      <c r="O11" s="24"/>
      <c r="P11" s="83">
        <f t="shared" si="3"/>
        <v>1.0000000000000013</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SQRT(D$36/29.9792458)</f>
        <v>1.8755460382902114E-18</v>
      </c>
      <c r="E12" s="8">
        <v>15</v>
      </c>
      <c r="F12" s="21">
        <f t="shared" si="0"/>
        <v>2.8896578276067276E-2</v>
      </c>
      <c r="G12" s="21"/>
      <c r="H12" s="21"/>
      <c r="I12" s="278"/>
      <c r="J12" s="8">
        <v>-3</v>
      </c>
      <c r="K12" s="58">
        <f t="shared" si="1"/>
        <v>28.896578276067274</v>
      </c>
      <c r="L12" s="118" t="str">
        <f>Rydberg!L12</f>
        <v>mC</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6.1489868063325254E-3</v>
      </c>
      <c r="E13" s="8">
        <v>1</v>
      </c>
      <c r="F13" s="21">
        <f t="shared" si="0"/>
        <v>7.3787841675990312E-2</v>
      </c>
      <c r="G13" s="21"/>
      <c r="H13" s="21"/>
      <c r="I13" s="278"/>
      <c r="J13" s="8">
        <v>-3</v>
      </c>
      <c r="K13" s="58">
        <f t="shared" si="1"/>
        <v>73.787841675990308</v>
      </c>
      <c r="L13" s="118" t="str">
        <f>Rydberg!L13</f>
        <v>mA</v>
      </c>
      <c r="M13" s="23"/>
      <c r="N13" s="82">
        <f t="shared" si="2"/>
        <v>14.296506423711078</v>
      </c>
      <c r="O13" s="24"/>
      <c r="P13" s="83">
        <f t="shared" si="3"/>
        <v>0.99999999999999822</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67244.797545452238</v>
      </c>
      <c r="E14" s="8">
        <v>-5</v>
      </c>
      <c r="F14" s="21">
        <f t="shared" si="0"/>
        <v>0.2702417596830482</v>
      </c>
      <c r="G14" s="21"/>
      <c r="H14" s="21"/>
      <c r="I14" s="278"/>
      <c r="J14" s="8">
        <v>-3</v>
      </c>
      <c r="K14" s="58">
        <f t="shared" si="1"/>
        <v>270.2417596830482</v>
      </c>
      <c r="L14" s="118" t="str">
        <f>Rydberg!L14</f>
        <v>mA/m</v>
      </c>
      <c r="M14" s="23"/>
      <c r="N14" s="82">
        <f t="shared" si="2"/>
        <v>7.1765420249563077</v>
      </c>
      <c r="O14" s="24"/>
      <c r="P14" s="83">
        <f t="shared" si="3"/>
        <v>0.99999999999999967</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2.2430450050031688E-4</v>
      </c>
      <c r="E15" s="8">
        <v>3</v>
      </c>
      <c r="F15" s="21">
        <f t="shared" si="0"/>
        <v>0.38759817686454756</v>
      </c>
      <c r="G15" s="21"/>
      <c r="H15" s="21"/>
      <c r="I15" s="278"/>
      <c r="J15" s="8">
        <v>-3</v>
      </c>
      <c r="K15" s="58">
        <f t="shared" si="1"/>
        <v>387.59817686454755</v>
      </c>
      <c r="L15" s="118" t="str">
        <f>Rydberg!L15</f>
        <v>mC/m^2</v>
      </c>
      <c r="M15" s="23"/>
      <c r="N15" s="82">
        <f t="shared" si="2"/>
        <v>5.1984313829633333</v>
      </c>
      <c r="O15" s="24"/>
      <c r="P15" s="83">
        <f t="shared" si="3"/>
        <v>0.99999999999999944</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tr">
        <f>Rydberg!C16</f>
        <v>Ω</v>
      </c>
      <c r="D16" s="21">
        <f>Rydberg!D16</f>
        <v>29.979245795870352</v>
      </c>
      <c r="E16" s="8">
        <v>0</v>
      </c>
      <c r="F16" s="21">
        <f t="shared" si="0"/>
        <v>29.979245795870352</v>
      </c>
      <c r="G16" s="21"/>
      <c r="H16" s="21"/>
      <c r="I16" s="278"/>
      <c r="J16" s="8">
        <v>0</v>
      </c>
      <c r="K16" s="58">
        <f t="shared" si="1"/>
        <v>29.979245795870352</v>
      </c>
      <c r="L16" s="118" t="str">
        <f>Rydberg!L16</f>
        <v>Ω</v>
      </c>
      <c r="M16" s="23"/>
      <c r="N16" s="82">
        <f t="shared" si="2"/>
        <v>-18.651142493764809</v>
      </c>
      <c r="O16" s="24"/>
      <c r="P16" s="83">
        <f t="shared" si="3"/>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0.18434198686260661</v>
      </c>
      <c r="E17" s="8">
        <v>1</v>
      </c>
      <c r="F17" s="21">
        <f t="shared" si="0"/>
        <v>2.2121038423512793</v>
      </c>
      <c r="G17" s="21"/>
      <c r="H17" s="21"/>
      <c r="I17" s="278"/>
      <c r="J17" s="8">
        <v>0</v>
      </c>
      <c r="K17" s="58">
        <f t="shared" si="1"/>
        <v>2.2121038423512793</v>
      </c>
      <c r="L17" s="118" t="str">
        <f>Rydberg!L17</f>
        <v>V</v>
      </c>
      <c r="M17" s="23"/>
      <c r="N17" s="82">
        <f t="shared" si="2"/>
        <v>-4.354636070053731</v>
      </c>
      <c r="O17" s="24"/>
      <c r="P17" s="83">
        <f t="shared" si="3"/>
        <v>1.0000000000000013</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1.0174274836736404E-17</v>
      </c>
      <c r="E18" s="8">
        <v>14</v>
      </c>
      <c r="F18" s="21">
        <f t="shared" si="0"/>
        <v>1.3062939326280748E-2</v>
      </c>
      <c r="G18" s="21"/>
      <c r="H18" s="21"/>
      <c r="I18" s="278"/>
      <c r="J18" s="8">
        <v>-3</v>
      </c>
      <c r="K18" s="58">
        <f t="shared" si="1"/>
        <v>13.062939326280748</v>
      </c>
      <c r="L18" s="118" t="str">
        <f>Rydberg!L18</f>
        <v>mF</v>
      </c>
      <c r="M18" s="115"/>
      <c r="N18" s="116">
        <f t="shared" si="2"/>
        <v>23.792996250526603</v>
      </c>
      <c r="O18" s="76"/>
      <c r="P18" s="117">
        <f t="shared" si="3"/>
        <v>0.99999999999999223</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15</v>
      </c>
      <c r="F19" s="21">
        <f t="shared" si="0"/>
        <v>0.8662976227978284</v>
      </c>
      <c r="G19" s="21"/>
      <c r="H19" s="21"/>
      <c r="I19" s="278"/>
      <c r="J19" s="8">
        <v>0</v>
      </c>
      <c r="K19" s="58">
        <f t="shared" si="1"/>
        <v>0.8662976227978284</v>
      </c>
      <c r="L19" s="118" t="str">
        <f>Rydberg!L19</f>
        <v>Wb</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6.7244797536189244E-3</v>
      </c>
      <c r="E20" s="8">
        <v>3</v>
      </c>
      <c r="F20" s="21">
        <f t="shared" si="0"/>
        <v>11.619901014253502</v>
      </c>
      <c r="G20" s="21"/>
      <c r="H20" s="21"/>
      <c r="I20" s="278"/>
      <c r="J20" s="8">
        <v>0</v>
      </c>
      <c r="K20" s="58">
        <f t="shared" si="1"/>
        <v>11.619901014253502</v>
      </c>
      <c r="L20" s="118" t="str">
        <f>Rydberg!L20</f>
        <v>T</v>
      </c>
      <c r="M20" s="115"/>
      <c r="N20" s="116">
        <f t="shared" si="2"/>
        <v>-13.452711110801475</v>
      </c>
      <c r="O20" s="76"/>
      <c r="P20" s="117">
        <f t="shared" si="3"/>
        <v>1.000000000000006</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9.1441821968893059E-15</v>
      </c>
      <c r="E21" s="30">
        <v>14</v>
      </c>
      <c r="F21" s="29">
        <f t="shared" si="0"/>
        <v>11.740384365785175</v>
      </c>
      <c r="G21" s="29"/>
      <c r="H21" s="29"/>
      <c r="I21" s="281"/>
      <c r="J21" s="30">
        <v>0</v>
      </c>
      <c r="K21" s="59">
        <f t="shared" si="1"/>
        <v>11.740384365785175</v>
      </c>
      <c r="L21" s="119" t="str">
        <f>Rydberg!L21</f>
        <v>H</v>
      </c>
      <c r="M21" s="115"/>
      <c r="N21" s="116">
        <f t="shared" si="2"/>
        <v>-13.509288737003017</v>
      </c>
      <c r="O21" s="76"/>
      <c r="P21" s="117">
        <f t="shared" si="3"/>
        <v>1.0000000000000049</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3278504862476250.5</v>
      </c>
      <c r="E22" s="30">
        <f>-E4</f>
        <v>-14</v>
      </c>
      <c r="F22" s="29">
        <f t="shared" si="0"/>
        <v>2.553514847711325</v>
      </c>
      <c r="G22" s="21"/>
      <c r="H22" s="21"/>
      <c r="I22" s="278"/>
      <c r="J22" s="8">
        <v>0</v>
      </c>
      <c r="K22" s="58">
        <f t="shared" si="1"/>
        <v>2.553514847711325</v>
      </c>
      <c r="L22" s="118" t="s">
        <v>674</v>
      </c>
      <c r="M22" s="23"/>
      <c r="N22" s="82">
        <f t="shared" si="2"/>
        <v>-5.1418537567617939</v>
      </c>
      <c r="O22" s="24"/>
      <c r="P22" s="83">
        <f t="shared" si="3"/>
        <v>1.0000000000000031</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0.80120993343940394</v>
      </c>
      <c r="E23" s="8">
        <f>E9</f>
        <v>2</v>
      </c>
      <c r="F23" s="21">
        <f t="shared" si="0"/>
        <v>115.37423041527417</v>
      </c>
      <c r="G23" s="21"/>
      <c r="H23" s="21"/>
      <c r="I23" s="278"/>
      <c r="J23" s="8">
        <v>0</v>
      </c>
      <c r="K23" s="58">
        <f t="shared" si="1"/>
        <v>115.37423041527417</v>
      </c>
      <c r="L23" s="118" t="s">
        <v>659</v>
      </c>
      <c r="M23" s="23"/>
      <c r="N23" s="82">
        <f t="shared" si="2"/>
        <v>-26.042894246875239</v>
      </c>
      <c r="O23" s="24"/>
      <c r="P23" s="83">
        <f t="shared" si="3"/>
        <v>1.0000000000000142</v>
      </c>
      <c r="Q23" s="24"/>
      <c r="R23" s="258">
        <f>1/K58</f>
        <v>0.96627824965538867</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0.80120993343940394</v>
      </c>
      <c r="E24" s="8">
        <f>E9</f>
        <v>2</v>
      </c>
      <c r="F24" s="21">
        <f t="shared" si="0"/>
        <v>115.37423041527417</v>
      </c>
      <c r="G24" s="21"/>
      <c r="H24" s="21"/>
      <c r="I24" s="278"/>
      <c r="J24" s="8">
        <v>0</v>
      </c>
      <c r="K24" s="58">
        <f t="shared" si="1"/>
        <v>115.37423041527417</v>
      </c>
      <c r="L24" s="118" t="s">
        <v>662</v>
      </c>
      <c r="M24" s="23"/>
      <c r="N24" s="82">
        <f t="shared" si="2"/>
        <v>-26.042894246875239</v>
      </c>
      <c r="O24" s="24"/>
      <c r="P24" s="83">
        <f t="shared" si="3"/>
        <v>1.0000000000000142</v>
      </c>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6.3758260680604792E-2</v>
      </c>
      <c r="E25" s="8">
        <f>E9</f>
        <v>2</v>
      </c>
      <c r="F25" s="21">
        <f t="shared" si="0"/>
        <v>9.1811895380070894</v>
      </c>
      <c r="G25" s="21"/>
      <c r="H25" s="21"/>
      <c r="I25" s="278"/>
      <c r="J25" s="8">
        <v>0</v>
      </c>
      <c r="K25" s="58">
        <f t="shared" si="1"/>
        <v>9.1811895380070894</v>
      </c>
      <c r="L25" s="118" t="s">
        <v>662</v>
      </c>
      <c r="M25" s="23"/>
      <c r="N25" s="82">
        <f t="shared" si="2"/>
        <v>-12.160694623987794</v>
      </c>
      <c r="O25" s="24"/>
      <c r="P25" s="83">
        <f t="shared" si="3"/>
        <v>1.0000000000000044</v>
      </c>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95820091987637.781</v>
      </c>
      <c r="E26" s="8">
        <f>E9-2*E3</f>
        <v>-10</v>
      </c>
      <c r="F26" s="21">
        <f t="shared" si="0"/>
        <v>1547.5479809022074</v>
      </c>
      <c r="G26" s="21"/>
      <c r="H26" s="21"/>
      <c r="I26" s="278"/>
      <c r="J26" s="8">
        <v>3</v>
      </c>
      <c r="K26" s="58">
        <f t="shared" si="1"/>
        <v>1.5475479809022075</v>
      </c>
      <c r="L26" s="118" t="s">
        <v>663</v>
      </c>
      <c r="M26" s="23"/>
      <c r="N26" s="82">
        <f t="shared" si="2"/>
        <v>-40.282823044384777</v>
      </c>
      <c r="O26" s="24"/>
      <c r="P26" s="83">
        <f t="shared" si="3"/>
        <v>1.0000000000000171</v>
      </c>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5.4440854060612327E-9</v>
      </c>
      <c r="E27" s="8">
        <f>E7-E4</f>
        <v>10</v>
      </c>
      <c r="F27" s="21">
        <f t="shared" si="0"/>
        <v>337.08341895365629</v>
      </c>
      <c r="G27" s="21"/>
      <c r="H27" s="21"/>
      <c r="I27" s="278"/>
      <c r="J27" s="8">
        <v>0</v>
      </c>
      <c r="K27" s="58">
        <f t="shared" si="1"/>
        <v>337.08341895365629</v>
      </c>
      <c r="L27" s="118" t="s">
        <v>666</v>
      </c>
      <c r="M27" s="23"/>
      <c r="N27" s="82">
        <f t="shared" si="2"/>
        <v>-31.923435363628787</v>
      </c>
      <c r="O27" s="24"/>
      <c r="P27" s="83">
        <f t="shared" si="3"/>
        <v>1.0000000000000098</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3278504862476250.5</v>
      </c>
      <c r="E28" s="8">
        <f>-E4</f>
        <v>-14</v>
      </c>
      <c r="F28" s="21">
        <f t="shared" si="0"/>
        <v>2.553514847711325</v>
      </c>
      <c r="G28" s="21"/>
      <c r="H28" s="21"/>
      <c r="I28" s="278"/>
      <c r="J28" s="8">
        <v>0</v>
      </c>
      <c r="K28" s="58">
        <f t="shared" si="1"/>
        <v>2.553514847711325</v>
      </c>
      <c r="L28" s="118" t="s">
        <v>668</v>
      </c>
      <c r="M28" s="23"/>
      <c r="N28" s="82">
        <f t="shared" si="2"/>
        <v>-5.1418537567617939</v>
      </c>
      <c r="O28" s="24"/>
      <c r="P28" s="83">
        <f t="shared" si="3"/>
        <v>1.0000000000000031</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-16</v>
      </c>
      <c r="F29" s="21">
        <f t="shared" si="0"/>
        <v>0.48611773879952869</v>
      </c>
      <c r="G29" s="21"/>
      <c r="H29" s="21"/>
      <c r="I29" s="278"/>
      <c r="J29" s="8">
        <v>0</v>
      </c>
      <c r="K29" s="58">
        <f t="shared" si="1"/>
        <v>0.48611773879952869</v>
      </c>
      <c r="L29" s="118" t="s">
        <v>670</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-16</v>
      </c>
      <c r="F30" s="32">
        <f t="shared" si="0"/>
        <v>0.48611773879952869</v>
      </c>
      <c r="G30" s="32"/>
      <c r="H30" s="32"/>
      <c r="I30" s="282"/>
      <c r="J30" s="33">
        <v>0</v>
      </c>
      <c r="K30" s="60">
        <f t="shared" si="1"/>
        <v>0.48611773879952869</v>
      </c>
      <c r="L30" s="124" t="s">
        <v>671</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34" t="s">
        <v>42</v>
      </c>
      <c r="C31" s="52" t="str">
        <f>Rydberg!C31</f>
        <v>Unit Symbol</v>
      </c>
      <c r="D31" s="34" t="s">
        <v>43</v>
      </c>
      <c r="E31" s="52" t="s">
        <v>54</v>
      </c>
      <c r="F31" s="34" t="s">
        <v>47</v>
      </c>
      <c r="G31" s="34" t="s">
        <v>92</v>
      </c>
      <c r="H31" s="18" t="str">
        <f>Rydberg!H$1</f>
        <v>difference</v>
      </c>
      <c r="I31" s="283"/>
      <c r="J31" s="583" t="str">
        <f>Rydberg!J31</f>
        <v>0123456789XE</v>
      </c>
      <c r="K31" s="584">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4">IF($E32&gt;=M$31,MID($J$31,IF($E32&gt;M$31,INT(K32),ROUND(K32,0))+1,1),"")</f>
        <v>1</v>
      </c>
      <c r="N32" s="24">
        <f>(K32-INT(K32))*12</f>
        <v>0.60982523111040177</v>
      </c>
      <c r="O32" s="41" t="str">
        <f t="shared" ref="O32:O70" si="5">IF($E32&gt;=O$31,MID($J$31,IF($E32&gt;O$31,INT(N32),ROUND(N32,0))+1,1),"")</f>
        <v>0</v>
      </c>
      <c r="P32" s="24">
        <f>(N32-INT(N32))*12</f>
        <v>7.3179027733248212</v>
      </c>
      <c r="Q32" s="41" t="str">
        <f t="shared" ref="Q32:Q70" si="6">IF($E32&gt;=Q$31,MID($J$31,IF($E32&gt;Q$31,INT(P32),ROUND(P32,0))+1,1),"")</f>
        <v>7</v>
      </c>
      <c r="R32" s="24">
        <f>(P32-INT(P32))*12</f>
        <v>3.8148332798978544</v>
      </c>
      <c r="S32" s="41" t="str">
        <f t="shared" ref="S32:S70" si="7">IF($E32&gt;=S$31,MID($J$31,IF($E32&gt;S$31,INT(R32),ROUND(R32,0))+1,1),"")</f>
        <v>3</v>
      </c>
      <c r="T32" s="24">
        <f>(R32-INT(R32))*12</f>
        <v>9.7779993587742524</v>
      </c>
      <c r="U32" s="41" t="str">
        <f t="shared" ref="U32:U70" si="8">IF($E32&gt;=U$31,MID($J$31,IF($E32&gt;U$31,INT(T32),ROUND(T32,0))+1,1),"")</f>
        <v>9</v>
      </c>
      <c r="V32" s="24">
        <f>(T32-INT(T32))*12</f>
        <v>9.335992305291029</v>
      </c>
      <c r="W32" s="41" t="str">
        <f t="shared" ref="W32:W70" si="9">IF($E32&gt;=W$31,MID($J$31,IF($E32&gt;W$31,INT(V32),ROUND(V32,0))+1,1),"")</f>
        <v>9</v>
      </c>
      <c r="X32" s="24">
        <f>(V32-INT(V32))*12</f>
        <v>4.0319076634923476</v>
      </c>
      <c r="Y32" s="41" t="str">
        <f t="shared" ref="Y32:Y70" si="10">IF($E32&gt;=Y$31,MID($J$31,IF($E32&gt;Y$31,INT(X32),ROUND(X32,0))+1,1),"")</f>
        <v>4</v>
      </c>
      <c r="Z32" s="24">
        <f>(X32-INT(X32))*12</f>
        <v>0.38289196190817165</v>
      </c>
      <c r="AA32" s="41" t="str">
        <f t="shared" ref="AA32:AA70" si="11">IF($E32&gt;=AA$31,MID($J$31,IF($E32&gt;AA$31,INT(Z32),ROUND(Z32,0))+1,1),"")</f>
        <v>0</v>
      </c>
      <c r="AB32" s="24">
        <f>(Z32-INT(Z32))*12</f>
        <v>4.5947035428980598</v>
      </c>
      <c r="AC32" s="41" t="str">
        <f t="shared" ref="AC32:AC70" si="12">IF($E32&gt;=AC$31,MID($J$31,IF($E32&gt;AC$31,INT(AB32),ROUND(AB32,0))+1,1),"")</f>
        <v>4</v>
      </c>
      <c r="AD32" s="24">
        <f>(AB32-INT(AB32))*12</f>
        <v>7.1364425147767179</v>
      </c>
      <c r="AE32" s="41" t="str">
        <f t="shared" ref="AE32:AE70" si="13">IF($E32&gt;=AE$31,MID($J$31,IF($E32&gt;AE$31,INT(AD32),ROUND(AD32,0))+1,1),"")</f>
        <v>7</v>
      </c>
      <c r="AF32" s="24">
        <f>(AD32-INT(AD32))*12</f>
        <v>1.6373101773206145</v>
      </c>
      <c r="AG32" s="41" t="str">
        <f t="shared" ref="AG32:AG70" si="14">IF($E32&gt;=AG$31,MID($J$31,IF($E32&gt;AG$31,INT(AF32),ROUND(AF32,0))+1,1),"")</f>
        <v>2</v>
      </c>
      <c r="AH32" s="24">
        <f>(AF32-INT(AF32))*12</f>
        <v>7.6477221278473735</v>
      </c>
      <c r="AI32" s="41" t="str">
        <f t="shared" ref="AI32:AI70" si="15">IF($E32&gt;=AI$31,MID($J$31,IF($E32&gt;AI$31,INT(AH32),ROUND(AH32,0))+1,1),"")</f>
        <v/>
      </c>
      <c r="AJ32" s="24">
        <f>(AH32-INT(AH32))*12</f>
        <v>7.7726655341684818</v>
      </c>
      <c r="AK32" s="41" t="str">
        <f t="shared" ref="AK32:AK70" si="16">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7.9496847203390844E+25</v>
      </c>
      <c r="G33" s="37" t="str">
        <f t="shared" ref="G33:G70" si="17">M33&amp;";"&amp;O33&amp;Q33&amp;S33&amp;U33&amp;W33&amp;Y33&amp;AA33&amp;AC33&amp;AE33&amp;AG33&amp;AI33&amp;AK33</f>
        <v>1;0000000000</v>
      </c>
      <c r="H33" s="275">
        <f t="shared" ref="H33:H50" si="18">K33*POWER(12,I33)/ROUND(K33*POWER(12,I33),0)-1</f>
        <v>1.000088900582341E-12</v>
      </c>
      <c r="I33" s="278"/>
      <c r="J33" s="38">
        <v>24</v>
      </c>
      <c r="K33" s="61">
        <f>F33/POWER(12,J33)+0.000000000001</f>
        <v>1.0000000000010001</v>
      </c>
      <c r="L33" s="39" t="str">
        <f>INDEX(powers!$H$2:$H$75,33+J33)</f>
        <v>ter-cosmic</v>
      </c>
      <c r="M33" s="40" t="str">
        <f t="shared" si="4"/>
        <v>1</v>
      </c>
      <c r="N33" s="24">
        <f t="shared" ref="N33:N70" si="19">(K33-INT(K33))*12</f>
        <v>1.2001066806988092E-11</v>
      </c>
      <c r="O33" s="41" t="str">
        <f t="shared" si="5"/>
        <v>0</v>
      </c>
      <c r="P33" s="24">
        <f t="shared" ref="P33:P70" si="20">(N33-INT(N33))*12</f>
        <v>1.4401280168385711E-10</v>
      </c>
      <c r="Q33" s="41" t="str">
        <f t="shared" si="6"/>
        <v>0</v>
      </c>
      <c r="R33" s="24">
        <f t="shared" ref="R33:R70" si="21">(P33-INT(P33))*12</f>
        <v>1.7281536202062853E-9</v>
      </c>
      <c r="S33" s="41" t="str">
        <f t="shared" si="7"/>
        <v>0</v>
      </c>
      <c r="T33" s="24">
        <f t="shared" ref="T33:T70" si="22">(R33-INT(R33))*12</f>
        <v>2.0737843442475423E-8</v>
      </c>
      <c r="U33" s="41" t="str">
        <f t="shared" si="8"/>
        <v>0</v>
      </c>
      <c r="V33" s="24">
        <f t="shared" ref="V33:V70" si="23">(T33-INT(T33))*12</f>
        <v>2.4885412130970508E-7</v>
      </c>
      <c r="W33" s="41" t="str">
        <f t="shared" si="9"/>
        <v>0</v>
      </c>
      <c r="X33" s="24">
        <f t="shared" ref="X33:X70" si="24">(V33-INT(V33))*12</f>
        <v>2.9862494557164609E-6</v>
      </c>
      <c r="Y33" s="41" t="str">
        <f t="shared" si="10"/>
        <v>0</v>
      </c>
      <c r="Z33" s="24">
        <f t="shared" ref="Z33:Z70" si="25">(X33-INT(X33))*12</f>
        <v>3.5834993468597531E-5</v>
      </c>
      <c r="AA33" s="41" t="str">
        <f t="shared" si="11"/>
        <v>0</v>
      </c>
      <c r="AB33" s="24">
        <f t="shared" ref="AB33:AB70" si="26">(Z33-INT(Z33))*12</f>
        <v>4.3001992162317038E-4</v>
      </c>
      <c r="AC33" s="41" t="str">
        <f t="shared" si="12"/>
        <v>0</v>
      </c>
      <c r="AD33" s="24">
        <f t="shared" ref="AD33:AD70" si="27">(AB33-INT(AB33))*12</f>
        <v>5.1602390594780445E-3</v>
      </c>
      <c r="AE33" s="41" t="str">
        <f t="shared" si="13"/>
        <v>0</v>
      </c>
      <c r="AF33" s="24">
        <f t="shared" ref="AF33:AF70" si="28">(AD33-INT(AD33))*12</f>
        <v>6.1922868713736534E-2</v>
      </c>
      <c r="AG33" s="41" t="str">
        <f t="shared" si="14"/>
        <v>0</v>
      </c>
      <c r="AH33" s="24">
        <f t="shared" ref="AH33:AH70" si="29">(AF33-INT(AF33))*12</f>
        <v>0.74307442456483841</v>
      </c>
      <c r="AI33" s="41" t="str">
        <f t="shared" si="15"/>
        <v/>
      </c>
      <c r="AJ33" s="24">
        <f t="shared" ref="AJ33:AJ70" si="30">(AH33-INT(AH33))*12</f>
        <v>8.9168930947780609</v>
      </c>
      <c r="AK33" s="41" t="str">
        <f t="shared" si="16"/>
        <v/>
      </c>
    </row>
    <row r="34" spans="1:37" ht="15" customHeight="1" x14ac:dyDescent="0.2">
      <c r="A34" s="581"/>
      <c r="B34" s="3" t="str">
        <f>Rydberg!B34</f>
        <v>Rydberg constant</v>
      </c>
      <c r="C34" s="3" t="str">
        <f>Rydberg!C34</f>
        <v>Ω_1/m</v>
      </c>
      <c r="D34" s="21">
        <f>Rydberg!D34</f>
        <v>10973731.568157</v>
      </c>
      <c r="E34" s="8">
        <v>12</v>
      </c>
      <c r="F34" s="21">
        <f>D34/(1/F$3)</f>
        <v>2996309.5581366527</v>
      </c>
      <c r="G34" s="37" t="str">
        <f t="shared" si="17"/>
        <v>1;005E85684563</v>
      </c>
      <c r="H34" s="275">
        <f t="shared" si="18"/>
        <v>3.4580085280606632E-3</v>
      </c>
      <c r="I34" s="278"/>
      <c r="J34" s="38">
        <v>6</v>
      </c>
      <c r="K34" s="61">
        <f>F34/POWER(12,J34)</f>
        <v>1.0034580085280607</v>
      </c>
      <c r="L34" s="39" t="str">
        <f>INDEX(powers!$H$2:$H$75,33+J34)</f>
        <v>dino cosmic</v>
      </c>
      <c r="M34" s="40" t="str">
        <f t="shared" si="4"/>
        <v>1</v>
      </c>
      <c r="N34" s="24">
        <f t="shared" si="19"/>
        <v>4.1496102336727958E-2</v>
      </c>
      <c r="O34" s="41" t="str">
        <f t="shared" si="5"/>
        <v>0</v>
      </c>
      <c r="P34" s="24">
        <f t="shared" si="20"/>
        <v>0.4979532280407355</v>
      </c>
      <c r="Q34" s="41" t="str">
        <f t="shared" si="6"/>
        <v>0</v>
      </c>
      <c r="R34" s="24">
        <f t="shared" si="21"/>
        <v>5.975438736488826</v>
      </c>
      <c r="S34" s="41" t="str">
        <f t="shared" si="7"/>
        <v>5</v>
      </c>
      <c r="T34" s="24">
        <f t="shared" si="22"/>
        <v>11.705264837865911</v>
      </c>
      <c r="U34" s="41" t="str">
        <f t="shared" si="8"/>
        <v>E</v>
      </c>
      <c r="V34" s="24">
        <f t="shared" si="23"/>
        <v>8.4631780543909372</v>
      </c>
      <c r="W34" s="41" t="str">
        <f t="shared" si="9"/>
        <v>8</v>
      </c>
      <c r="X34" s="24">
        <f t="shared" si="24"/>
        <v>5.5581366526912461</v>
      </c>
      <c r="Y34" s="41" t="str">
        <f t="shared" si="10"/>
        <v>5</v>
      </c>
      <c r="Z34" s="24">
        <f t="shared" si="25"/>
        <v>6.6976398322949535</v>
      </c>
      <c r="AA34" s="41" t="str">
        <f t="shared" si="11"/>
        <v>6</v>
      </c>
      <c r="AB34" s="24">
        <f t="shared" si="26"/>
        <v>8.3716779875394423</v>
      </c>
      <c r="AC34" s="41" t="str">
        <f t="shared" si="12"/>
        <v>8</v>
      </c>
      <c r="AD34" s="24">
        <f t="shared" si="27"/>
        <v>4.4601358504733071</v>
      </c>
      <c r="AE34" s="41" t="str">
        <f t="shared" si="13"/>
        <v>4</v>
      </c>
      <c r="AF34" s="24">
        <f t="shared" si="28"/>
        <v>5.5216302056796849</v>
      </c>
      <c r="AG34" s="41" t="str">
        <f t="shared" si="14"/>
        <v>5</v>
      </c>
      <c r="AH34" s="24">
        <f t="shared" si="29"/>
        <v>6.2595624681562185</v>
      </c>
      <c r="AI34" s="41" t="str">
        <f t="shared" si="15"/>
        <v>6</v>
      </c>
      <c r="AJ34" s="24">
        <f t="shared" si="30"/>
        <v>3.1147496178746223</v>
      </c>
      <c r="AK34" s="41" t="str">
        <f t="shared" si="16"/>
        <v>3</v>
      </c>
    </row>
    <row r="35" spans="1:37" ht="15" customHeight="1" x14ac:dyDescent="0.2">
      <c r="A35" s="581"/>
      <c r="B35" s="3" t="str">
        <f>Rydberg!B35</f>
        <v>Speed of light in vacuum</v>
      </c>
      <c r="C35" s="3" t="str">
        <f>Rydberg!C35</f>
        <v>m/s</v>
      </c>
      <c r="D35" s="21">
        <f>Rydberg!D35</f>
        <v>299792458</v>
      </c>
      <c r="E35" s="8">
        <v>12</v>
      </c>
      <c r="F35" s="21">
        <f>D35/(F$3/F$4)</f>
        <v>429981695.99999994</v>
      </c>
      <c r="G35" s="37" t="e">
        <f t="shared" si="17"/>
        <v>#VALUE!</v>
      </c>
      <c r="H35" s="275">
        <f t="shared" si="18"/>
        <v>0</v>
      </c>
      <c r="I35" s="278"/>
      <c r="J35" s="38">
        <v>8</v>
      </c>
      <c r="K35" s="61">
        <f>F35/POWER(12,J35)</f>
        <v>0.99999999999999989</v>
      </c>
      <c r="L35" s="39" t="str">
        <f>INDEX(powers!$H$2:$H$75,33+J35)</f>
        <v>cosmic</v>
      </c>
      <c r="M35" s="40" t="str">
        <f t="shared" si="4"/>
        <v>1</v>
      </c>
      <c r="N35" s="24">
        <f t="shared" si="19"/>
        <v>-1.3322676295501878E-15</v>
      </c>
      <c r="O35" s="41" t="e">
        <f t="shared" si="5"/>
        <v>#VALUE!</v>
      </c>
      <c r="P35" s="24">
        <f t="shared" si="20"/>
        <v>11.999999999999984</v>
      </c>
      <c r="Q35" s="41" t="str">
        <f t="shared" si="6"/>
        <v/>
      </c>
      <c r="R35" s="24">
        <f t="shared" si="21"/>
        <v>-1.9184653865522705E-13</v>
      </c>
      <c r="S35" s="41" t="e">
        <f t="shared" si="7"/>
        <v>#VALUE!</v>
      </c>
      <c r="T35" s="24">
        <f t="shared" si="22"/>
        <v>11.999999999997698</v>
      </c>
      <c r="U35" s="41" t="str">
        <f t="shared" si="8"/>
        <v>E</v>
      </c>
      <c r="V35" s="24">
        <f t="shared" si="23"/>
        <v>11.999999999972374</v>
      </c>
      <c r="W35" s="41" t="str">
        <f t="shared" si="9"/>
        <v>E</v>
      </c>
      <c r="X35" s="24">
        <f t="shared" si="24"/>
        <v>11.999999999668489</v>
      </c>
      <c r="Y35" s="41" t="str">
        <f t="shared" si="10"/>
        <v>E</v>
      </c>
      <c r="Z35" s="24">
        <f t="shared" si="25"/>
        <v>11.99999999602187</v>
      </c>
      <c r="AA35" s="41" t="str">
        <f t="shared" si="11"/>
        <v>E</v>
      </c>
      <c r="AB35" s="24">
        <f t="shared" si="26"/>
        <v>11.999999952262442</v>
      </c>
      <c r="AC35" s="41" t="str">
        <f t="shared" si="12"/>
        <v>E</v>
      </c>
      <c r="AD35" s="24">
        <f t="shared" si="27"/>
        <v>11.999999427149305</v>
      </c>
      <c r="AE35" s="41" t="str">
        <f t="shared" si="13"/>
        <v>E</v>
      </c>
      <c r="AF35" s="24">
        <f t="shared" si="28"/>
        <v>11.999993125791661</v>
      </c>
      <c r="AG35" s="41" t="str">
        <f t="shared" si="14"/>
        <v>E</v>
      </c>
      <c r="AH35" s="24">
        <f t="shared" si="29"/>
        <v>11.999917509499937</v>
      </c>
      <c r="AI35" s="41" t="str">
        <f t="shared" si="15"/>
        <v>E</v>
      </c>
      <c r="AJ35" s="24">
        <f t="shared" si="30"/>
        <v>11.999010113999248</v>
      </c>
      <c r="AK35" s="41" t="str">
        <f t="shared" si="16"/>
        <v/>
      </c>
    </row>
    <row r="36" spans="1:37" ht="15" customHeight="1" x14ac:dyDescent="0.2">
      <c r="A36" s="581"/>
      <c r="B36" s="3" t="str">
        <f>Rydberg!B36</f>
        <v>Quantum of action</v>
      </c>
      <c r="C36" s="3" t="str">
        <f>Rydberg!C36</f>
        <v>Js</v>
      </c>
      <c r="D36" s="21">
        <f>Rydberg!D36</f>
        <v>1.0545718176461565E-34</v>
      </c>
      <c r="E36" s="8">
        <v>10</v>
      </c>
      <c r="F36" s="21">
        <f>D36/(F$5*F$4)</f>
        <v>4.2127202330874246E-33</v>
      </c>
      <c r="G36" s="37" t="str">
        <f t="shared" si="17"/>
        <v>1;0000000000</v>
      </c>
      <c r="H36" s="275">
        <f t="shared" si="18"/>
        <v>9.9986685597741598E-13</v>
      </c>
      <c r="I36" s="278"/>
      <c r="J36" s="38">
        <v>-30</v>
      </c>
      <c r="K36" s="61">
        <f>F36/POWER(12,J36)+0.000000000001</f>
        <v>1.0000000000009999</v>
      </c>
      <c r="L36" s="39" t="str">
        <f>INDEX(powers!$H$2:$H$75,33+J36)</f>
        <v>gross tetra-atomic</v>
      </c>
      <c r="M36" s="40" t="str">
        <f t="shared" si="4"/>
        <v>1</v>
      </c>
      <c r="N36" s="24">
        <f t="shared" si="19"/>
        <v>1.1998402271728992E-11</v>
      </c>
      <c r="O36" s="41" t="str">
        <f t="shared" si="5"/>
        <v>0</v>
      </c>
      <c r="P36" s="24">
        <f t="shared" si="20"/>
        <v>1.439808272607479E-10</v>
      </c>
      <c r="Q36" s="41" t="str">
        <f t="shared" si="6"/>
        <v>0</v>
      </c>
      <c r="R36" s="24">
        <f t="shared" si="21"/>
        <v>1.7277699271289748E-9</v>
      </c>
      <c r="S36" s="41" t="str">
        <f t="shared" si="7"/>
        <v>0</v>
      </c>
      <c r="T36" s="24">
        <f t="shared" si="22"/>
        <v>2.0733239125547698E-8</v>
      </c>
      <c r="U36" s="41" t="str">
        <f t="shared" si="8"/>
        <v>0</v>
      </c>
      <c r="V36" s="24">
        <f t="shared" si="23"/>
        <v>2.4879886950657237E-7</v>
      </c>
      <c r="W36" s="41" t="str">
        <f t="shared" si="9"/>
        <v>0</v>
      </c>
      <c r="X36" s="24">
        <f t="shared" si="24"/>
        <v>2.9855864340788685E-6</v>
      </c>
      <c r="Y36" s="41" t="str">
        <f t="shared" si="10"/>
        <v>0</v>
      </c>
      <c r="Z36" s="24">
        <f t="shared" si="25"/>
        <v>3.5827037208946422E-5</v>
      </c>
      <c r="AA36" s="41" t="str">
        <f t="shared" si="11"/>
        <v>0</v>
      </c>
      <c r="AB36" s="24">
        <f t="shared" si="26"/>
        <v>4.2992444650735706E-4</v>
      </c>
      <c r="AC36" s="41" t="str">
        <f t="shared" si="12"/>
        <v>0</v>
      </c>
      <c r="AD36" s="24">
        <f t="shared" si="27"/>
        <v>5.1590933580882847E-3</v>
      </c>
      <c r="AE36" s="41" t="str">
        <f t="shared" si="13"/>
        <v>0</v>
      </c>
      <c r="AF36" s="24">
        <f t="shared" si="28"/>
        <v>6.1909120297059417E-2</v>
      </c>
      <c r="AG36" s="41" t="str">
        <f t="shared" si="14"/>
        <v>0</v>
      </c>
      <c r="AH36" s="24">
        <f t="shared" si="29"/>
        <v>0.742909443564713</v>
      </c>
      <c r="AI36" s="41" t="str">
        <f t="shared" si="15"/>
        <v/>
      </c>
      <c r="AJ36" s="24">
        <f t="shared" si="30"/>
        <v>8.914913322776556</v>
      </c>
      <c r="AK36" s="41" t="str">
        <f t="shared" si="16"/>
        <v/>
      </c>
    </row>
    <row r="37" spans="1:37" ht="15" customHeight="1" x14ac:dyDescent="0.2">
      <c r="A37" s="581"/>
      <c r="B37" s="3" t="str">
        <f>Rydberg!B37</f>
        <v>Boltzmann constant</v>
      </c>
      <c r="C37" s="3" t="str">
        <f>Rydberg!C37</f>
        <v>J/K</v>
      </c>
      <c r="D37" s="21">
        <f>Rydberg!D37</f>
        <v>1.3806490000000001E-23</v>
      </c>
      <c r="E37" s="8">
        <v>10</v>
      </c>
      <c r="F37" s="21">
        <f>D37/(F$5/F$6)</f>
        <v>1.2579115212475319E-26</v>
      </c>
      <c r="G37" s="37" t="str">
        <f t="shared" si="17"/>
        <v>1;0000000000</v>
      </c>
      <c r="H37" s="275">
        <f t="shared" si="18"/>
        <v>9.9986685597741598E-13</v>
      </c>
      <c r="I37" s="278"/>
      <c r="J37" s="131">
        <v>-24</v>
      </c>
      <c r="K37" s="61">
        <f>F37/POWER(12,J37)+0.000000000001</f>
        <v>1.0000000000009999</v>
      </c>
      <c r="L37" s="134" t="str">
        <f>INDEX(powers!$H$2:$H$75,33+J37)</f>
        <v>ter-atomic</v>
      </c>
      <c r="M37" s="40" t="str">
        <f t="shared" si="4"/>
        <v>1</v>
      </c>
      <c r="N37" s="24">
        <f t="shared" si="19"/>
        <v>1.1998402271728992E-11</v>
      </c>
      <c r="O37" s="41" t="str">
        <f t="shared" si="5"/>
        <v>0</v>
      </c>
      <c r="P37" s="24">
        <f t="shared" si="20"/>
        <v>1.439808272607479E-10</v>
      </c>
      <c r="Q37" s="41" t="str">
        <f t="shared" si="6"/>
        <v>0</v>
      </c>
      <c r="R37" s="24">
        <f t="shared" si="21"/>
        <v>1.7277699271289748E-9</v>
      </c>
      <c r="S37" s="41" t="str">
        <f t="shared" si="7"/>
        <v>0</v>
      </c>
      <c r="T37" s="24">
        <f t="shared" si="22"/>
        <v>2.0733239125547698E-8</v>
      </c>
      <c r="U37" s="41" t="str">
        <f t="shared" si="8"/>
        <v>0</v>
      </c>
      <c r="V37" s="24">
        <f t="shared" si="23"/>
        <v>2.4879886950657237E-7</v>
      </c>
      <c r="W37" s="41" t="str">
        <f t="shared" si="9"/>
        <v>0</v>
      </c>
      <c r="X37" s="24">
        <f t="shared" si="24"/>
        <v>2.9855864340788685E-6</v>
      </c>
      <c r="Y37" s="41" t="str">
        <f t="shared" si="10"/>
        <v>0</v>
      </c>
      <c r="Z37" s="24">
        <f t="shared" si="25"/>
        <v>3.5827037208946422E-5</v>
      </c>
      <c r="AA37" s="41" t="str">
        <f t="shared" si="11"/>
        <v>0</v>
      </c>
      <c r="AB37" s="24">
        <f t="shared" si="26"/>
        <v>4.2992444650735706E-4</v>
      </c>
      <c r="AC37" s="41" t="str">
        <f t="shared" si="12"/>
        <v>0</v>
      </c>
      <c r="AD37" s="24">
        <f t="shared" si="27"/>
        <v>5.1590933580882847E-3</v>
      </c>
      <c r="AE37" s="41" t="str">
        <f t="shared" si="13"/>
        <v>0</v>
      </c>
      <c r="AF37" s="24">
        <f t="shared" si="28"/>
        <v>6.1909120297059417E-2</v>
      </c>
      <c r="AG37" s="41" t="str">
        <f t="shared" si="14"/>
        <v>0</v>
      </c>
      <c r="AH37" s="24">
        <f t="shared" si="29"/>
        <v>0.742909443564713</v>
      </c>
      <c r="AI37" s="41" t="str">
        <f t="shared" si="15"/>
        <v/>
      </c>
      <c r="AJ37" s="24">
        <f t="shared" si="30"/>
        <v>8.914913322776556</v>
      </c>
      <c r="AK37" s="41" t="str">
        <f t="shared" si="16"/>
        <v/>
      </c>
    </row>
    <row r="38" spans="1:37" ht="15" customHeight="1" x14ac:dyDescent="0.2">
      <c r="A38" s="581"/>
      <c r="B38" s="3" t="str">
        <f>Rydberg!B38</f>
        <v>Gas constant</v>
      </c>
      <c r="C38" s="3" t="str">
        <f>Rydberg!C38</f>
        <v>J/(mol K)</v>
      </c>
      <c r="D38" s="21">
        <f>Rydberg!D38</f>
        <v>8.3144626181532395</v>
      </c>
      <c r="E38" s="8">
        <v>10</v>
      </c>
      <c r="F38" s="21">
        <f>D38/(F$5/F$6/F$7)</f>
        <v>0.99999999999999956</v>
      </c>
      <c r="G38" s="37" t="str">
        <f t="shared" si="17"/>
        <v>1;0000000000</v>
      </c>
      <c r="H38" s="275">
        <f t="shared" si="18"/>
        <v>9.9964481137249095E-13</v>
      </c>
      <c r="I38" s="278"/>
      <c r="J38" s="131">
        <v>0</v>
      </c>
      <c r="K38" s="61">
        <f>F38/POWER(12,J38)+0.000000000001</f>
        <v>1.0000000000009996</v>
      </c>
      <c r="L38" s="134" t="str">
        <f>INDEX(powers!$H$2:$H$75,33+J38)</f>
        <v xml:space="preserve"> </v>
      </c>
      <c r="M38" s="40" t="str">
        <f t="shared" si="4"/>
        <v>1</v>
      </c>
      <c r="N38" s="24">
        <f t="shared" si="19"/>
        <v>1.1995737736469891E-11</v>
      </c>
      <c r="O38" s="41" t="str">
        <f t="shared" si="5"/>
        <v>0</v>
      </c>
      <c r="P38" s="24">
        <f t="shared" si="20"/>
        <v>1.439488528376387E-10</v>
      </c>
      <c r="Q38" s="41" t="str">
        <f t="shared" si="6"/>
        <v>0</v>
      </c>
      <c r="R38" s="24">
        <f t="shared" si="21"/>
        <v>1.7273862340516644E-9</v>
      </c>
      <c r="S38" s="41" t="str">
        <f t="shared" si="7"/>
        <v>0</v>
      </c>
      <c r="T38" s="24">
        <f t="shared" si="22"/>
        <v>2.0728634808619972E-8</v>
      </c>
      <c r="U38" s="41" t="str">
        <f t="shared" si="8"/>
        <v>0</v>
      </c>
      <c r="V38" s="24">
        <f t="shared" si="23"/>
        <v>2.4874361770343967E-7</v>
      </c>
      <c r="W38" s="41" t="str">
        <f t="shared" si="9"/>
        <v>0</v>
      </c>
      <c r="X38" s="24">
        <f t="shared" si="24"/>
        <v>2.984923412441276E-6</v>
      </c>
      <c r="Y38" s="41" t="str">
        <f t="shared" si="10"/>
        <v>0</v>
      </c>
      <c r="Z38" s="24">
        <f t="shared" si="25"/>
        <v>3.5819080949295312E-5</v>
      </c>
      <c r="AA38" s="41" t="str">
        <f t="shared" si="11"/>
        <v>0</v>
      </c>
      <c r="AB38" s="24">
        <f t="shared" si="26"/>
        <v>4.2982897139154375E-4</v>
      </c>
      <c r="AC38" s="41" t="str">
        <f t="shared" si="12"/>
        <v>0</v>
      </c>
      <c r="AD38" s="24">
        <f t="shared" si="27"/>
        <v>5.157947656698525E-3</v>
      </c>
      <c r="AE38" s="41" t="str">
        <f t="shared" si="13"/>
        <v>0</v>
      </c>
      <c r="AF38" s="24">
        <f t="shared" si="28"/>
        <v>6.1895371880382299E-2</v>
      </c>
      <c r="AG38" s="41" t="str">
        <f t="shared" si="14"/>
        <v>0</v>
      </c>
      <c r="AH38" s="24">
        <f t="shared" si="29"/>
        <v>0.74274446256458759</v>
      </c>
      <c r="AI38" s="41" t="str">
        <f t="shared" si="15"/>
        <v/>
      </c>
      <c r="AJ38" s="24">
        <f t="shared" si="30"/>
        <v>8.9129335507750511</v>
      </c>
      <c r="AK38" s="41" t="str">
        <f t="shared" si="16"/>
        <v/>
      </c>
    </row>
    <row r="39" spans="1:37" ht="15" customHeight="1" x14ac:dyDescent="0.2">
      <c r="A39" s="581"/>
      <c r="B39" s="3" t="str">
        <f>Rydberg!B39</f>
        <v>Unified atomic mass unit</v>
      </c>
      <c r="C39" s="3" t="str">
        <f>Rydberg!C39</f>
        <v>kg</v>
      </c>
      <c r="D39" s="21">
        <f>Rydberg!D39</f>
        <v>1.6605390689199999E-27</v>
      </c>
      <c r="E39" s="8">
        <v>10</v>
      </c>
      <c r="F39" s="21">
        <f>D39/F$8</f>
        <v>1.2628118169284372E-26</v>
      </c>
      <c r="G39" s="37" t="str">
        <f t="shared" si="17"/>
        <v>1;0068941841</v>
      </c>
      <c r="H39" s="275">
        <f t="shared" si="18"/>
        <v>3.8955805699634194E-3</v>
      </c>
      <c r="I39" s="278"/>
      <c r="J39" s="38">
        <v>-24</v>
      </c>
      <c r="K39" s="61">
        <f t="shared" ref="K39:K70" si="31">F39/POWER(12,J39)</f>
        <v>1.0038955805699634</v>
      </c>
      <c r="L39" s="39" t="str">
        <f>INDEX(powers!$H$2:$H$75,33+J39)</f>
        <v>ter-atomic</v>
      </c>
      <c r="M39" s="40" t="str">
        <f t="shared" si="4"/>
        <v>1</v>
      </c>
      <c r="N39" s="24">
        <f t="shared" si="19"/>
        <v>4.6746966839561033E-2</v>
      </c>
      <c r="O39" s="41" t="str">
        <f t="shared" si="5"/>
        <v>0</v>
      </c>
      <c r="P39" s="24">
        <f t="shared" si="20"/>
        <v>0.56096360207473239</v>
      </c>
      <c r="Q39" s="41" t="str">
        <f t="shared" si="6"/>
        <v>0</v>
      </c>
      <c r="R39" s="24">
        <f t="shared" si="21"/>
        <v>6.7315632248967887</v>
      </c>
      <c r="S39" s="41" t="str">
        <f t="shared" si="7"/>
        <v>6</v>
      </c>
      <c r="T39" s="24">
        <f t="shared" si="22"/>
        <v>8.7787586987614645</v>
      </c>
      <c r="U39" s="41" t="str">
        <f t="shared" si="8"/>
        <v>8</v>
      </c>
      <c r="V39" s="24">
        <f t="shared" si="23"/>
        <v>9.3451043851375744</v>
      </c>
      <c r="W39" s="41" t="str">
        <f t="shared" si="9"/>
        <v>9</v>
      </c>
      <c r="X39" s="24">
        <f t="shared" si="24"/>
        <v>4.1412526216508923</v>
      </c>
      <c r="Y39" s="41" t="str">
        <f t="shared" si="10"/>
        <v>4</v>
      </c>
      <c r="Z39" s="24">
        <f t="shared" si="25"/>
        <v>1.695031459810707</v>
      </c>
      <c r="AA39" s="41" t="str">
        <f t="shared" si="11"/>
        <v>1</v>
      </c>
      <c r="AB39" s="24">
        <f t="shared" si="26"/>
        <v>8.3403775177284842</v>
      </c>
      <c r="AC39" s="41" t="str">
        <f t="shared" si="12"/>
        <v>8</v>
      </c>
      <c r="AD39" s="24">
        <f t="shared" si="27"/>
        <v>4.0845302127418108</v>
      </c>
      <c r="AE39" s="41" t="str">
        <f t="shared" si="13"/>
        <v>4</v>
      </c>
      <c r="AF39" s="24">
        <f t="shared" si="28"/>
        <v>1.0143625529017299</v>
      </c>
      <c r="AG39" s="41" t="str">
        <f t="shared" si="14"/>
        <v>1</v>
      </c>
      <c r="AH39" s="24">
        <f t="shared" si="29"/>
        <v>0.1723506348207593</v>
      </c>
      <c r="AI39" s="41" t="str">
        <f t="shared" si="15"/>
        <v/>
      </c>
      <c r="AJ39" s="24">
        <f t="shared" si="30"/>
        <v>2.0682076178491116</v>
      </c>
      <c r="AK39" s="41" t="str">
        <f t="shared" si="16"/>
        <v/>
      </c>
    </row>
    <row r="40" spans="1:37" ht="15" customHeight="1" x14ac:dyDescent="0.2">
      <c r="A40" s="581"/>
      <c r="B40" s="3" t="str">
        <f>Rydberg!B40</f>
        <v>Bohr Radius</v>
      </c>
      <c r="C40" s="3" t="str">
        <f>Rydberg!C40</f>
        <v>m</v>
      </c>
      <c r="D40" s="53">
        <f>Rydberg!D40</f>
        <v>5.2917721054102549E-11</v>
      </c>
      <c r="E40" s="8">
        <v>10</v>
      </c>
      <c r="F40" s="21">
        <f>D40/F$3</f>
        <v>1.9380669946781488E-10</v>
      </c>
      <c r="G40" s="37" t="str">
        <f t="shared" si="17"/>
        <v>1;0000000000</v>
      </c>
      <c r="H40" s="275">
        <f t="shared" si="18"/>
        <v>0</v>
      </c>
      <c r="I40" s="278"/>
      <c r="J40" s="38">
        <v>-9</v>
      </c>
      <c r="K40" s="61">
        <f t="shared" si="31"/>
        <v>1.0000000000000002</v>
      </c>
      <c r="L40" s="39" t="str">
        <f>INDEX(powers!$H$2:$H$75,33+J40)</f>
        <v>unino atomic</v>
      </c>
      <c r="M40" s="40" t="str">
        <f t="shared" si="4"/>
        <v>1</v>
      </c>
      <c r="N40" s="24">
        <f t="shared" si="19"/>
        <v>2.6645352591003757E-15</v>
      </c>
      <c r="O40" s="41" t="str">
        <f t="shared" si="5"/>
        <v>0</v>
      </c>
      <c r="P40" s="24">
        <f t="shared" si="20"/>
        <v>3.1974423109204508E-14</v>
      </c>
      <c r="Q40" s="41" t="str">
        <f t="shared" si="6"/>
        <v>0</v>
      </c>
      <c r="R40" s="24">
        <f t="shared" si="21"/>
        <v>3.836930773104541E-13</v>
      </c>
      <c r="S40" s="41" t="str">
        <f t="shared" si="7"/>
        <v>0</v>
      </c>
      <c r="T40" s="24">
        <f t="shared" si="22"/>
        <v>4.6043169277254492E-12</v>
      </c>
      <c r="U40" s="41" t="str">
        <f t="shared" si="8"/>
        <v>0</v>
      </c>
      <c r="V40" s="24">
        <f t="shared" si="23"/>
        <v>5.525180313270539E-11</v>
      </c>
      <c r="W40" s="41" t="str">
        <f t="shared" si="9"/>
        <v>0</v>
      </c>
      <c r="X40" s="24">
        <f t="shared" si="24"/>
        <v>6.6302163759246469E-10</v>
      </c>
      <c r="Y40" s="41" t="str">
        <f t="shared" si="10"/>
        <v>0</v>
      </c>
      <c r="Z40" s="24">
        <f t="shared" si="25"/>
        <v>7.9562596511095762E-9</v>
      </c>
      <c r="AA40" s="41" t="str">
        <f t="shared" si="11"/>
        <v>0</v>
      </c>
      <c r="AB40" s="24">
        <f t="shared" si="26"/>
        <v>9.5475115813314915E-8</v>
      </c>
      <c r="AC40" s="41" t="str">
        <f t="shared" si="12"/>
        <v>0</v>
      </c>
      <c r="AD40" s="24">
        <f t="shared" si="27"/>
        <v>1.145701389759779E-6</v>
      </c>
      <c r="AE40" s="41" t="str">
        <f t="shared" si="13"/>
        <v>0</v>
      </c>
      <c r="AF40" s="24">
        <f t="shared" si="28"/>
        <v>1.3748416677117348E-5</v>
      </c>
      <c r="AG40" s="41" t="str">
        <f t="shared" si="14"/>
        <v>0</v>
      </c>
      <c r="AH40" s="24">
        <f t="shared" si="29"/>
        <v>1.6498100012540817E-4</v>
      </c>
      <c r="AI40" s="41" t="str">
        <f t="shared" si="15"/>
        <v/>
      </c>
      <c r="AJ40" s="24">
        <f t="shared" si="30"/>
        <v>1.9797720015048981E-3</v>
      </c>
      <c r="AK40" s="41" t="str">
        <f t="shared" si="16"/>
        <v/>
      </c>
    </row>
    <row r="41" spans="1:37" ht="15" customHeight="1" x14ac:dyDescent="0.2">
      <c r="A41" s="581"/>
      <c r="B41" s="3" t="str">
        <f>Rydberg!B41</f>
        <v>Elementary electric charge</v>
      </c>
      <c r="C41" s="3" t="str">
        <f>Rydberg!C41</f>
        <v>C</v>
      </c>
      <c r="D41" s="21">
        <f>Rydberg!D41</f>
        <v>1.6021766339999999E-19</v>
      </c>
      <c r="E41" s="8">
        <v>10</v>
      </c>
      <c r="F41" s="21">
        <f>D41/F$12</f>
        <v>5.5445202497451214E-18</v>
      </c>
      <c r="G41" s="37" t="str">
        <f t="shared" si="17"/>
        <v>1;0374439E14</v>
      </c>
      <c r="H41" s="275">
        <f t="shared" si="18"/>
        <v>2.5094517302649111E-2</v>
      </c>
      <c r="I41" s="278"/>
      <c r="J41" s="38">
        <v>-16</v>
      </c>
      <c r="K41" s="61">
        <f t="shared" si="31"/>
        <v>1.0250945173026491</v>
      </c>
      <c r="L41" s="39" t="str">
        <f>INDEX(powers!$H$2:$H$75,33+J41)</f>
        <v>di-atomic</v>
      </c>
      <c r="M41" s="40" t="str">
        <f t="shared" si="4"/>
        <v>1</v>
      </c>
      <c r="N41" s="24">
        <f t="shared" si="19"/>
        <v>0.30113420763178933</v>
      </c>
      <c r="O41" s="41" t="str">
        <f t="shared" si="5"/>
        <v>0</v>
      </c>
      <c r="P41" s="24">
        <f t="shared" si="20"/>
        <v>3.613610491581472</v>
      </c>
      <c r="Q41" s="41" t="str">
        <f t="shared" si="6"/>
        <v>3</v>
      </c>
      <c r="R41" s="24">
        <f t="shared" si="21"/>
        <v>7.3633258989776635</v>
      </c>
      <c r="S41" s="41" t="str">
        <f t="shared" si="7"/>
        <v>7</v>
      </c>
      <c r="T41" s="24">
        <f t="shared" si="22"/>
        <v>4.3599107877319625</v>
      </c>
      <c r="U41" s="41" t="str">
        <f t="shared" si="8"/>
        <v>4</v>
      </c>
      <c r="V41" s="24">
        <f t="shared" si="23"/>
        <v>4.31892945278355</v>
      </c>
      <c r="W41" s="41" t="str">
        <f t="shared" si="9"/>
        <v>4</v>
      </c>
      <c r="X41" s="24">
        <f t="shared" si="24"/>
        <v>3.8271534334026001</v>
      </c>
      <c r="Y41" s="41" t="str">
        <f t="shared" si="10"/>
        <v>3</v>
      </c>
      <c r="Z41" s="24">
        <f t="shared" si="25"/>
        <v>9.9258412008312007</v>
      </c>
      <c r="AA41" s="41" t="str">
        <f t="shared" si="11"/>
        <v>9</v>
      </c>
      <c r="AB41" s="24">
        <f t="shared" si="26"/>
        <v>11.110094409974408</v>
      </c>
      <c r="AC41" s="41" t="str">
        <f t="shared" si="12"/>
        <v>E</v>
      </c>
      <c r="AD41" s="24">
        <f t="shared" si="27"/>
        <v>1.3211329196929</v>
      </c>
      <c r="AE41" s="41" t="str">
        <f t="shared" si="13"/>
        <v>1</v>
      </c>
      <c r="AF41" s="24">
        <f t="shared" si="28"/>
        <v>3.8535950363148004</v>
      </c>
      <c r="AG41" s="41" t="str">
        <f t="shared" si="14"/>
        <v>4</v>
      </c>
      <c r="AH41" s="24">
        <f t="shared" si="29"/>
        <v>10.243140435777605</v>
      </c>
      <c r="AI41" s="41" t="str">
        <f t="shared" si="15"/>
        <v/>
      </c>
      <c r="AJ41" s="24">
        <f t="shared" si="30"/>
        <v>2.917685229331255</v>
      </c>
      <c r="AK41" s="41" t="str">
        <f t="shared" si="16"/>
        <v/>
      </c>
    </row>
    <row r="42" spans="1:37" ht="15" customHeight="1" x14ac:dyDescent="0.2">
      <c r="A42" s="581"/>
      <c r="B42" s="3" t="str">
        <f>Rydberg!B42</f>
        <v>Electron mass</v>
      </c>
      <c r="C42" s="3" t="str">
        <f>Rydberg!C42</f>
        <v>kg</v>
      </c>
      <c r="D42" s="21">
        <f>Rydberg!D42</f>
        <v>9.1093837139983745E-31</v>
      </c>
      <c r="E42" s="8">
        <v>10</v>
      </c>
      <c r="F42" s="21">
        <f>D42/F$8</f>
        <v>6.9275319167614281E-30</v>
      </c>
      <c r="G42" s="37" t="str">
        <f t="shared" si="17"/>
        <v>0;E5052258E7</v>
      </c>
      <c r="H42" s="275">
        <f t="shared" si="18"/>
        <v>-4.8361116822290717E-2</v>
      </c>
      <c r="I42" s="278"/>
      <c r="J42" s="38">
        <v>-27</v>
      </c>
      <c r="K42" s="61">
        <f t="shared" si="31"/>
        <v>0.95163888317770928</v>
      </c>
      <c r="L42" s="39" t="str">
        <f>INDEX(powers!$H$2:$H$75,33+J42)</f>
        <v>terno ter-atomic</v>
      </c>
      <c r="M42" s="40" t="str">
        <f t="shared" si="4"/>
        <v>0</v>
      </c>
      <c r="N42" s="24">
        <f t="shared" si="19"/>
        <v>11.419666598132512</v>
      </c>
      <c r="O42" s="41" t="str">
        <f t="shared" si="5"/>
        <v>E</v>
      </c>
      <c r="P42" s="24">
        <f t="shared" si="20"/>
        <v>5.035999177590142</v>
      </c>
      <c r="Q42" s="41" t="str">
        <f t="shared" si="6"/>
        <v>5</v>
      </c>
      <c r="R42" s="24">
        <f t="shared" si="21"/>
        <v>0.43199013108170448</v>
      </c>
      <c r="S42" s="41" t="str">
        <f t="shared" si="7"/>
        <v>0</v>
      </c>
      <c r="T42" s="24">
        <f t="shared" si="22"/>
        <v>5.1838815729804537</v>
      </c>
      <c r="U42" s="41" t="str">
        <f t="shared" si="8"/>
        <v>5</v>
      </c>
      <c r="V42" s="24">
        <f t="shared" si="23"/>
        <v>2.2065788757654445</v>
      </c>
      <c r="W42" s="41" t="str">
        <f t="shared" si="9"/>
        <v>2</v>
      </c>
      <c r="X42" s="24">
        <f t="shared" si="24"/>
        <v>2.4789465091853344</v>
      </c>
      <c r="Y42" s="41" t="str">
        <f t="shared" si="10"/>
        <v>2</v>
      </c>
      <c r="Z42" s="24">
        <f t="shared" si="25"/>
        <v>5.7473581102240132</v>
      </c>
      <c r="AA42" s="41" t="str">
        <f t="shared" si="11"/>
        <v>5</v>
      </c>
      <c r="AB42" s="24">
        <f t="shared" si="26"/>
        <v>8.9682973226881586</v>
      </c>
      <c r="AC42" s="41" t="str">
        <f t="shared" si="12"/>
        <v>8</v>
      </c>
      <c r="AD42" s="24">
        <f t="shared" si="27"/>
        <v>11.619567872257903</v>
      </c>
      <c r="AE42" s="41" t="str">
        <f t="shared" si="13"/>
        <v>E</v>
      </c>
      <c r="AF42" s="24">
        <f t="shared" si="28"/>
        <v>7.4348144670948386</v>
      </c>
      <c r="AG42" s="41" t="str">
        <f t="shared" si="14"/>
        <v>7</v>
      </c>
      <c r="AH42" s="24">
        <f t="shared" si="29"/>
        <v>5.2177736051380634</v>
      </c>
      <c r="AI42" s="41" t="str">
        <f t="shared" si="15"/>
        <v/>
      </c>
      <c r="AJ42" s="24">
        <f t="shared" si="30"/>
        <v>2.6132832616567612</v>
      </c>
      <c r="AK42" s="41" t="str">
        <f t="shared" si="16"/>
        <v/>
      </c>
    </row>
    <row r="43" spans="1:37" ht="15" customHeight="1" x14ac:dyDescent="0.2">
      <c r="A43" s="581"/>
      <c r="B43" s="3" t="str">
        <f>Rydberg!B43</f>
        <v>Proton mass</v>
      </c>
      <c r="C43" s="3" t="str">
        <f>Rydberg!C43</f>
        <v>kg</v>
      </c>
      <c r="D43" s="21">
        <f>Rydberg!D43</f>
        <v>1.6726219259579541E-27</v>
      </c>
      <c r="E43" s="8">
        <v>10</v>
      </c>
      <c r="F43" s="21">
        <f>D43/F$8</f>
        <v>1.2720006249097571E-26</v>
      </c>
      <c r="G43" s="37" t="str">
        <f t="shared" ref="G43" si="32">M43&amp;";"&amp;O43&amp;Q43&amp;S43&amp;U43&amp;W43&amp;Y43&amp;AA43&amp;AC43&amp;AE43&amp;AG43&amp;AI43&amp;AK43</f>
        <v>1;017430240X</v>
      </c>
      <c r="H43" s="275">
        <f t="shared" ref="H43" si="33">K43*POWER(12,I43)/ROUND(K43*POWER(12,I43),0)-1</f>
        <v>1.1200393210686332E-2</v>
      </c>
      <c r="I43" s="278"/>
      <c r="J43" s="38">
        <v>-24</v>
      </c>
      <c r="K43" s="61">
        <f t="shared" ref="K43" si="34">F43/POWER(12,J43)</f>
        <v>1.0112003932106863</v>
      </c>
      <c r="L43" s="39" t="str">
        <f>INDEX(powers!$H$2:$H$75,33+J43)</f>
        <v>ter-atomic</v>
      </c>
      <c r="M43" s="40" t="str">
        <f t="shared" ref="M43" si="35">IF($E43&gt;=M$31,MID($J$31,IF($E43&gt;M$31,INT(K43),ROUND(K43,0))+1,1),"")</f>
        <v>1</v>
      </c>
      <c r="N43" s="24">
        <f t="shared" ref="N43" si="36">(K43-INT(K43))*12</f>
        <v>0.13440471852823599</v>
      </c>
      <c r="O43" s="41" t="str">
        <f t="shared" ref="O43" si="37">IF($E43&gt;=O$31,MID($J$31,IF($E43&gt;O$31,INT(N43),ROUND(N43,0))+1,1),"")</f>
        <v>0</v>
      </c>
      <c r="P43" s="24">
        <f t="shared" ref="P43" si="38">(N43-INT(N43))*12</f>
        <v>1.6128566223388319</v>
      </c>
      <c r="Q43" s="41" t="str">
        <f t="shared" ref="Q43" si="39">IF($E43&gt;=Q$31,MID($J$31,IF($E43&gt;Q$31,INT(P43),ROUND(P43,0))+1,1),"")</f>
        <v>1</v>
      </c>
      <c r="R43" s="24">
        <f t="shared" ref="R43" si="40">(P43-INT(P43))*12</f>
        <v>7.3542794680659824</v>
      </c>
      <c r="S43" s="41" t="str">
        <f t="shared" ref="S43" si="41">IF($E43&gt;=S$31,MID($J$31,IF($E43&gt;S$31,INT(R43),ROUND(R43,0))+1,1),"")</f>
        <v>7</v>
      </c>
      <c r="T43" s="24">
        <f t="shared" ref="T43" si="42">(R43-INT(R43))*12</f>
        <v>4.2513536167917891</v>
      </c>
      <c r="U43" s="41" t="str">
        <f t="shared" ref="U43" si="43">IF($E43&gt;=U$31,MID($J$31,IF($E43&gt;U$31,INT(T43),ROUND(T43,0))+1,1),"")</f>
        <v>4</v>
      </c>
      <c r="V43" s="24">
        <f t="shared" ref="V43" si="44">(T43-INT(T43))*12</f>
        <v>3.0162434015014696</v>
      </c>
      <c r="W43" s="41" t="str">
        <f t="shared" ref="W43" si="45">IF($E43&gt;=W$31,MID($J$31,IF($E43&gt;W$31,INT(V43),ROUND(V43,0))+1,1),"")</f>
        <v>3</v>
      </c>
      <c r="X43" s="24">
        <f t="shared" ref="X43" si="46">(V43-INT(V43))*12</f>
        <v>0.19492081801763561</v>
      </c>
      <c r="Y43" s="41" t="str">
        <f t="shared" ref="Y43" si="47">IF($E43&gt;=Y$31,MID($J$31,IF($E43&gt;Y$31,INT(X43),ROUND(X43,0))+1,1),"")</f>
        <v>0</v>
      </c>
      <c r="Z43" s="24">
        <f t="shared" ref="Z43" si="48">(X43-INT(X43))*12</f>
        <v>2.3390498162116273</v>
      </c>
      <c r="AA43" s="41" t="str">
        <f t="shared" ref="AA43" si="49">IF($E43&gt;=AA$31,MID($J$31,IF($E43&gt;AA$31,INT(Z43),ROUND(Z43,0))+1,1),"")</f>
        <v>2</v>
      </c>
      <c r="AB43" s="24">
        <f t="shared" ref="AB43" si="50">(Z43-INT(Z43))*12</f>
        <v>4.068597794539528</v>
      </c>
      <c r="AC43" s="41" t="str">
        <f t="shared" ref="AC43" si="51">IF($E43&gt;=AC$31,MID($J$31,IF($E43&gt;AC$31,INT(AB43),ROUND(AB43,0))+1,1),"")</f>
        <v>4</v>
      </c>
      <c r="AD43" s="24">
        <f t="shared" ref="AD43" si="52">(AB43-INT(AB43))*12</f>
        <v>0.82317353447433561</v>
      </c>
      <c r="AE43" s="41" t="str">
        <f t="shared" ref="AE43" si="53">IF($E43&gt;=AE$31,MID($J$31,IF($E43&gt;AE$31,INT(AD43),ROUND(AD43,0))+1,1),"")</f>
        <v>0</v>
      </c>
      <c r="AF43" s="24">
        <f t="shared" ref="AF43" si="54">(AD43-INT(AD43))*12</f>
        <v>9.8780824136920273</v>
      </c>
      <c r="AG43" s="41" t="str">
        <f t="shared" ref="AG43" si="55">IF($E43&gt;=AG$31,MID($J$31,IF($E43&gt;AG$31,INT(AF43),ROUND(AF43,0))+1,1),"")</f>
        <v>X</v>
      </c>
      <c r="AH43" s="24">
        <f t="shared" ref="AH43" si="56">(AF43-INT(AF43))*12</f>
        <v>10.536988964304328</v>
      </c>
      <c r="AI43" s="41" t="str">
        <f t="shared" ref="AI43" si="57">IF($E43&gt;=AI$31,MID($J$31,IF($E43&gt;AI$31,INT(AH43),ROUND(AH43,0))+1,1),"")</f>
        <v/>
      </c>
      <c r="AJ43" s="24">
        <f t="shared" ref="AJ43" si="58">(AH43-INT(AH43))*12</f>
        <v>6.4438675716519356</v>
      </c>
      <c r="AK43" s="41" t="str">
        <f t="shared" ref="AK43" si="59">IF($E43&gt;=AK$31,MID($J$31,IF($E43&gt;AK$31,INT(AJ43),ROUND(AJ43,0))+1,1),"")</f>
        <v/>
      </c>
    </row>
    <row r="44" spans="1:37" ht="15" customHeight="1" x14ac:dyDescent="0.2">
      <c r="A44" s="581"/>
      <c r="B44" s="3" t="str">
        <f>Rydberg!B44</f>
        <v>Newtonian constant of gravitation</v>
      </c>
      <c r="C44" s="3" t="str">
        <f>Rydberg!C44</f>
        <v>(m/s)^4/N</v>
      </c>
      <c r="D44" s="21">
        <f>Rydberg!D44</f>
        <v>6.6742999999999994E-11</v>
      </c>
      <c r="E44" s="8">
        <v>5</v>
      </c>
      <c r="F44" s="21">
        <f>D44/(POWER(F$3/F$4,4)/F$10)</f>
        <v>6.6121449929908796E-11</v>
      </c>
      <c r="G44" s="37" t="str">
        <f t="shared" si="17"/>
        <v>4;11667</v>
      </c>
      <c r="H44" s="275">
        <f t="shared" si="18"/>
        <v>2.3516474582285563E-2</v>
      </c>
      <c r="I44" s="278"/>
      <c r="J44" s="38">
        <v>-10</v>
      </c>
      <c r="K44" s="61">
        <f t="shared" si="31"/>
        <v>4.0940658983291423</v>
      </c>
      <c r="L44" s="39" t="str">
        <f>INDEX(powers!$H$2:$H$75,33+J44)</f>
        <v>dino atomic</v>
      </c>
      <c r="M44" s="40" t="str">
        <f t="shared" si="4"/>
        <v>4</v>
      </c>
      <c r="N44" s="24">
        <f t="shared" si="19"/>
        <v>1.128790779949707</v>
      </c>
      <c r="O44" s="41" t="str">
        <f t="shared" si="5"/>
        <v>1</v>
      </c>
      <c r="P44" s="24">
        <f t="shared" si="20"/>
        <v>1.545489359396484</v>
      </c>
      <c r="Q44" s="41" t="str">
        <f t="shared" si="6"/>
        <v>1</v>
      </c>
      <c r="R44" s="24">
        <f t="shared" si="21"/>
        <v>6.5458723127578082</v>
      </c>
      <c r="S44" s="41" t="str">
        <f t="shared" si="7"/>
        <v>6</v>
      </c>
      <c r="T44" s="24">
        <f t="shared" si="22"/>
        <v>6.5504677530936988</v>
      </c>
      <c r="U44" s="41" t="str">
        <f t="shared" si="8"/>
        <v>6</v>
      </c>
      <c r="V44" s="24">
        <f t="shared" si="23"/>
        <v>6.6056130371243853</v>
      </c>
      <c r="W44" s="41" t="str">
        <f t="shared" si="9"/>
        <v>7</v>
      </c>
      <c r="X44" s="24">
        <f t="shared" si="24"/>
        <v>7.2673564454926236</v>
      </c>
      <c r="Y44" s="41" t="str">
        <f t="shared" si="10"/>
        <v/>
      </c>
      <c r="Z44" s="24">
        <f t="shared" si="25"/>
        <v>3.2082773459114833</v>
      </c>
      <c r="AA44" s="41" t="str">
        <f t="shared" si="11"/>
        <v/>
      </c>
      <c r="AB44" s="24">
        <f t="shared" si="26"/>
        <v>2.4993281509377994</v>
      </c>
      <c r="AC44" s="41" t="str">
        <f t="shared" si="12"/>
        <v/>
      </c>
      <c r="AD44" s="24">
        <f t="shared" si="27"/>
        <v>5.9919378112535924</v>
      </c>
      <c r="AE44" s="41" t="str">
        <f t="shared" si="13"/>
        <v/>
      </c>
      <c r="AF44" s="24">
        <f t="shared" si="28"/>
        <v>11.903253735043108</v>
      </c>
      <c r="AG44" s="41" t="str">
        <f t="shared" si="14"/>
        <v/>
      </c>
      <c r="AH44" s="24">
        <f t="shared" si="29"/>
        <v>10.839044820517302</v>
      </c>
      <c r="AI44" s="41" t="str">
        <f t="shared" si="15"/>
        <v/>
      </c>
      <c r="AJ44" s="24">
        <f t="shared" si="30"/>
        <v>10.068537846207619</v>
      </c>
      <c r="AK44" s="41" t="str">
        <f t="shared" si="16"/>
        <v/>
      </c>
    </row>
    <row r="45" spans="1:37" ht="15" customHeight="1" x14ac:dyDescent="0.2">
      <c r="A45" s="581"/>
      <c r="B45" s="3" t="str">
        <f>Rydberg!B45</f>
        <v>Planck force</v>
      </c>
      <c r="C45" s="3" t="str">
        <f>Rydberg!C45</f>
        <v>N</v>
      </c>
      <c r="D45" s="21">
        <f>Rydberg!D45</f>
        <v>1.2102555643382063E+44</v>
      </c>
      <c r="E45" s="8">
        <v>5</v>
      </c>
      <c r="F45" s="21">
        <f>D45/F$10</f>
        <v>5.169606719665287E+44</v>
      </c>
      <c r="G45" s="37" t="str">
        <f t="shared" ref="G45" si="60">M45&amp;";"&amp;O45&amp;Q45&amp;S45&amp;U45&amp;W45&amp;Y45&amp;AA45&amp;AC45&amp;AE45&amp;AG45&amp;AI45&amp;AK45</f>
        <v>2;E20X8</v>
      </c>
      <c r="H45" s="276">
        <f t="shared" si="18"/>
        <v>4.9388105757706136E-3</v>
      </c>
      <c r="I45" s="284">
        <v>1</v>
      </c>
      <c r="J45" s="38">
        <v>41</v>
      </c>
      <c r="K45" s="61">
        <f t="shared" ref="K45" si="61">F45/POWER(12,J45)</f>
        <v>2.9310715308459976</v>
      </c>
      <c r="L45" s="39" t="str">
        <f>INDEX(powers!$H$2:$H$75,33+J45)</f>
        <v>dozen penta-cosmic</v>
      </c>
      <c r="M45" s="40" t="str">
        <f t="shared" ref="M45" si="62">IF($E45&gt;=M$31,MID($J$31,IF($E45&gt;M$31,INT(K45),ROUND(K45,0))+1,1),"")</f>
        <v>2</v>
      </c>
      <c r="N45" s="24">
        <f t="shared" ref="N45" si="63">(K45-INT(K45))*12</f>
        <v>11.172858370151971</v>
      </c>
      <c r="O45" s="41" t="str">
        <f t="shared" ref="O45" si="64">IF($E45&gt;=O$31,MID($J$31,IF($E45&gt;O$31,INT(N45),ROUND(N45,0))+1,1),"")</f>
        <v>E</v>
      </c>
      <c r="P45" s="24">
        <f t="shared" ref="P45" si="65">(N45-INT(N45))*12</f>
        <v>2.0743004418236524</v>
      </c>
      <c r="Q45" s="41" t="str">
        <f t="shared" ref="Q45" si="66">IF($E45&gt;=Q$31,MID($J$31,IF($E45&gt;Q$31,INT(P45),ROUND(P45,0))+1,1),"")</f>
        <v>2</v>
      </c>
      <c r="R45" s="24">
        <f t="shared" ref="R45" si="67">(P45-INT(P45))*12</f>
        <v>0.89160530188382836</v>
      </c>
      <c r="S45" s="41" t="str">
        <f t="shared" ref="S45" si="68">IF($E45&gt;=S$31,MID($J$31,IF($E45&gt;S$31,INT(R45),ROUND(R45,0))+1,1),"")</f>
        <v>0</v>
      </c>
      <c r="T45" s="24">
        <f t="shared" ref="T45" si="69">(R45-INT(R45))*12</f>
        <v>10.69926362260594</v>
      </c>
      <c r="U45" s="41" t="str">
        <f t="shared" ref="U45" si="70">IF($E45&gt;=U$31,MID($J$31,IF($E45&gt;U$31,INT(T45),ROUND(T45,0))+1,1),"")</f>
        <v>X</v>
      </c>
      <c r="V45" s="24">
        <f t="shared" ref="V45" si="71">(T45-INT(T45))*12</f>
        <v>8.3911634712712839</v>
      </c>
      <c r="W45" s="41" t="str">
        <f t="shared" ref="W45" si="72">IF($E45&gt;=W$31,MID($J$31,IF($E45&gt;W$31,INT(V45),ROUND(V45,0))+1,1),"")</f>
        <v>8</v>
      </c>
      <c r="X45" s="24">
        <f t="shared" ref="X45" si="73">(V45-INT(V45))*12</f>
        <v>4.6939616552554071</v>
      </c>
      <c r="Y45" s="41" t="str">
        <f t="shared" ref="Y45" si="74">IF($E45&gt;=Y$31,MID($J$31,IF($E45&gt;Y$31,INT(X45),ROUND(X45,0))+1,1),"")</f>
        <v/>
      </c>
      <c r="Z45" s="24">
        <f t="shared" ref="Z45" si="75">(X45-INT(X45))*12</f>
        <v>8.3275398630648851</v>
      </c>
      <c r="AA45" s="41" t="str">
        <f t="shared" ref="AA45" si="76">IF($E45&gt;=AA$31,MID($J$31,IF($E45&gt;AA$31,INT(Z45),ROUND(Z45,0))+1,1),"")</f>
        <v/>
      </c>
      <c r="AB45" s="24">
        <f t="shared" ref="AB45" si="77">(Z45-INT(Z45))*12</f>
        <v>3.9304783567786217</v>
      </c>
      <c r="AC45" s="41" t="str">
        <f t="shared" ref="AC45" si="78">IF($E45&gt;=AC$31,MID($J$31,IF($E45&gt;AC$31,INT(AB45),ROUND(AB45,0))+1,1),"")</f>
        <v/>
      </c>
      <c r="AD45" s="24">
        <f t="shared" ref="AD45" si="79">(AB45-INT(AB45))*12</f>
        <v>11.16574028134346</v>
      </c>
      <c r="AE45" s="41" t="str">
        <f t="shared" ref="AE45" si="80">IF($E45&gt;=AE$31,MID($J$31,IF($E45&gt;AE$31,INT(AD45),ROUND(AD45,0))+1,1),"")</f>
        <v/>
      </c>
      <c r="AF45" s="24">
        <f t="shared" ref="AF45" si="81">(AD45-INT(AD45))*12</f>
        <v>1.988883376121521</v>
      </c>
      <c r="AG45" s="41" t="str">
        <f t="shared" ref="AG45" si="82">IF($E45&gt;=AG$31,MID($J$31,IF($E45&gt;AG$31,INT(AF45),ROUND(AF45,0))+1,1),"")</f>
        <v/>
      </c>
      <c r="AH45" s="24">
        <f t="shared" ref="AH45" si="83">(AF45-INT(AF45))*12</f>
        <v>11.866600513458252</v>
      </c>
      <c r="AI45" s="41" t="str">
        <f t="shared" ref="AI45" si="84">IF($E45&gt;=AI$31,MID($J$31,IF($E45&gt;AI$31,INT(AH45),ROUND(AH45,0))+1,1),"")</f>
        <v/>
      </c>
      <c r="AJ45" s="24">
        <f t="shared" ref="AJ45" si="85">(AH45-INT(AH45))*12</f>
        <v>10.399206161499023</v>
      </c>
      <c r="AK45" s="41" t="str">
        <f t="shared" ref="AK45" si="86">IF($E45&gt;=AK$31,MID($J$31,IF($E45&gt;AK$31,INT(AJ45),ROUND(AJ45,0))+1,1),"")</f>
        <v/>
      </c>
    </row>
    <row r="46" spans="1:37" ht="15" customHeight="1" x14ac:dyDescent="0.2">
      <c r="A46" s="581"/>
      <c r="B46" s="3" t="str">
        <f>Rydberg!B46</f>
        <v>Gravitic meter</v>
      </c>
      <c r="C46" s="3" t="str">
        <f>Rydberg!C46</f>
        <v>m</v>
      </c>
      <c r="D46" s="21">
        <f>Rydberg!D46</f>
        <v>9.5618936743262592E-35</v>
      </c>
      <c r="E46" s="8">
        <v>5</v>
      </c>
      <c r="F46" s="21">
        <f>D46/F$3</f>
        <v>3.5019630792276528E-34</v>
      </c>
      <c r="G46" s="37" t="str">
        <f t="shared" ref="G46" si="87">M46&amp;";"&amp;O46&amp;Q46&amp;S46&amp;U46&amp;W46&amp;Y46&amp;AA46&amp;AC46&amp;AE46&amp;AG46&amp;AI46&amp;AK46</f>
        <v>0;EE78</v>
      </c>
      <c r="H46" s="275">
        <f t="shared" si="18"/>
        <v>-2.4602958280582898E-3</v>
      </c>
      <c r="I46" s="278"/>
      <c r="J46" s="38">
        <v>-31</v>
      </c>
      <c r="K46" s="61">
        <f t="shared" ref="K46" si="88">F46/POWER(12,J46)</f>
        <v>0.99753970417194171</v>
      </c>
      <c r="L46" s="39" t="str">
        <f>INDEX(powers!$H$2:$H$75,33+J46)</f>
        <v>dozen tetra-atomic</v>
      </c>
      <c r="M46" s="40" t="str">
        <f t="shared" ref="M46" si="89">IF($E46&gt;=M$31,MID($J$31,IF($E46&gt;M$31,INT(K46),ROUND(K46,0))+1,1),"")</f>
        <v>0</v>
      </c>
      <c r="N46" s="24">
        <f t="shared" ref="N46" si="90">(K46-INT(K46))*12</f>
        <v>11.9704764500633</v>
      </c>
      <c r="O46" s="41" t="str">
        <f t="shared" ref="O46" si="91">IF($E46&gt;=O$31,MID($J$31,IF($E46&gt;O$31,INT(N46),ROUND(N46,0))+1,1),"")</f>
        <v>E</v>
      </c>
      <c r="P46" s="24">
        <f t="shared" ref="P46" si="92">(N46-INT(N46))*12</f>
        <v>11.645717400759601</v>
      </c>
      <c r="Q46" s="41" t="str">
        <f t="shared" ref="Q46" si="93">IF($E46&gt;=Q$31,MID($J$31,IF($E46&gt;Q$31,INT(P46),ROUND(P46,0))+1,1),"")</f>
        <v>E</v>
      </c>
      <c r="R46" s="24">
        <f t="shared" ref="R46" si="94">(P46-INT(P46))*12</f>
        <v>7.7486088091152112</v>
      </c>
      <c r="S46" s="41" t="str">
        <f t="shared" ref="S46" si="95">IF($E46&gt;=S$31,MID($J$31,IF($E46&gt;S$31,INT(R46),ROUND(R46,0))+1,1),"")</f>
        <v>7</v>
      </c>
      <c r="T46" s="24">
        <f t="shared" ref="T46" si="96">(R46-INT(R46))*12</f>
        <v>8.9833057093825346</v>
      </c>
      <c r="U46" s="41" t="str">
        <f t="shared" ref="U46" si="97">IF($E46&gt;=U$31,MID($J$31,IF($E46&gt;U$31,INT(T46),ROUND(T46,0))+1,1),"")</f>
        <v>8</v>
      </c>
      <c r="V46" s="24">
        <f t="shared" ref="V46" si="98">(T46-INT(T46))*12</f>
        <v>11.799668512590415</v>
      </c>
      <c r="W46" s="41" t="str">
        <f t="shared" ref="W46" si="99">IF($E46&gt;=W$31,MID($J$31,IF($E46&gt;W$31,INT(V46),ROUND(V46,0))+1,1),"")</f>
        <v/>
      </c>
      <c r="X46" s="24">
        <f t="shared" ref="X46" si="100">(V46-INT(V46))*12</f>
        <v>9.5960221510849806</v>
      </c>
      <c r="Y46" s="41" t="str">
        <f t="shared" ref="Y46" si="101">IF($E46&gt;=Y$31,MID($J$31,IF($E46&gt;Y$31,INT(X46),ROUND(X46,0))+1,1),"")</f>
        <v/>
      </c>
      <c r="Z46" s="24">
        <f t="shared" ref="Z46" si="102">(X46-INT(X46))*12</f>
        <v>7.1522658130197669</v>
      </c>
      <c r="AA46" s="41" t="str">
        <f t="shared" ref="AA46" si="103">IF($E46&gt;=AA$31,MID($J$31,IF($E46&gt;AA$31,INT(Z46),ROUND(Z46,0))+1,1),"")</f>
        <v/>
      </c>
      <c r="AB46" s="24">
        <f t="shared" ref="AB46" si="104">(Z46-INT(Z46))*12</f>
        <v>1.8271897562372033</v>
      </c>
      <c r="AC46" s="41" t="str">
        <f t="shared" ref="AC46" si="105">IF($E46&gt;=AC$31,MID($J$31,IF($E46&gt;AC$31,INT(AB46),ROUND(AB46,0))+1,1),"")</f>
        <v/>
      </c>
      <c r="AD46" s="24">
        <f t="shared" ref="AD46" si="106">(AB46-INT(AB46))*12</f>
        <v>9.9262770748464391</v>
      </c>
      <c r="AE46" s="41" t="str">
        <f t="shared" ref="AE46" si="107">IF($E46&gt;=AE$31,MID($J$31,IF($E46&gt;AE$31,INT(AD46),ROUND(AD46,0))+1,1),"")</f>
        <v/>
      </c>
      <c r="AF46" s="24">
        <f t="shared" ref="AF46" si="108">(AD46-INT(AD46))*12</f>
        <v>11.115324898157269</v>
      </c>
      <c r="AG46" s="41" t="str">
        <f t="shared" ref="AG46" si="109">IF($E46&gt;=AG$31,MID($J$31,IF($E46&gt;AG$31,INT(AF46),ROUND(AF46,0))+1,1),"")</f>
        <v/>
      </c>
      <c r="AH46" s="24">
        <f t="shared" ref="AH46" si="110">(AF46-INT(AF46))*12</f>
        <v>1.3838987778872252</v>
      </c>
      <c r="AI46" s="41" t="str">
        <f t="shared" ref="AI46" si="111">IF($E46&gt;=AI$31,MID($J$31,IF($E46&gt;AI$31,INT(AH46),ROUND(AH46,0))+1,1),"")</f>
        <v/>
      </c>
      <c r="AJ46" s="24">
        <f t="shared" ref="AJ46" si="112">(AH46-INT(AH46))*12</f>
        <v>4.6067853346467018</v>
      </c>
      <c r="AK46" s="41" t="str">
        <f t="shared" ref="AK46" si="113">IF($E46&gt;=AK$31,MID($J$31,IF($E46&gt;AK$31,INT(AJ46),ROUND(AJ46,0))+1,1),"")</f>
        <v/>
      </c>
    </row>
    <row r="47" spans="1:37" ht="15" customHeight="1" x14ac:dyDescent="0.2">
      <c r="A47" s="581"/>
      <c r="B47" s="3" t="str">
        <f>Rydberg!B47</f>
        <v>Planck length</v>
      </c>
      <c r="C47" s="3" t="str">
        <f>Rydberg!C47</f>
        <v>m</v>
      </c>
      <c r="D47" s="21">
        <f>Rydberg!D47</f>
        <v>1.6162550244237053E-35</v>
      </c>
      <c r="E47" s="8">
        <v>5</v>
      </c>
      <c r="F47" s="21">
        <f>D47/F$3</f>
        <v>5.9193979926228549E-35</v>
      </c>
      <c r="G47" s="37" t="str">
        <f t="shared" si="17"/>
        <v>2;0344X</v>
      </c>
      <c r="H47" s="275">
        <f t="shared" si="18"/>
        <v>1.1689910289850669E-2</v>
      </c>
      <c r="I47" s="278"/>
      <c r="J47" s="38">
        <v>-32</v>
      </c>
      <c r="K47" s="61">
        <f t="shared" si="31"/>
        <v>2.0233798205797013</v>
      </c>
      <c r="L47" s="39" t="str">
        <f>INDEX(powers!$H$2:$H$75,33+J47)</f>
        <v>tetra-atomic</v>
      </c>
      <c r="M47" s="40" t="str">
        <f t="shared" si="4"/>
        <v>2</v>
      </c>
      <c r="N47" s="24">
        <f t="shared" si="19"/>
        <v>0.28055784695641606</v>
      </c>
      <c r="O47" s="41" t="str">
        <f t="shared" si="5"/>
        <v>0</v>
      </c>
      <c r="P47" s="24">
        <f t="shared" si="20"/>
        <v>3.3666941634769927</v>
      </c>
      <c r="Q47" s="41" t="str">
        <f t="shared" si="6"/>
        <v>3</v>
      </c>
      <c r="R47" s="24">
        <f t="shared" si="21"/>
        <v>4.4003299617239122</v>
      </c>
      <c r="S47" s="41" t="str">
        <f t="shared" si="7"/>
        <v>4</v>
      </c>
      <c r="T47" s="24">
        <f t="shared" si="22"/>
        <v>4.8039595406869466</v>
      </c>
      <c r="U47" s="41" t="str">
        <f t="shared" si="8"/>
        <v>4</v>
      </c>
      <c r="V47" s="24">
        <f t="shared" si="23"/>
        <v>9.6475144882433597</v>
      </c>
      <c r="W47" s="41" t="str">
        <f t="shared" si="9"/>
        <v>X</v>
      </c>
      <c r="X47" s="24">
        <f t="shared" si="24"/>
        <v>7.770173858920316</v>
      </c>
      <c r="Y47" s="41" t="str">
        <f t="shared" si="10"/>
        <v/>
      </c>
      <c r="Z47" s="24">
        <f t="shared" si="25"/>
        <v>9.2420863070437917</v>
      </c>
      <c r="AA47" s="41" t="str">
        <f t="shared" si="11"/>
        <v/>
      </c>
      <c r="AB47" s="24">
        <f t="shared" si="26"/>
        <v>2.905035684525501</v>
      </c>
      <c r="AC47" s="41" t="str">
        <f t="shared" si="12"/>
        <v/>
      </c>
      <c r="AD47" s="24">
        <f t="shared" si="27"/>
        <v>10.860428214306012</v>
      </c>
      <c r="AE47" s="41" t="str">
        <f t="shared" si="13"/>
        <v/>
      </c>
      <c r="AF47" s="24">
        <f t="shared" si="28"/>
        <v>10.325138571672142</v>
      </c>
      <c r="AG47" s="41" t="str">
        <f t="shared" si="14"/>
        <v/>
      </c>
      <c r="AH47" s="24">
        <f t="shared" si="29"/>
        <v>3.9016628600656986</v>
      </c>
      <c r="AI47" s="41" t="str">
        <f t="shared" si="15"/>
        <v/>
      </c>
      <c r="AJ47" s="24">
        <f t="shared" si="30"/>
        <v>10.819954320788383</v>
      </c>
      <c r="AK47" s="41" t="str">
        <f t="shared" si="16"/>
        <v/>
      </c>
    </row>
    <row r="48" spans="1:37" ht="15" customHeight="1" x14ac:dyDescent="0.2">
      <c r="A48" s="581"/>
      <c r="B48" s="3" t="str">
        <f>Rydberg!B48</f>
        <v>Adjusted Planck length</v>
      </c>
      <c r="C48" s="3" t="str">
        <f>Rydberg!C48</f>
        <v>m</v>
      </c>
      <c r="D48" s="21">
        <f>Rydberg!D48</f>
        <v>1.8920265367777891E-34</v>
      </c>
      <c r="E48" s="8">
        <v>5</v>
      </c>
      <c r="F48" s="21">
        <f>D48/F$3</f>
        <v>6.92938794593074E-34</v>
      </c>
      <c r="G48" s="37" t="str">
        <f t="shared" si="17"/>
        <v>1;E8298</v>
      </c>
      <c r="H48" s="275">
        <f t="shared" si="18"/>
        <v>-1.3076459503841398E-2</v>
      </c>
      <c r="I48" s="278"/>
      <c r="J48" s="38">
        <v>-31</v>
      </c>
      <c r="K48" s="61">
        <f t="shared" si="31"/>
        <v>1.9738470809923172</v>
      </c>
      <c r="L48" s="39" t="str">
        <f>INDEX(powers!$H$2:$H$75,33+J48)</f>
        <v>dozen tetra-atomic</v>
      </c>
      <c r="M48" s="40" t="str">
        <f t="shared" si="4"/>
        <v>1</v>
      </c>
      <c r="N48" s="24">
        <f t="shared" si="19"/>
        <v>11.686164971907807</v>
      </c>
      <c r="O48" s="41" t="str">
        <f t="shared" si="5"/>
        <v>E</v>
      </c>
      <c r="P48" s="24">
        <f t="shared" si="20"/>
        <v>8.2339796628936881</v>
      </c>
      <c r="Q48" s="41" t="str">
        <f t="shared" si="6"/>
        <v>8</v>
      </c>
      <c r="R48" s="24">
        <f t="shared" si="21"/>
        <v>2.8077559547242572</v>
      </c>
      <c r="S48" s="41" t="str">
        <f t="shared" si="7"/>
        <v>2</v>
      </c>
      <c r="T48" s="24">
        <f t="shared" si="22"/>
        <v>9.6930714566910865</v>
      </c>
      <c r="U48" s="41" t="str">
        <f t="shared" si="8"/>
        <v>9</v>
      </c>
      <c r="V48" s="24">
        <f t="shared" si="23"/>
        <v>8.316857480293038</v>
      </c>
      <c r="W48" s="41" t="str">
        <f t="shared" si="9"/>
        <v>8</v>
      </c>
      <c r="X48" s="24">
        <f t="shared" si="24"/>
        <v>3.8022897635164554</v>
      </c>
      <c r="Y48" s="41" t="str">
        <f t="shared" si="10"/>
        <v/>
      </c>
      <c r="Z48" s="24">
        <f t="shared" si="25"/>
        <v>9.6274771621974651</v>
      </c>
      <c r="AA48" s="41" t="str">
        <f t="shared" si="11"/>
        <v/>
      </c>
      <c r="AB48" s="24">
        <f t="shared" si="26"/>
        <v>7.5297259463695809</v>
      </c>
      <c r="AC48" s="41" t="str">
        <f t="shared" si="12"/>
        <v/>
      </c>
      <c r="AD48" s="24">
        <f t="shared" si="27"/>
        <v>6.3567113564349711</v>
      </c>
      <c r="AE48" s="41" t="str">
        <f t="shared" si="13"/>
        <v/>
      </c>
      <c r="AF48" s="24">
        <f t="shared" si="28"/>
        <v>4.2805362772196531</v>
      </c>
      <c r="AG48" s="41" t="str">
        <f t="shared" si="14"/>
        <v/>
      </c>
      <c r="AH48" s="24">
        <f t="shared" si="29"/>
        <v>3.3664353266358376</v>
      </c>
      <c r="AI48" s="41" t="str">
        <f t="shared" si="15"/>
        <v/>
      </c>
      <c r="AJ48" s="24">
        <f t="shared" si="30"/>
        <v>4.3972239196300507</v>
      </c>
      <c r="AK48" s="41" t="str">
        <f t="shared" si="16"/>
        <v/>
      </c>
    </row>
    <row r="49" spans="1:37" ht="15" customHeight="1" x14ac:dyDescent="0.2">
      <c r="A49" s="581"/>
      <c r="B49" s="3" t="str">
        <f>Rydberg!B49</f>
        <v>Stefan-Boltzmann constant</v>
      </c>
      <c r="C49" s="64" t="str">
        <f>Rydberg!C49</f>
        <v>W/m^2/K^4</v>
      </c>
      <c r="D49" s="21">
        <f>Rydberg!D49</f>
        <v>5.6703744191844301E-8</v>
      </c>
      <c r="E49" s="8">
        <v>10</v>
      </c>
      <c r="F49" s="21">
        <f>D49/(F$9*POWER(F$3,-2)*POWER(F$6,-4))</f>
        <v>2.9796213807085562E-25</v>
      </c>
      <c r="G49" s="37" t="str">
        <f t="shared" si="17"/>
        <v>1;E82E281EX2</v>
      </c>
      <c r="H49" s="275">
        <f t="shared" si="18"/>
        <v>-1.3039559891064423E-2</v>
      </c>
      <c r="I49" s="278"/>
      <c r="J49" s="131">
        <v>-23</v>
      </c>
      <c r="K49" s="61">
        <f t="shared" si="31"/>
        <v>1.9739208802178712</v>
      </c>
      <c r="L49" s="134" t="str">
        <f>INDEX(powers!$H$2:$H$75,33+J49)</f>
        <v>dozen ter-atomic</v>
      </c>
      <c r="M49" s="40" t="str">
        <f t="shared" si="4"/>
        <v>1</v>
      </c>
      <c r="N49" s="24">
        <f t="shared" si="19"/>
        <v>11.687050562614454</v>
      </c>
      <c r="O49" s="41" t="str">
        <f t="shared" si="5"/>
        <v>E</v>
      </c>
      <c r="P49" s="24">
        <f t="shared" si="20"/>
        <v>8.2446067513734462</v>
      </c>
      <c r="Q49" s="41" t="str">
        <f t="shared" si="6"/>
        <v>8</v>
      </c>
      <c r="R49" s="24">
        <f t="shared" si="21"/>
        <v>2.9352810164813548</v>
      </c>
      <c r="S49" s="41" t="str">
        <f t="shared" si="7"/>
        <v>2</v>
      </c>
      <c r="T49" s="24">
        <f t="shared" si="22"/>
        <v>11.223372197776257</v>
      </c>
      <c r="U49" s="41" t="str">
        <f t="shared" si="8"/>
        <v>E</v>
      </c>
      <c r="V49" s="24">
        <f t="shared" si="23"/>
        <v>2.6804663733150846</v>
      </c>
      <c r="W49" s="41" t="str">
        <f t="shared" si="9"/>
        <v>2</v>
      </c>
      <c r="X49" s="24">
        <f t="shared" si="24"/>
        <v>8.1655964797810157</v>
      </c>
      <c r="Y49" s="41" t="str">
        <f t="shared" si="10"/>
        <v>8</v>
      </c>
      <c r="Z49" s="24">
        <f t="shared" si="25"/>
        <v>1.9871577573721879</v>
      </c>
      <c r="AA49" s="41" t="str">
        <f t="shared" si="11"/>
        <v>1</v>
      </c>
      <c r="AB49" s="24">
        <f t="shared" si="26"/>
        <v>11.845893088466255</v>
      </c>
      <c r="AC49" s="41" t="str">
        <f t="shared" si="12"/>
        <v>E</v>
      </c>
      <c r="AD49" s="24">
        <f t="shared" si="27"/>
        <v>10.15071706159506</v>
      </c>
      <c r="AE49" s="41" t="str">
        <f t="shared" si="13"/>
        <v>X</v>
      </c>
      <c r="AF49" s="24">
        <f t="shared" si="28"/>
        <v>1.8086047391407192</v>
      </c>
      <c r="AG49" s="41" t="str">
        <f t="shared" si="14"/>
        <v>2</v>
      </c>
      <c r="AH49" s="24">
        <f t="shared" si="29"/>
        <v>9.7032568696886301</v>
      </c>
      <c r="AI49" s="41" t="str">
        <f t="shared" si="15"/>
        <v/>
      </c>
      <c r="AJ49" s="24">
        <f t="shared" si="30"/>
        <v>8.4390824362635612</v>
      </c>
      <c r="AK49" s="41" t="str">
        <f t="shared" si="16"/>
        <v/>
      </c>
    </row>
    <row r="50" spans="1:37" ht="15" customHeight="1" x14ac:dyDescent="0.2">
      <c r="A50" s="581"/>
      <c r="B50" s="3" t="str">
        <f>Rydberg!B50</f>
        <v>Black-body radiation at the ice point</v>
      </c>
      <c r="C50" s="3" t="str">
        <f>Rydberg!C50</f>
        <v>W/m^2</v>
      </c>
      <c r="D50" s="21">
        <f>Rydberg!D50</f>
        <v>315.65782231107141</v>
      </c>
      <c r="E50" s="8">
        <v>6</v>
      </c>
      <c r="F50" s="21">
        <f>D50/(F$9*POWER(F$3,-2))</f>
        <v>144.17532292204831</v>
      </c>
      <c r="G50" s="37" t="str">
        <f t="shared" si="17"/>
        <v>1;00212E</v>
      </c>
      <c r="H50" s="275">
        <f t="shared" si="18"/>
        <v>1.2175202920021722E-3</v>
      </c>
      <c r="I50" s="278"/>
      <c r="J50" s="38">
        <v>2</v>
      </c>
      <c r="K50" s="61">
        <f t="shared" si="31"/>
        <v>1.0012175202920022</v>
      </c>
      <c r="L50" s="39" t="str">
        <f>INDEX(powers!$H$2:$H$75,33+J50)</f>
        <v>gross</v>
      </c>
      <c r="M50" s="40" t="str">
        <f t="shared" si="4"/>
        <v>1</v>
      </c>
      <c r="N50" s="24">
        <f t="shared" si="19"/>
        <v>1.4610243504026066E-2</v>
      </c>
      <c r="O50" s="41" t="str">
        <f t="shared" si="5"/>
        <v>0</v>
      </c>
      <c r="P50" s="24">
        <f t="shared" si="20"/>
        <v>0.17532292204831279</v>
      </c>
      <c r="Q50" s="41" t="str">
        <f t="shared" si="6"/>
        <v>0</v>
      </c>
      <c r="R50" s="24">
        <f t="shared" si="21"/>
        <v>2.1038750645797535</v>
      </c>
      <c r="S50" s="41" t="str">
        <f t="shared" si="7"/>
        <v>2</v>
      </c>
      <c r="T50" s="24">
        <f t="shared" si="22"/>
        <v>1.2465007749570418</v>
      </c>
      <c r="U50" s="41" t="str">
        <f t="shared" si="8"/>
        <v>1</v>
      </c>
      <c r="V50" s="24">
        <f t="shared" si="23"/>
        <v>2.9580092994845018</v>
      </c>
      <c r="W50" s="41" t="str">
        <f t="shared" si="9"/>
        <v>2</v>
      </c>
      <c r="X50" s="24">
        <f t="shared" si="24"/>
        <v>11.496111593814021</v>
      </c>
      <c r="Y50" s="41" t="str">
        <f t="shared" si="10"/>
        <v>E</v>
      </c>
      <c r="Z50" s="24">
        <f t="shared" si="25"/>
        <v>5.9533391257682524</v>
      </c>
      <c r="AA50" s="41" t="str">
        <f t="shared" si="11"/>
        <v/>
      </c>
      <c r="AB50" s="24">
        <f t="shared" si="26"/>
        <v>11.440069509219029</v>
      </c>
      <c r="AC50" s="41" t="str">
        <f t="shared" si="12"/>
        <v/>
      </c>
      <c r="AD50" s="24">
        <f t="shared" si="27"/>
        <v>5.2808341106283478</v>
      </c>
      <c r="AE50" s="41" t="str">
        <f t="shared" si="13"/>
        <v/>
      </c>
      <c r="AF50" s="24">
        <f t="shared" si="28"/>
        <v>3.3700093275401741</v>
      </c>
      <c r="AG50" s="41" t="str">
        <f t="shared" si="14"/>
        <v/>
      </c>
      <c r="AH50" s="24">
        <f t="shared" si="29"/>
        <v>4.4401119304820895</v>
      </c>
      <c r="AI50" s="41" t="str">
        <f t="shared" si="15"/>
        <v/>
      </c>
      <c r="AJ50" s="24">
        <f t="shared" si="30"/>
        <v>5.2813431657850742</v>
      </c>
      <c r="AK50" s="41" t="str">
        <f t="shared" si="16"/>
        <v/>
      </c>
    </row>
    <row r="51" spans="1:37" ht="15" customHeight="1" x14ac:dyDescent="0.2">
      <c r="A51" s="581"/>
      <c r="B51" s="3" t="str">
        <f>Rydberg!B51</f>
        <v>Temperature of the triple point of water</v>
      </c>
      <c r="C51" s="3" t="str">
        <f>Rydberg!C51</f>
        <v>K</v>
      </c>
      <c r="D51" s="21">
        <f>Rydberg!D51</f>
        <v>273.16000000000003</v>
      </c>
      <c r="E51" s="8">
        <v>6</v>
      </c>
      <c r="F51" s="21">
        <f>D51/F$6</f>
        <v>4690275.5930424593</v>
      </c>
      <c r="G51" s="37" t="str">
        <f t="shared" si="17"/>
        <v>1;6X2344</v>
      </c>
      <c r="H51" s="275"/>
      <c r="I51" s="278"/>
      <c r="J51" s="131">
        <v>6</v>
      </c>
      <c r="K51" s="61">
        <f t="shared" si="31"/>
        <v>1.5707638061833082</v>
      </c>
      <c r="L51" s="134" t="str">
        <f>INDEX(powers!$H$2:$H$75,33+J51)</f>
        <v>dino cosmic</v>
      </c>
      <c r="M51" s="40" t="str">
        <f t="shared" si="4"/>
        <v>1</v>
      </c>
      <c r="N51" s="24">
        <f t="shared" si="19"/>
        <v>6.8491656741996989</v>
      </c>
      <c r="O51" s="41" t="str">
        <f t="shared" si="5"/>
        <v>6</v>
      </c>
      <c r="P51" s="24">
        <f t="shared" si="20"/>
        <v>10.189988090396387</v>
      </c>
      <c r="Q51" s="41" t="str">
        <f t="shared" si="6"/>
        <v>X</v>
      </c>
      <c r="R51" s="24">
        <f t="shared" si="21"/>
        <v>2.2798570847566424</v>
      </c>
      <c r="S51" s="41" t="str">
        <f t="shared" si="7"/>
        <v>2</v>
      </c>
      <c r="T51" s="24">
        <f t="shared" si="22"/>
        <v>3.3582850170797087</v>
      </c>
      <c r="U51" s="41" t="str">
        <f t="shared" si="8"/>
        <v>3</v>
      </c>
      <c r="V51" s="24">
        <f t="shared" si="23"/>
        <v>4.2994202049565047</v>
      </c>
      <c r="W51" s="41" t="str">
        <f t="shared" si="9"/>
        <v>4</v>
      </c>
      <c r="X51" s="24">
        <f t="shared" si="24"/>
        <v>3.5930424594780561</v>
      </c>
      <c r="Y51" s="41" t="str">
        <f t="shared" si="10"/>
        <v>4</v>
      </c>
      <c r="Z51" s="24">
        <f t="shared" si="25"/>
        <v>7.1165095137366734</v>
      </c>
      <c r="AA51" s="41" t="str">
        <f t="shared" si="11"/>
        <v/>
      </c>
      <c r="AB51" s="24">
        <f t="shared" si="26"/>
        <v>1.3981141648400808</v>
      </c>
      <c r="AC51" s="41" t="str">
        <f t="shared" si="12"/>
        <v/>
      </c>
      <c r="AD51" s="24">
        <f t="shared" si="27"/>
        <v>4.7773699780809693</v>
      </c>
      <c r="AE51" s="41" t="str">
        <f t="shared" si="13"/>
        <v/>
      </c>
      <c r="AF51" s="24">
        <f t="shared" si="28"/>
        <v>9.3284397369716316</v>
      </c>
      <c r="AG51" s="41" t="str">
        <f t="shared" si="14"/>
        <v/>
      </c>
      <c r="AH51" s="24">
        <f t="shared" si="29"/>
        <v>3.9412768436595798</v>
      </c>
      <c r="AI51" s="41" t="str">
        <f t="shared" si="15"/>
        <v/>
      </c>
      <c r="AJ51" s="24">
        <f t="shared" si="30"/>
        <v>11.295322123914957</v>
      </c>
      <c r="AK51" s="41" t="str">
        <f t="shared" si="16"/>
        <v/>
      </c>
    </row>
    <row r="52" spans="1:37" ht="15" customHeight="1" x14ac:dyDescent="0.2">
      <c r="A52" s="581"/>
      <c r="B52" s="3" t="str">
        <f>Rydberg!B52</f>
        <v>Molar volume of an ideal gas</v>
      </c>
      <c r="C52" s="3" t="str">
        <f>Rydberg!C52</f>
        <v>m^3/mol</v>
      </c>
      <c r="D52" s="21">
        <f>Rydberg!D52</f>
        <v>2.2413969539999998E-2</v>
      </c>
      <c r="E52" s="8">
        <v>6</v>
      </c>
      <c r="F52" s="21">
        <f>D52/(POWER(F$3,3)/F$7)</f>
        <v>145.35190862280947</v>
      </c>
      <c r="G52" s="37" t="str">
        <f t="shared" si="17"/>
        <v>1;014281</v>
      </c>
      <c r="H52" s="275">
        <f>K52*POWER(12,I52)/ROUND(K52*POWER(12,I52),0)-1</f>
        <v>9.3882543250658479E-3</v>
      </c>
      <c r="I52" s="278"/>
      <c r="J52" s="38">
        <v>2</v>
      </c>
      <c r="K52" s="61">
        <f t="shared" si="31"/>
        <v>1.0093882543250658</v>
      </c>
      <c r="L52" s="39" t="str">
        <f>INDEX(powers!$H$2:$H$75,33+J52)</f>
        <v>gross</v>
      </c>
      <c r="M52" s="40" t="str">
        <f t="shared" si="4"/>
        <v>1</v>
      </c>
      <c r="N52" s="24">
        <f t="shared" si="19"/>
        <v>0.11265905190079017</v>
      </c>
      <c r="O52" s="41" t="str">
        <f t="shared" si="5"/>
        <v>0</v>
      </c>
      <c r="P52" s="24">
        <f t="shared" si="20"/>
        <v>1.3519086228094821</v>
      </c>
      <c r="Q52" s="41" t="str">
        <f t="shared" si="6"/>
        <v>1</v>
      </c>
      <c r="R52" s="24">
        <f t="shared" si="21"/>
        <v>4.2229034737137852</v>
      </c>
      <c r="S52" s="41" t="str">
        <f t="shared" si="7"/>
        <v>4</v>
      </c>
      <c r="T52" s="24">
        <f t="shared" si="22"/>
        <v>2.6748416845654219</v>
      </c>
      <c r="U52" s="41" t="str">
        <f t="shared" si="8"/>
        <v>2</v>
      </c>
      <c r="V52" s="24">
        <f t="shared" si="23"/>
        <v>8.0981002147850631</v>
      </c>
      <c r="W52" s="41" t="str">
        <f t="shared" si="9"/>
        <v>8</v>
      </c>
      <c r="X52" s="24">
        <f t="shared" si="24"/>
        <v>1.1772025774207577</v>
      </c>
      <c r="Y52" s="41" t="str">
        <f t="shared" si="10"/>
        <v>1</v>
      </c>
      <c r="Z52" s="24">
        <f t="shared" si="25"/>
        <v>2.1264309290490928</v>
      </c>
      <c r="AA52" s="41" t="str">
        <f t="shared" si="11"/>
        <v/>
      </c>
      <c r="AB52" s="24">
        <f t="shared" si="26"/>
        <v>1.5171711485891137</v>
      </c>
      <c r="AC52" s="41" t="str">
        <f t="shared" si="12"/>
        <v/>
      </c>
      <c r="AD52" s="24">
        <f t="shared" si="27"/>
        <v>6.2060537830693647</v>
      </c>
      <c r="AE52" s="41" t="str">
        <f t="shared" si="13"/>
        <v/>
      </c>
      <c r="AF52" s="24">
        <f t="shared" si="28"/>
        <v>2.4726453968323767</v>
      </c>
      <c r="AG52" s="41" t="str">
        <f t="shared" si="14"/>
        <v/>
      </c>
      <c r="AH52" s="24">
        <f t="shared" si="29"/>
        <v>5.6717447619885206</v>
      </c>
      <c r="AI52" s="41" t="str">
        <f t="shared" si="15"/>
        <v/>
      </c>
      <c r="AJ52" s="24">
        <f t="shared" si="30"/>
        <v>8.0609371438622475</v>
      </c>
      <c r="AK52" s="41" t="str">
        <f t="shared" si="16"/>
        <v/>
      </c>
    </row>
    <row r="53" spans="1:37" ht="15" customHeight="1" x14ac:dyDescent="0.2">
      <c r="A53" s="581"/>
      <c r="B53" s="67" t="str">
        <f>Rydberg!B53</f>
        <v>-log(Sqrt([H+][OH-])/(mol/m^3))</v>
      </c>
      <c r="C53" s="3" t="str">
        <f>Rydberg!C53</f>
        <v>log(12)</v>
      </c>
      <c r="D53" s="21">
        <f>Rydberg!D53</f>
        <v>1.0039920318408906E-4</v>
      </c>
      <c r="E53" s="8">
        <v>4</v>
      </c>
      <c r="F53" s="21">
        <f>-LOG(D$53/(F$7*POWER(F$3,-3)))/LOG(12)</f>
        <v>7.2371269645681489</v>
      </c>
      <c r="G53" s="37" t="str">
        <f t="shared" si="17"/>
        <v>7;2X19</v>
      </c>
      <c r="H53" s="275"/>
      <c r="I53" s="278"/>
      <c r="J53" s="38">
        <v>0</v>
      </c>
      <c r="K53" s="61">
        <f t="shared" si="31"/>
        <v>7.2371269645681489</v>
      </c>
      <c r="L53" s="39" t="str">
        <f>INDEX(powers!$H$2:$H$75,33+J53)</f>
        <v xml:space="preserve"> </v>
      </c>
      <c r="M53" s="40" t="str">
        <f t="shared" si="4"/>
        <v>7</v>
      </c>
      <c r="N53" s="24">
        <f t="shared" si="19"/>
        <v>2.8455235748177863</v>
      </c>
      <c r="O53" s="41" t="str">
        <f t="shared" si="5"/>
        <v>2</v>
      </c>
      <c r="P53" s="24">
        <f t="shared" si="20"/>
        <v>10.146282897813435</v>
      </c>
      <c r="Q53" s="41" t="str">
        <f t="shared" si="6"/>
        <v>X</v>
      </c>
      <c r="R53" s="24">
        <f t="shared" si="21"/>
        <v>1.7553947737612248</v>
      </c>
      <c r="S53" s="41" t="str">
        <f t="shared" si="7"/>
        <v>1</v>
      </c>
      <c r="T53" s="24">
        <f t="shared" si="22"/>
        <v>9.0647372851346972</v>
      </c>
      <c r="U53" s="41" t="str">
        <f t="shared" si="8"/>
        <v>9</v>
      </c>
      <c r="V53" s="24">
        <f t="shared" si="23"/>
        <v>0.77684742161636677</v>
      </c>
      <c r="W53" s="41" t="str">
        <f t="shared" si="9"/>
        <v/>
      </c>
      <c r="X53" s="24">
        <f t="shared" si="24"/>
        <v>9.3221690593964013</v>
      </c>
      <c r="Y53" s="41" t="str">
        <f t="shared" si="10"/>
        <v/>
      </c>
      <c r="Z53" s="24">
        <f t="shared" si="25"/>
        <v>3.8660287127568154</v>
      </c>
      <c r="AA53" s="41" t="str">
        <f t="shared" si="11"/>
        <v/>
      </c>
      <c r="AB53" s="24">
        <f t="shared" si="26"/>
        <v>10.392344553081784</v>
      </c>
      <c r="AC53" s="41" t="str">
        <f t="shared" si="12"/>
        <v/>
      </c>
      <c r="AD53" s="24">
        <f t="shared" si="27"/>
        <v>4.7081346369814128</v>
      </c>
      <c r="AE53" s="41" t="str">
        <f t="shared" si="13"/>
        <v/>
      </c>
      <c r="AF53" s="24">
        <f t="shared" si="28"/>
        <v>8.4976156437769532</v>
      </c>
      <c r="AG53" s="41" t="str">
        <f t="shared" si="14"/>
        <v/>
      </c>
      <c r="AH53" s="24">
        <f t="shared" si="29"/>
        <v>5.9713877253234386</v>
      </c>
      <c r="AI53" s="41" t="str">
        <f t="shared" si="15"/>
        <v/>
      </c>
      <c r="AJ53" s="24">
        <f t="shared" si="30"/>
        <v>11.656652703881264</v>
      </c>
      <c r="AK53" s="41" t="str">
        <f t="shared" si="16"/>
        <v/>
      </c>
    </row>
    <row r="54" spans="1:37" ht="15" customHeight="1" x14ac:dyDescent="0.2">
      <c r="A54" s="581"/>
      <c r="B54" s="3" t="str">
        <f>Rydberg!B54</f>
        <v>Maximum density of water</v>
      </c>
      <c r="C54" s="3" t="str">
        <f>Rydberg!C54</f>
        <v>kg/m^3</v>
      </c>
      <c r="D54" s="21">
        <f>Rydberg!D54</f>
        <v>999.97199999999998</v>
      </c>
      <c r="E54" s="8">
        <v>6</v>
      </c>
      <c r="F54" s="21">
        <f>D54/(F$8*POWER(F$3,-3))</f>
        <v>154.80123458843318</v>
      </c>
      <c r="G54" s="37" t="str">
        <f t="shared" si="17"/>
        <v>1;0X9746</v>
      </c>
      <c r="H54" s="294">
        <f t="shared" ref="H54:H62" si="114">K54*POWER(12,I54)/ROUND(K54*POWER(12,I54),0)-1</f>
        <v>7.5008573530785938E-2</v>
      </c>
      <c r="I54" s="295"/>
      <c r="J54" s="38">
        <v>2</v>
      </c>
      <c r="K54" s="61">
        <f t="shared" si="31"/>
        <v>1.0750085735307859</v>
      </c>
      <c r="L54" s="39" t="str">
        <f>INDEX(powers!$H$2:$H$75,33+J54)</f>
        <v>gross</v>
      </c>
      <c r="M54" s="40" t="str">
        <f t="shared" si="4"/>
        <v>1</v>
      </c>
      <c r="N54" s="24">
        <f t="shared" si="19"/>
        <v>0.90010288236943126</v>
      </c>
      <c r="O54" s="41" t="str">
        <f t="shared" si="5"/>
        <v>0</v>
      </c>
      <c r="P54" s="24">
        <f t="shared" si="20"/>
        <v>10.801234588433175</v>
      </c>
      <c r="Q54" s="41" t="str">
        <f t="shared" si="6"/>
        <v>X</v>
      </c>
      <c r="R54" s="24">
        <f t="shared" si="21"/>
        <v>9.6148150611981009</v>
      </c>
      <c r="S54" s="41" t="str">
        <f t="shared" si="7"/>
        <v>9</v>
      </c>
      <c r="T54" s="24">
        <f t="shared" si="22"/>
        <v>7.377780734377211</v>
      </c>
      <c r="U54" s="41" t="str">
        <f t="shared" si="8"/>
        <v>7</v>
      </c>
      <c r="V54" s="24">
        <f t="shared" si="23"/>
        <v>4.5333688125265326</v>
      </c>
      <c r="W54" s="41" t="str">
        <f t="shared" si="9"/>
        <v>4</v>
      </c>
      <c r="X54" s="24">
        <f t="shared" si="24"/>
        <v>6.4004257503183908</v>
      </c>
      <c r="Y54" s="41" t="str">
        <f t="shared" si="10"/>
        <v>6</v>
      </c>
      <c r="Z54" s="24">
        <f t="shared" si="25"/>
        <v>4.8051090038206894</v>
      </c>
      <c r="AA54" s="41" t="str">
        <f t="shared" si="11"/>
        <v/>
      </c>
      <c r="AB54" s="24">
        <f t="shared" si="26"/>
        <v>9.6613080458482727</v>
      </c>
      <c r="AC54" s="41" t="str">
        <f t="shared" si="12"/>
        <v/>
      </c>
      <c r="AD54" s="24">
        <f t="shared" si="27"/>
        <v>7.9356965501792729</v>
      </c>
      <c r="AE54" s="41" t="str">
        <f t="shared" si="13"/>
        <v/>
      </c>
      <c r="AF54" s="24">
        <f t="shared" si="28"/>
        <v>11.228358602151275</v>
      </c>
      <c r="AG54" s="41" t="str">
        <f t="shared" si="14"/>
        <v/>
      </c>
      <c r="AH54" s="24">
        <f t="shared" si="29"/>
        <v>2.7403032258152962</v>
      </c>
      <c r="AI54" s="41" t="str">
        <f t="shared" si="15"/>
        <v/>
      </c>
      <c r="AJ54" s="24">
        <f t="shared" si="30"/>
        <v>8.8836387097835541</v>
      </c>
      <c r="AK54" s="41" t="str">
        <f t="shared" si="16"/>
        <v/>
      </c>
    </row>
    <row r="55" spans="1:37" ht="15" customHeight="1" x14ac:dyDescent="0.2">
      <c r="A55" s="581"/>
      <c r="B55" s="3" t="str">
        <f>Rydberg!B55</f>
        <v>Density of ice at the ice point</v>
      </c>
      <c r="C55" s="3" t="str">
        <f>Rydberg!C55</f>
        <v>kg/m^3</v>
      </c>
      <c r="D55" s="21">
        <f>Rydberg!D55</f>
        <v>916.8</v>
      </c>
      <c r="E55" s="8">
        <v>4</v>
      </c>
      <c r="F55" s="21">
        <f>D55/(F$8*POWER(F$3,-3))</f>
        <v>141.92574579155772</v>
      </c>
      <c r="G55" s="37" t="str">
        <f t="shared" si="17"/>
        <v>0;E9E1</v>
      </c>
      <c r="H55" s="275">
        <f t="shared" si="114"/>
        <v>-1.4404543114182489E-2</v>
      </c>
      <c r="I55" s="278"/>
      <c r="J55" s="38">
        <v>2</v>
      </c>
      <c r="K55" s="61">
        <f t="shared" si="31"/>
        <v>0.98559545688581751</v>
      </c>
      <c r="L55" s="39" t="str">
        <f>INDEX(powers!$H$2:$H$75,33+J55)</f>
        <v>gross</v>
      </c>
      <c r="M55" s="40" t="str">
        <f t="shared" si="4"/>
        <v>0</v>
      </c>
      <c r="N55" s="24">
        <f t="shared" si="19"/>
        <v>11.82714548262981</v>
      </c>
      <c r="O55" s="41" t="str">
        <f t="shared" si="5"/>
        <v>E</v>
      </c>
      <c r="P55" s="24">
        <f t="shared" si="20"/>
        <v>9.9257457915577163</v>
      </c>
      <c r="Q55" s="41" t="str">
        <f t="shared" si="6"/>
        <v>9</v>
      </c>
      <c r="R55" s="24">
        <f t="shared" si="21"/>
        <v>11.108949498692596</v>
      </c>
      <c r="S55" s="41" t="str">
        <f t="shared" si="7"/>
        <v>E</v>
      </c>
      <c r="T55" s="24">
        <f t="shared" si="22"/>
        <v>1.3073939843111475</v>
      </c>
      <c r="U55" s="41" t="str">
        <f t="shared" si="8"/>
        <v>1</v>
      </c>
      <c r="V55" s="24">
        <f t="shared" si="23"/>
        <v>3.6887278117337701</v>
      </c>
      <c r="W55" s="41" t="str">
        <f t="shared" si="9"/>
        <v/>
      </c>
      <c r="X55" s="24">
        <f t="shared" si="24"/>
        <v>8.2647337408052408</v>
      </c>
      <c r="Y55" s="41" t="str">
        <f t="shared" si="10"/>
        <v/>
      </c>
      <c r="Z55" s="24">
        <f t="shared" si="25"/>
        <v>3.1768048896628898</v>
      </c>
      <c r="AA55" s="41" t="str">
        <f t="shared" si="11"/>
        <v/>
      </c>
      <c r="AB55" s="24">
        <f t="shared" si="26"/>
        <v>2.1216586759546772</v>
      </c>
      <c r="AC55" s="41" t="str">
        <f t="shared" si="12"/>
        <v/>
      </c>
      <c r="AD55" s="24">
        <f t="shared" si="27"/>
        <v>1.459904111456126</v>
      </c>
      <c r="AE55" s="41" t="str">
        <f t="shared" si="13"/>
        <v/>
      </c>
      <c r="AF55" s="24">
        <f t="shared" si="28"/>
        <v>5.5188493374735117</v>
      </c>
      <c r="AG55" s="41" t="str">
        <f t="shared" si="14"/>
        <v/>
      </c>
      <c r="AH55" s="24">
        <f t="shared" si="29"/>
        <v>6.2261920496821404</v>
      </c>
      <c r="AI55" s="41" t="str">
        <f t="shared" si="15"/>
        <v/>
      </c>
      <c r="AJ55" s="24">
        <f t="shared" si="30"/>
        <v>2.7143045961856842</v>
      </c>
      <c r="AK55" s="41" t="str">
        <f t="shared" si="16"/>
        <v/>
      </c>
    </row>
    <row r="56" spans="1:37" ht="15" customHeight="1" x14ac:dyDescent="0.2">
      <c r="A56" s="581"/>
      <c r="B56" s="3" t="str">
        <f>Rydberg!B56</f>
        <v>Specific heat of water</v>
      </c>
      <c r="C56" s="3" t="str">
        <f>Rydberg!C56</f>
        <v>J/kg/K</v>
      </c>
      <c r="D56" s="21">
        <f>Rydberg!D56</f>
        <v>4184</v>
      </c>
      <c r="E56" s="8">
        <v>4</v>
      </c>
      <c r="F56" s="21">
        <f>D56/(F$5/F$8/F$6)</f>
        <v>0.50126680878725094</v>
      </c>
      <c r="G56" s="37" t="str">
        <f t="shared" si="17"/>
        <v>6;0223</v>
      </c>
      <c r="H56" s="294">
        <f t="shared" si="114"/>
        <v>2.5336175745018785E-3</v>
      </c>
      <c r="I56" s="295"/>
      <c r="J56" s="131">
        <v>-1</v>
      </c>
      <c r="K56" s="61">
        <f t="shared" si="31"/>
        <v>6.0152017054470113</v>
      </c>
      <c r="L56" s="134" t="str">
        <f>INDEX(powers!$H$2:$H$75,33+J56)</f>
        <v>unino</v>
      </c>
      <c r="M56" s="40" t="str">
        <f t="shared" si="4"/>
        <v>6</v>
      </c>
      <c r="N56" s="24">
        <f t="shared" si="19"/>
        <v>0.18242046536413525</v>
      </c>
      <c r="O56" s="41" t="str">
        <f t="shared" si="5"/>
        <v>0</v>
      </c>
      <c r="P56" s="24">
        <f t="shared" si="20"/>
        <v>2.189045584369623</v>
      </c>
      <c r="Q56" s="41" t="str">
        <f t="shared" si="6"/>
        <v>2</v>
      </c>
      <c r="R56" s="24">
        <f t="shared" si="21"/>
        <v>2.2685470124354765</v>
      </c>
      <c r="S56" s="41" t="str">
        <f t="shared" si="7"/>
        <v>2</v>
      </c>
      <c r="T56" s="24">
        <f t="shared" si="22"/>
        <v>3.2225641492257182</v>
      </c>
      <c r="U56" s="41" t="str">
        <f t="shared" si="8"/>
        <v>3</v>
      </c>
      <c r="V56" s="24">
        <f t="shared" si="23"/>
        <v>2.6707697907086185</v>
      </c>
      <c r="W56" s="41" t="str">
        <f t="shared" si="9"/>
        <v/>
      </c>
      <c r="X56" s="24">
        <f t="shared" si="24"/>
        <v>8.0492374885034224</v>
      </c>
      <c r="Y56" s="41" t="str">
        <f t="shared" si="10"/>
        <v/>
      </c>
      <c r="Z56" s="24">
        <f t="shared" si="25"/>
        <v>0.59084986204106826</v>
      </c>
      <c r="AA56" s="41" t="str">
        <f t="shared" si="11"/>
        <v/>
      </c>
      <c r="AB56" s="24">
        <f t="shared" si="26"/>
        <v>7.0901983444928192</v>
      </c>
      <c r="AC56" s="41" t="str">
        <f t="shared" si="12"/>
        <v/>
      </c>
      <c r="AD56" s="24">
        <f t="shared" si="27"/>
        <v>1.0823801339138299</v>
      </c>
      <c r="AE56" s="41" t="str">
        <f t="shared" si="13"/>
        <v/>
      </c>
      <c r="AF56" s="24">
        <f t="shared" si="28"/>
        <v>0.98856160696595907</v>
      </c>
      <c r="AG56" s="41" t="str">
        <f t="shared" si="14"/>
        <v/>
      </c>
      <c r="AH56" s="24">
        <f t="shared" si="29"/>
        <v>11.862739283591509</v>
      </c>
      <c r="AI56" s="41" t="str">
        <f t="shared" si="15"/>
        <v/>
      </c>
      <c r="AJ56" s="24">
        <f t="shared" si="30"/>
        <v>10.352871403098106</v>
      </c>
      <c r="AK56" s="41" t="str">
        <f t="shared" si="16"/>
        <v/>
      </c>
    </row>
    <row r="57" spans="1:37" ht="15" customHeight="1" x14ac:dyDescent="0.2">
      <c r="A57" s="581"/>
      <c r="B57" s="3" t="str">
        <f>Rydberg!B57</f>
        <v>Surface tension of water at 25℃</v>
      </c>
      <c r="C57" s="3" t="str">
        <f>Rydberg!C57</f>
        <v>N/m</v>
      </c>
      <c r="D57" s="21">
        <f>Rydberg!D57</f>
        <v>7.1970000000000006E-2</v>
      </c>
      <c r="E57" s="8">
        <v>4</v>
      </c>
      <c r="F57" s="21">
        <f>D$57/(F$10/F$3)</f>
        <v>8.3939091987456332E-2</v>
      </c>
      <c r="G57" s="37" t="str">
        <f t="shared" si="17"/>
        <v>1;0107</v>
      </c>
      <c r="H57" s="275">
        <f t="shared" si="114"/>
        <v>7.2691038494760996E-3</v>
      </c>
      <c r="I57" s="278"/>
      <c r="J57" s="38">
        <v>-1</v>
      </c>
      <c r="K57" s="61">
        <f t="shared" si="31"/>
        <v>1.0072691038494761</v>
      </c>
      <c r="L57" s="39" t="str">
        <f>INDEX(powers!$H$2:$H$75,33+J57)</f>
        <v>unino</v>
      </c>
      <c r="M57" s="40" t="str">
        <f t="shared" si="4"/>
        <v>1</v>
      </c>
      <c r="N57" s="24">
        <f t="shared" si="19"/>
        <v>8.7229246193713195E-2</v>
      </c>
      <c r="O57" s="41" t="str">
        <f t="shared" si="5"/>
        <v>0</v>
      </c>
      <c r="P57" s="24">
        <f t="shared" si="20"/>
        <v>1.0467509543245583</v>
      </c>
      <c r="Q57" s="41" t="str">
        <f t="shared" si="6"/>
        <v>1</v>
      </c>
      <c r="R57" s="24">
        <f t="shared" si="21"/>
        <v>0.56101145189470003</v>
      </c>
      <c r="S57" s="41" t="str">
        <f t="shared" si="7"/>
        <v>0</v>
      </c>
      <c r="T57" s="24">
        <f t="shared" si="22"/>
        <v>6.7321374227364004</v>
      </c>
      <c r="U57" s="41" t="str">
        <f t="shared" si="8"/>
        <v>7</v>
      </c>
      <c r="V57" s="24">
        <f t="shared" si="23"/>
        <v>8.7856490728368044</v>
      </c>
      <c r="W57" s="41" t="str">
        <f t="shared" si="9"/>
        <v/>
      </c>
      <c r="X57" s="24">
        <f t="shared" si="24"/>
        <v>9.4277888740416529</v>
      </c>
      <c r="Y57" s="41" t="str">
        <f t="shared" si="10"/>
        <v/>
      </c>
      <c r="Z57" s="24">
        <f t="shared" si="25"/>
        <v>5.1334664884998347</v>
      </c>
      <c r="AA57" s="41" t="str">
        <f t="shared" si="11"/>
        <v/>
      </c>
      <c r="AB57" s="24">
        <f t="shared" si="26"/>
        <v>1.601597861998016</v>
      </c>
      <c r="AC57" s="41" t="str">
        <f t="shared" si="12"/>
        <v/>
      </c>
      <c r="AD57" s="24">
        <f t="shared" si="27"/>
        <v>7.2191743439761922</v>
      </c>
      <c r="AE57" s="41" t="str">
        <f t="shared" si="13"/>
        <v/>
      </c>
      <c r="AF57" s="24">
        <f t="shared" si="28"/>
        <v>2.6300921277143061</v>
      </c>
      <c r="AG57" s="41" t="str">
        <f t="shared" si="14"/>
        <v/>
      </c>
      <c r="AH57" s="24">
        <f t="shared" si="29"/>
        <v>7.5611055325716734</v>
      </c>
      <c r="AI57" s="41" t="str">
        <f t="shared" si="15"/>
        <v/>
      </c>
      <c r="AJ57" s="24">
        <f t="shared" si="30"/>
        <v>6.7332663908600807</v>
      </c>
      <c r="AK57" s="41" t="str">
        <f t="shared" si="16"/>
        <v/>
      </c>
    </row>
    <row r="58" spans="1:37" ht="15" customHeight="1" x14ac:dyDescent="0.2">
      <c r="A58" s="581"/>
      <c r="B58" s="5" t="str">
        <f>Rydberg!B58</f>
        <v>photon energy at 540THz</v>
      </c>
      <c r="C58" s="3" t="str">
        <f>Rydberg!C58</f>
        <v>J</v>
      </c>
      <c r="D58" s="21">
        <f>D36*540000000000000*(2*PI())</f>
        <v>3.5780778809999999E-19</v>
      </c>
      <c r="E58" s="8">
        <v>10</v>
      </c>
      <c r="F58" s="21">
        <f>D58/F$5</f>
        <v>5.5975484237263108E-18</v>
      </c>
      <c r="G58" s="37" t="str">
        <f t="shared" si="17"/>
        <v>1;05037X7791</v>
      </c>
      <c r="H58" s="275">
        <f t="shared" si="114"/>
        <v>3.4898591949718227E-2</v>
      </c>
      <c r="I58" s="278"/>
      <c r="J58" s="38">
        <v>-16</v>
      </c>
      <c r="K58" s="61">
        <f t="shared" si="31"/>
        <v>1.0348985919497182</v>
      </c>
      <c r="L58" s="39" t="str">
        <f>INDEX(powers!$H$2:$H$75,33+J58)</f>
        <v>di-atomic</v>
      </c>
      <c r="M58" s="40" t="str">
        <f t="shared" si="4"/>
        <v>1</v>
      </c>
      <c r="N58" s="24">
        <f t="shared" si="19"/>
        <v>0.41878310339661873</v>
      </c>
      <c r="O58" s="41" t="str">
        <f t="shared" si="5"/>
        <v>0</v>
      </c>
      <c r="P58" s="24">
        <f t="shared" si="20"/>
        <v>5.0253972407594247</v>
      </c>
      <c r="Q58" s="41" t="str">
        <f t="shared" si="6"/>
        <v>5</v>
      </c>
      <c r="R58" s="24">
        <f t="shared" si="21"/>
        <v>0.30476688911309679</v>
      </c>
      <c r="S58" s="41" t="str">
        <f t="shared" si="7"/>
        <v>0</v>
      </c>
      <c r="T58" s="24">
        <f t="shared" si="22"/>
        <v>3.6572026693571615</v>
      </c>
      <c r="U58" s="41" t="str">
        <f t="shared" si="8"/>
        <v>3</v>
      </c>
      <c r="V58" s="24">
        <f t="shared" si="23"/>
        <v>7.8864320322859385</v>
      </c>
      <c r="W58" s="41" t="str">
        <f t="shared" si="9"/>
        <v>7</v>
      </c>
      <c r="X58" s="24">
        <f t="shared" si="24"/>
        <v>10.637184387431262</v>
      </c>
      <c r="Y58" s="41" t="str">
        <f t="shared" si="10"/>
        <v>X</v>
      </c>
      <c r="Z58" s="24">
        <f t="shared" si="25"/>
        <v>7.6462126491751405</v>
      </c>
      <c r="AA58" s="41" t="str">
        <f t="shared" si="11"/>
        <v>7</v>
      </c>
      <c r="AB58" s="24">
        <f t="shared" si="26"/>
        <v>7.7545517901016865</v>
      </c>
      <c r="AC58" s="41" t="str">
        <f t="shared" si="12"/>
        <v>7</v>
      </c>
      <c r="AD58" s="24">
        <f t="shared" si="27"/>
        <v>9.0546214812202379</v>
      </c>
      <c r="AE58" s="41" t="str">
        <f t="shared" si="13"/>
        <v>9</v>
      </c>
      <c r="AF58" s="24">
        <f t="shared" si="28"/>
        <v>0.65545777464285493</v>
      </c>
      <c r="AG58" s="41" t="str">
        <f t="shared" si="14"/>
        <v>1</v>
      </c>
      <c r="AH58" s="24">
        <f t="shared" si="29"/>
        <v>7.8654932957142591</v>
      </c>
      <c r="AI58" s="41" t="str">
        <f t="shared" si="15"/>
        <v/>
      </c>
      <c r="AJ58" s="24">
        <f t="shared" si="30"/>
        <v>10.38591954857111</v>
      </c>
      <c r="AK58" s="41" t="str">
        <f t="shared" si="16"/>
        <v/>
      </c>
    </row>
    <row r="59" spans="1:37" ht="15" customHeight="1" x14ac:dyDescent="0.2">
      <c r="A59" s="581"/>
      <c r="B59" s="224" t="str">
        <f>Rydberg!B59</f>
        <v>(according to the definition of candela)</v>
      </c>
      <c r="C59" s="3" t="str">
        <f>Rydberg!C59</f>
        <v>eΩA</v>
      </c>
      <c r="D59" s="21">
        <f>D58/D41</f>
        <v>2.2332605563388839</v>
      </c>
      <c r="E59" s="8">
        <v>10</v>
      </c>
      <c r="F59" s="21">
        <f>D59/F$17</f>
        <v>1.0095640690923067</v>
      </c>
      <c r="G59" s="37" t="str">
        <f t="shared" si="17"/>
        <v>1;01463X1X79</v>
      </c>
      <c r="H59" s="275">
        <f t="shared" si="114"/>
        <v>9.5640690923066707E-3</v>
      </c>
      <c r="I59" s="278"/>
      <c r="J59" s="38">
        <v>0</v>
      </c>
      <c r="K59" s="61">
        <f t="shared" si="31"/>
        <v>1.0095640690923067</v>
      </c>
      <c r="L59" s="254">
        <f>540/K59</f>
        <v>534.88432931801049</v>
      </c>
      <c r="M59" s="40" t="str">
        <f t="shared" si="4"/>
        <v>1</v>
      </c>
      <c r="N59" s="24">
        <f t="shared" si="19"/>
        <v>0.11476882910768005</v>
      </c>
      <c r="O59" s="41" t="str">
        <f t="shared" si="5"/>
        <v>0</v>
      </c>
      <c r="P59" s="24">
        <f t="shared" si="20"/>
        <v>1.3772259492921606</v>
      </c>
      <c r="Q59" s="41" t="str">
        <f t="shared" si="6"/>
        <v>1</v>
      </c>
      <c r="R59" s="24">
        <f t="shared" si="21"/>
        <v>4.5267113915059269</v>
      </c>
      <c r="S59" s="41" t="str">
        <f t="shared" si="7"/>
        <v>4</v>
      </c>
      <c r="T59" s="24">
        <f t="shared" si="22"/>
        <v>6.3205366980711233</v>
      </c>
      <c r="U59" s="41" t="str">
        <f t="shared" si="8"/>
        <v>6</v>
      </c>
      <c r="V59" s="24">
        <f t="shared" si="23"/>
        <v>3.8464403768534794</v>
      </c>
      <c r="W59" s="41" t="str">
        <f t="shared" si="9"/>
        <v>3</v>
      </c>
      <c r="X59" s="24">
        <f t="shared" si="24"/>
        <v>10.157284522241753</v>
      </c>
      <c r="Y59" s="41" t="str">
        <f t="shared" si="10"/>
        <v>X</v>
      </c>
      <c r="Z59" s="24">
        <f t="shared" si="25"/>
        <v>1.8874142669010325</v>
      </c>
      <c r="AA59" s="41" t="str">
        <f t="shared" si="11"/>
        <v>1</v>
      </c>
      <c r="AB59" s="24">
        <f t="shared" si="26"/>
        <v>10.64897120281239</v>
      </c>
      <c r="AC59" s="41" t="str">
        <f t="shared" si="12"/>
        <v>X</v>
      </c>
      <c r="AD59" s="24">
        <f t="shared" si="27"/>
        <v>7.7876544337486848</v>
      </c>
      <c r="AE59" s="41" t="str">
        <f t="shared" si="13"/>
        <v>7</v>
      </c>
      <c r="AF59" s="24">
        <f t="shared" si="28"/>
        <v>9.4518532049842179</v>
      </c>
      <c r="AG59" s="41" t="str">
        <f t="shared" si="14"/>
        <v>9</v>
      </c>
      <c r="AH59" s="24">
        <f t="shared" si="29"/>
        <v>5.4222384598106146</v>
      </c>
      <c r="AI59" s="41" t="str">
        <f t="shared" si="15"/>
        <v/>
      </c>
      <c r="AJ59" s="24">
        <f t="shared" si="30"/>
        <v>5.066861517727375</v>
      </c>
      <c r="AK59" s="41" t="str">
        <f t="shared" si="16"/>
        <v/>
      </c>
    </row>
    <row r="60" spans="1:37" ht="15" customHeight="1" x14ac:dyDescent="0.2">
      <c r="A60" s="581"/>
      <c r="B60" s="267">
        <f>Rydberg!B60</f>
        <v>1.024</v>
      </c>
      <c r="C60" s="3" t="str">
        <f>Rydberg!C60</f>
        <v>P/m</v>
      </c>
      <c r="D60" s="21">
        <f>D54*D63*B60</f>
        <v>10041.728423731198</v>
      </c>
      <c r="E60" s="8">
        <v>6</v>
      </c>
      <c r="F60" s="21">
        <f>D60/(F11/F3)</f>
        <v>873.14411300815618</v>
      </c>
      <c r="G60" s="37" t="str">
        <f t="shared" si="17"/>
        <v>6;091890</v>
      </c>
      <c r="H60" s="275">
        <f t="shared" si="114"/>
        <v>1.0583464129810372E-2</v>
      </c>
      <c r="I60" s="278"/>
      <c r="J60" s="38">
        <v>2</v>
      </c>
      <c r="K60" s="61">
        <f t="shared" si="31"/>
        <v>6.0635007847788627</v>
      </c>
      <c r="L60" s="39" t="str">
        <f>INDEX(powers!$H$2:$H$75,33+J60)</f>
        <v>gross</v>
      </c>
      <c r="M60" s="40" t="str">
        <f t="shared" si="4"/>
        <v>6</v>
      </c>
      <c r="N60" s="24">
        <f t="shared" si="19"/>
        <v>0.76200941734635208</v>
      </c>
      <c r="O60" s="41" t="str">
        <f t="shared" si="5"/>
        <v>0</v>
      </c>
      <c r="P60" s="24">
        <f t="shared" si="20"/>
        <v>9.144113008156225</v>
      </c>
      <c r="Q60" s="41" t="str">
        <f t="shared" si="6"/>
        <v>9</v>
      </c>
      <c r="R60" s="24">
        <f t="shared" si="21"/>
        <v>1.7293560978746996</v>
      </c>
      <c r="S60" s="41" t="str">
        <f t="shared" si="7"/>
        <v>1</v>
      </c>
      <c r="T60" s="24">
        <f t="shared" si="22"/>
        <v>8.7522731744963949</v>
      </c>
      <c r="U60" s="41" t="str">
        <f t="shared" si="8"/>
        <v>8</v>
      </c>
      <c r="V60" s="24">
        <f t="shared" si="23"/>
        <v>9.0272780939567383</v>
      </c>
      <c r="W60" s="41" t="str">
        <f t="shared" si="9"/>
        <v>9</v>
      </c>
      <c r="X60" s="24">
        <f t="shared" si="24"/>
        <v>0.32733712748085964</v>
      </c>
      <c r="Y60" s="41" t="str">
        <f t="shared" si="10"/>
        <v>0</v>
      </c>
      <c r="Z60" s="24">
        <f t="shared" si="25"/>
        <v>3.9280455297703156</v>
      </c>
      <c r="AA60" s="41" t="str">
        <f t="shared" si="11"/>
        <v/>
      </c>
      <c r="AB60" s="24">
        <f t="shared" si="26"/>
        <v>11.136546357243787</v>
      </c>
      <c r="AC60" s="41" t="str">
        <f t="shared" si="12"/>
        <v/>
      </c>
      <c r="AD60" s="24">
        <f t="shared" si="27"/>
        <v>1.63855628692545</v>
      </c>
      <c r="AE60" s="41" t="str">
        <f t="shared" si="13"/>
        <v/>
      </c>
      <c r="AF60" s="24">
        <f t="shared" si="28"/>
        <v>7.6626754431053996</v>
      </c>
      <c r="AG60" s="41" t="str">
        <f t="shared" si="14"/>
        <v/>
      </c>
      <c r="AH60" s="24">
        <f t="shared" si="29"/>
        <v>7.9521053172647953</v>
      </c>
      <c r="AI60" s="41" t="str">
        <f t="shared" si="15"/>
        <v/>
      </c>
      <c r="AJ60" s="24">
        <f t="shared" si="30"/>
        <v>11.425263807177544</v>
      </c>
      <c r="AK60" s="41" t="str">
        <f t="shared" si="16"/>
        <v/>
      </c>
    </row>
    <row r="61" spans="1:37" ht="15" customHeight="1" x14ac:dyDescent="0.2">
      <c r="A61" s="581"/>
      <c r="B61" s="3" t="str">
        <f>Rydberg!B61</f>
        <v>Sea depth at standard atmosphere</v>
      </c>
      <c r="C61" s="3" t="str">
        <f>Rydberg!C61</f>
        <v>m</v>
      </c>
      <c r="D61" s="21">
        <f>D62/D60</f>
        <v>10.090394374791382</v>
      </c>
      <c r="E61" s="8">
        <v>6</v>
      </c>
      <c r="F61" s="21">
        <f>D61/F$3</f>
        <v>36.955220125741079</v>
      </c>
      <c r="G61" s="37" t="str">
        <f t="shared" si="17"/>
        <v>3;0E5675</v>
      </c>
      <c r="H61" s="276">
        <f t="shared" si="114"/>
        <v>-1.210266871862764E-3</v>
      </c>
      <c r="I61" s="284">
        <v>1</v>
      </c>
      <c r="J61" s="38">
        <v>1</v>
      </c>
      <c r="K61" s="61">
        <f t="shared" si="31"/>
        <v>3.07960167714509</v>
      </c>
      <c r="L61" s="39" t="str">
        <f>INDEX(powers!$H$2:$H$75,33+J61)</f>
        <v>dozen</v>
      </c>
      <c r="M61" s="40" t="str">
        <f t="shared" si="4"/>
        <v>3</v>
      </c>
      <c r="N61" s="24">
        <f t="shared" si="19"/>
        <v>0.95522012574108039</v>
      </c>
      <c r="O61" s="41" t="str">
        <f t="shared" si="5"/>
        <v>0</v>
      </c>
      <c r="P61" s="24">
        <f t="shared" si="20"/>
        <v>11.462641508892965</v>
      </c>
      <c r="Q61" s="41" t="str">
        <f t="shared" si="6"/>
        <v>E</v>
      </c>
      <c r="R61" s="24">
        <f t="shared" si="21"/>
        <v>5.5516981067155768</v>
      </c>
      <c r="S61" s="41" t="str">
        <f t="shared" si="7"/>
        <v>5</v>
      </c>
      <c r="T61" s="24">
        <f t="shared" si="22"/>
        <v>6.6203772805869221</v>
      </c>
      <c r="U61" s="41" t="str">
        <f t="shared" si="8"/>
        <v>6</v>
      </c>
      <c r="V61" s="24">
        <f t="shared" si="23"/>
        <v>7.4445273670430652</v>
      </c>
      <c r="W61" s="41" t="str">
        <f t="shared" si="9"/>
        <v>7</v>
      </c>
      <c r="X61" s="24">
        <f t="shared" si="24"/>
        <v>5.334328404516782</v>
      </c>
      <c r="Y61" s="41" t="str">
        <f t="shared" si="10"/>
        <v>5</v>
      </c>
      <c r="Z61" s="24">
        <f t="shared" si="25"/>
        <v>4.0119408542013844</v>
      </c>
      <c r="AA61" s="41" t="str">
        <f t="shared" si="11"/>
        <v/>
      </c>
      <c r="AB61" s="24">
        <f t="shared" si="26"/>
        <v>0.14329025041661225</v>
      </c>
      <c r="AC61" s="41" t="str">
        <f t="shared" si="12"/>
        <v/>
      </c>
      <c r="AD61" s="24">
        <f t="shared" si="27"/>
        <v>1.719483004999347</v>
      </c>
      <c r="AE61" s="41" t="str">
        <f t="shared" si="13"/>
        <v/>
      </c>
      <c r="AF61" s="24">
        <f t="shared" si="28"/>
        <v>8.6337960599921644</v>
      </c>
      <c r="AG61" s="41" t="str">
        <f t="shared" si="14"/>
        <v/>
      </c>
      <c r="AH61" s="24">
        <f t="shared" si="29"/>
        <v>7.6055527199059725</v>
      </c>
      <c r="AI61" s="41" t="str">
        <f t="shared" si="15"/>
        <v/>
      </c>
      <c r="AJ61" s="24">
        <f t="shared" si="30"/>
        <v>7.2666326388716698</v>
      </c>
      <c r="AK61" s="41" t="str">
        <f t="shared" si="16"/>
        <v/>
      </c>
    </row>
    <row r="62" spans="1:37" ht="15" customHeight="1" x14ac:dyDescent="0.2">
      <c r="A62" s="581"/>
      <c r="B62" s="3" t="str">
        <f>Rydberg!B62</f>
        <v>Standard atmosphere</v>
      </c>
      <c r="C62" s="3" t="str">
        <f>Rydberg!C62</f>
        <v>P</v>
      </c>
      <c r="D62" s="21">
        <f>Rydberg!D62</f>
        <v>101325</v>
      </c>
      <c r="E62" s="8">
        <v>10</v>
      </c>
      <c r="F62" s="21">
        <f>D62/F$11</f>
        <v>32267.232897711354</v>
      </c>
      <c r="G62" s="37" t="str">
        <f t="shared" si="17"/>
        <v>1;680E296545</v>
      </c>
      <c r="H62" s="276">
        <f t="shared" si="114"/>
        <v>3.4824211654749249E-4</v>
      </c>
      <c r="I62" s="284">
        <v>2</v>
      </c>
      <c r="J62" s="38">
        <v>4</v>
      </c>
      <c r="K62" s="61">
        <f t="shared" si="31"/>
        <v>1.5560972655146292</v>
      </c>
      <c r="L62" s="39" t="str">
        <f>INDEX(powers!$H$2:$H$75,33+J62)</f>
        <v>hyper</v>
      </c>
      <c r="M62" s="40" t="str">
        <f t="shared" si="4"/>
        <v>1</v>
      </c>
      <c r="N62" s="24">
        <f t="shared" si="19"/>
        <v>6.6731671861755508</v>
      </c>
      <c r="O62" s="41" t="str">
        <f t="shared" si="5"/>
        <v>6</v>
      </c>
      <c r="P62" s="24">
        <f t="shared" si="20"/>
        <v>8.0780062341066099</v>
      </c>
      <c r="Q62" s="41" t="str">
        <f t="shared" si="6"/>
        <v>8</v>
      </c>
      <c r="R62" s="24">
        <f t="shared" si="21"/>
        <v>0.93607480927931874</v>
      </c>
      <c r="S62" s="41" t="str">
        <f t="shared" si="7"/>
        <v>0</v>
      </c>
      <c r="T62" s="24">
        <f t="shared" si="22"/>
        <v>11.232897711351825</v>
      </c>
      <c r="U62" s="41" t="str">
        <f t="shared" si="8"/>
        <v>E</v>
      </c>
      <c r="V62" s="24">
        <f t="shared" si="23"/>
        <v>2.7947725362218989</v>
      </c>
      <c r="W62" s="41" t="str">
        <f t="shared" si="9"/>
        <v>2</v>
      </c>
      <c r="X62" s="24">
        <f t="shared" si="24"/>
        <v>9.537270434662787</v>
      </c>
      <c r="Y62" s="41" t="str">
        <f t="shared" si="10"/>
        <v>9</v>
      </c>
      <c r="Z62" s="24">
        <f t="shared" si="25"/>
        <v>6.4472452159534441</v>
      </c>
      <c r="AA62" s="41" t="str">
        <f t="shared" si="11"/>
        <v>6</v>
      </c>
      <c r="AB62" s="24">
        <f t="shared" si="26"/>
        <v>5.3669425914413296</v>
      </c>
      <c r="AC62" s="41" t="str">
        <f t="shared" si="12"/>
        <v>5</v>
      </c>
      <c r="AD62" s="24">
        <f t="shared" si="27"/>
        <v>4.4033110972959548</v>
      </c>
      <c r="AE62" s="41" t="str">
        <f t="shared" si="13"/>
        <v>4</v>
      </c>
      <c r="AF62" s="24">
        <f t="shared" si="28"/>
        <v>4.8397331675514579</v>
      </c>
      <c r="AG62" s="41" t="str">
        <f t="shared" si="14"/>
        <v>5</v>
      </c>
      <c r="AH62" s="24">
        <f t="shared" si="29"/>
        <v>10.076798010617495</v>
      </c>
      <c r="AI62" s="41" t="str">
        <f t="shared" si="15"/>
        <v/>
      </c>
      <c r="AJ62" s="24">
        <f t="shared" si="30"/>
        <v>0.921576127409935</v>
      </c>
      <c r="AK62" s="41" t="str">
        <f t="shared" si="16"/>
        <v/>
      </c>
    </row>
    <row r="63" spans="1:37" ht="15" customHeight="1" x14ac:dyDescent="0.2">
      <c r="A63" s="581"/>
      <c r="B63" s="3" t="str">
        <f>Rydberg!B63</f>
        <v>Standard gravitational acceleration</v>
      </c>
      <c r="C63" s="3" t="str">
        <f>Rydberg!C63</f>
        <v>m/s^2</v>
      </c>
      <c r="D63" s="21">
        <f>Rydberg!D63</f>
        <v>9.8066499999999994</v>
      </c>
      <c r="E63" s="8">
        <v>7</v>
      </c>
      <c r="F63" s="21">
        <f>D63/(F$3/F$4/F$4)</f>
        <v>5.5082234978715094</v>
      </c>
      <c r="G63" s="37" t="str">
        <f t="shared" si="17"/>
        <v>5;6122633</v>
      </c>
      <c r="H63" s="296">
        <f t="shared" ref="H63" si="115">K63*POWER(12,I63)/ROUND(K63*POWER(12,I63),0)-1</f>
        <v>-8.1962750354748426E-2</v>
      </c>
      <c r="I63" s="297">
        <v>0</v>
      </c>
      <c r="J63" s="38">
        <v>0</v>
      </c>
      <c r="K63" s="61">
        <f t="shared" si="31"/>
        <v>5.5082234978715094</v>
      </c>
      <c r="L63" s="39" t="str">
        <f>INDEX(powers!$H$2:$H$75,33+J63)</f>
        <v xml:space="preserve"> </v>
      </c>
      <c r="M63" s="40" t="str">
        <f t="shared" si="4"/>
        <v>5</v>
      </c>
      <c r="N63" s="24">
        <f t="shared" si="19"/>
        <v>6.0986819744581133</v>
      </c>
      <c r="O63" s="41" t="str">
        <f t="shared" si="5"/>
        <v>6</v>
      </c>
      <c r="P63" s="24">
        <f t="shared" si="20"/>
        <v>1.18418369349736</v>
      </c>
      <c r="Q63" s="41" t="str">
        <f t="shared" si="6"/>
        <v>1</v>
      </c>
      <c r="R63" s="24">
        <f t="shared" si="21"/>
        <v>2.2102043219683196</v>
      </c>
      <c r="S63" s="41" t="str">
        <f t="shared" si="7"/>
        <v>2</v>
      </c>
      <c r="T63" s="24">
        <f t="shared" si="22"/>
        <v>2.5224518636198354</v>
      </c>
      <c r="U63" s="41" t="str">
        <f t="shared" si="8"/>
        <v>2</v>
      </c>
      <c r="V63" s="24">
        <f t="shared" si="23"/>
        <v>6.2694223634380251</v>
      </c>
      <c r="W63" s="41" t="str">
        <f t="shared" si="9"/>
        <v>6</v>
      </c>
      <c r="X63" s="24">
        <f t="shared" si="24"/>
        <v>3.2330683612563007</v>
      </c>
      <c r="Y63" s="41" t="str">
        <f t="shared" si="10"/>
        <v>3</v>
      </c>
      <c r="Z63" s="24">
        <f t="shared" si="25"/>
        <v>2.7968203350756085</v>
      </c>
      <c r="AA63" s="41" t="str">
        <f t="shared" si="11"/>
        <v>3</v>
      </c>
      <c r="AB63" s="24">
        <f t="shared" si="26"/>
        <v>9.5618440209073015</v>
      </c>
      <c r="AC63" s="41" t="str">
        <f t="shared" si="12"/>
        <v/>
      </c>
      <c r="AD63" s="24">
        <f t="shared" si="27"/>
        <v>6.7421282508876175</v>
      </c>
      <c r="AE63" s="41" t="str">
        <f t="shared" si="13"/>
        <v/>
      </c>
      <c r="AF63" s="24">
        <f t="shared" si="28"/>
        <v>8.9055390106514096</v>
      </c>
      <c r="AG63" s="41" t="str">
        <f t="shared" si="14"/>
        <v/>
      </c>
      <c r="AH63" s="24">
        <f t="shared" si="29"/>
        <v>10.866468127816916</v>
      </c>
      <c r="AI63" s="41" t="str">
        <f t="shared" si="15"/>
        <v/>
      </c>
      <c r="AJ63" s="24">
        <f t="shared" si="30"/>
        <v>10.397617533802986</v>
      </c>
      <c r="AK63" s="41" t="str">
        <f t="shared" si="16"/>
        <v/>
      </c>
    </row>
    <row r="64" spans="1:37" ht="15" customHeight="1" x14ac:dyDescent="0.2">
      <c r="A64" s="581"/>
      <c r="B64" s="3" t="str">
        <f>Rydberg!B64</f>
        <v>Gravitational radius of the Earth</v>
      </c>
      <c r="C64" s="3" t="str">
        <f>Rydberg!C64</f>
        <v>m</v>
      </c>
      <c r="D64" s="21">
        <f>Rydberg!D64</f>
        <v>4.4350280391176706E-3</v>
      </c>
      <c r="E64" s="8">
        <v>10</v>
      </c>
      <c r="F64" s="21">
        <f>D64/F$3</f>
        <v>1.6242916913028576E-2</v>
      </c>
      <c r="G64" s="37" t="str">
        <f t="shared" si="17"/>
        <v>2;409910E669</v>
      </c>
      <c r="H64" s="275"/>
      <c r="I64" s="278"/>
      <c r="J64" s="38">
        <v>-2</v>
      </c>
      <c r="K64" s="61">
        <f t="shared" si="31"/>
        <v>2.3389800354761152</v>
      </c>
      <c r="L64" s="39" t="str">
        <f>INDEX(powers!$H$2:$H$75,33+J64)</f>
        <v>dino</v>
      </c>
      <c r="M64" s="40" t="str">
        <f t="shared" si="4"/>
        <v>2</v>
      </c>
      <c r="N64" s="24">
        <f t="shared" si="19"/>
        <v>4.0677604257133826</v>
      </c>
      <c r="O64" s="41" t="str">
        <f t="shared" si="5"/>
        <v>4</v>
      </c>
      <c r="P64" s="24">
        <f t="shared" si="20"/>
        <v>0.81312510856059106</v>
      </c>
      <c r="Q64" s="41" t="str">
        <f t="shared" si="6"/>
        <v>0</v>
      </c>
      <c r="R64" s="24">
        <f t="shared" si="21"/>
        <v>9.7575013027270927</v>
      </c>
      <c r="S64" s="41" t="str">
        <f t="shared" si="7"/>
        <v>9</v>
      </c>
      <c r="T64" s="24">
        <f t="shared" si="22"/>
        <v>9.0900156327251125</v>
      </c>
      <c r="U64" s="41" t="str">
        <f t="shared" si="8"/>
        <v>9</v>
      </c>
      <c r="V64" s="24">
        <f t="shared" si="23"/>
        <v>1.0801875927013498</v>
      </c>
      <c r="W64" s="41" t="str">
        <f t="shared" si="9"/>
        <v>1</v>
      </c>
      <c r="X64" s="24">
        <f t="shared" si="24"/>
        <v>0.96225111241619743</v>
      </c>
      <c r="Y64" s="41" t="str">
        <f t="shared" si="10"/>
        <v>0</v>
      </c>
      <c r="Z64" s="24">
        <f t="shared" si="25"/>
        <v>11.547013348994369</v>
      </c>
      <c r="AA64" s="41" t="str">
        <f t="shared" si="11"/>
        <v>E</v>
      </c>
      <c r="AB64" s="24">
        <f t="shared" si="26"/>
        <v>6.5641601879324298</v>
      </c>
      <c r="AC64" s="41" t="str">
        <f t="shared" si="12"/>
        <v>6</v>
      </c>
      <c r="AD64" s="24">
        <f t="shared" si="27"/>
        <v>6.769922255189158</v>
      </c>
      <c r="AE64" s="41" t="str">
        <f t="shared" si="13"/>
        <v>6</v>
      </c>
      <c r="AF64" s="24">
        <f t="shared" si="28"/>
        <v>9.2390670622698963</v>
      </c>
      <c r="AG64" s="41" t="str">
        <f t="shared" si="14"/>
        <v>9</v>
      </c>
      <c r="AH64" s="24">
        <f t="shared" si="29"/>
        <v>2.8688047472387552</v>
      </c>
      <c r="AI64" s="41" t="str">
        <f t="shared" si="15"/>
        <v/>
      </c>
      <c r="AJ64" s="24">
        <f t="shared" si="30"/>
        <v>10.425656966865063</v>
      </c>
      <c r="AK64" s="41" t="str">
        <f t="shared" si="16"/>
        <v/>
      </c>
    </row>
    <row r="65" spans="1:37" ht="15" customHeight="1" x14ac:dyDescent="0.2">
      <c r="A65" s="581"/>
      <c r="B65" s="3" t="str">
        <f>Rydberg!B65</f>
        <v>Equatorial radius of the Earth</v>
      </c>
      <c r="C65" s="3" t="str">
        <f>Rydberg!C65</f>
        <v>m</v>
      </c>
      <c r="D65" s="21">
        <f>Rydberg!D65</f>
        <v>6378137</v>
      </c>
      <c r="E65" s="8">
        <v>7</v>
      </c>
      <c r="F65" s="21">
        <f>D65/F$3</f>
        <v>23359389.937819656</v>
      </c>
      <c r="G65" s="37" t="str">
        <f t="shared" si="17"/>
        <v>0;79X61EX</v>
      </c>
      <c r="H65" s="275"/>
      <c r="I65" s="278"/>
      <c r="J65" s="38">
        <v>7</v>
      </c>
      <c r="K65" s="61">
        <f t="shared" si="31"/>
        <v>0.65191770222199386</v>
      </c>
      <c r="L65" s="39" t="str">
        <f>INDEX(powers!$H$2:$H$75,33+J65)</f>
        <v>unino cosmic</v>
      </c>
      <c r="M65" s="40" t="str">
        <f t="shared" si="4"/>
        <v>0</v>
      </c>
      <c r="N65" s="24">
        <f t="shared" si="19"/>
        <v>7.8230124266639258</v>
      </c>
      <c r="O65" s="41" t="str">
        <f t="shared" si="5"/>
        <v>7</v>
      </c>
      <c r="P65" s="24">
        <f t="shared" si="20"/>
        <v>9.8761491199671099</v>
      </c>
      <c r="Q65" s="41" t="str">
        <f t="shared" si="6"/>
        <v>9</v>
      </c>
      <c r="R65" s="24">
        <f t="shared" si="21"/>
        <v>10.513789439605318</v>
      </c>
      <c r="S65" s="41" t="str">
        <f t="shared" si="7"/>
        <v>X</v>
      </c>
      <c r="T65" s="24">
        <f t="shared" si="22"/>
        <v>6.1654732752638211</v>
      </c>
      <c r="U65" s="41" t="str">
        <f t="shared" si="8"/>
        <v>6</v>
      </c>
      <c r="V65" s="24">
        <f t="shared" si="23"/>
        <v>1.9856793031658526</v>
      </c>
      <c r="W65" s="41" t="str">
        <f t="shared" si="9"/>
        <v>1</v>
      </c>
      <c r="X65" s="24">
        <f t="shared" si="24"/>
        <v>11.828151637990231</v>
      </c>
      <c r="Y65" s="41" t="str">
        <f t="shared" si="10"/>
        <v>E</v>
      </c>
      <c r="Z65" s="24">
        <f t="shared" si="25"/>
        <v>9.9378196558827767</v>
      </c>
      <c r="AA65" s="41" t="str">
        <f t="shared" si="11"/>
        <v>X</v>
      </c>
      <c r="AB65" s="24">
        <f t="shared" si="26"/>
        <v>11.253835870593321</v>
      </c>
      <c r="AC65" s="41" t="str">
        <f t="shared" si="12"/>
        <v/>
      </c>
      <c r="AD65" s="24">
        <f t="shared" si="27"/>
        <v>3.0460304471198469</v>
      </c>
      <c r="AE65" s="41" t="str">
        <f t="shared" si="13"/>
        <v/>
      </c>
      <c r="AF65" s="24">
        <f t="shared" si="28"/>
        <v>0.55236536543816328</v>
      </c>
      <c r="AG65" s="41" t="str">
        <f t="shared" si="14"/>
        <v/>
      </c>
      <c r="AH65" s="24">
        <f t="shared" si="29"/>
        <v>6.6283843852579594</v>
      </c>
      <c r="AI65" s="41" t="str">
        <f t="shared" si="15"/>
        <v/>
      </c>
      <c r="AJ65" s="24">
        <f t="shared" si="30"/>
        <v>7.5406126230955124</v>
      </c>
      <c r="AK65" s="41" t="str">
        <f t="shared" si="16"/>
        <v/>
      </c>
    </row>
    <row r="66" spans="1:37" ht="15" customHeight="1" x14ac:dyDescent="0.2">
      <c r="A66" s="581"/>
      <c r="B66" s="3" t="str">
        <f>Rydberg!B66</f>
        <v>Meridian length of the Earth / 4</v>
      </c>
      <c r="C66" s="3" t="str">
        <f>Rydberg!C66</f>
        <v>m</v>
      </c>
      <c r="D66" s="21">
        <f>Rydberg!D66</f>
        <v>10001965.75</v>
      </c>
      <c r="E66" s="8">
        <v>7</v>
      </c>
      <c r="F66" s="21">
        <f>D66/F$3</f>
        <v>36631357.730159581</v>
      </c>
      <c r="G66" s="37" t="str">
        <f t="shared" si="17"/>
        <v>1;0326852</v>
      </c>
      <c r="H66" s="275">
        <f t="shared" ref="H66" si="116">K66*POWER(12,I66)/ROUND(K66*POWER(12,I66),0)-1</f>
        <v>2.2313965573815819E-2</v>
      </c>
      <c r="I66" s="278"/>
      <c r="J66" s="38">
        <v>7</v>
      </c>
      <c r="K66" s="61">
        <f t="shared" si="31"/>
        <v>1.0223139655738158</v>
      </c>
      <c r="L66" s="39" t="str">
        <f>INDEX(powers!$H$2:$H$75,33+J66)</f>
        <v>unino cosmic</v>
      </c>
      <c r="M66" s="40" t="str">
        <f t="shared" si="4"/>
        <v>1</v>
      </c>
      <c r="N66" s="24">
        <f t="shared" si="19"/>
        <v>0.26776758688578983</v>
      </c>
      <c r="O66" s="41" t="str">
        <f t="shared" si="5"/>
        <v>0</v>
      </c>
      <c r="P66" s="24">
        <f t="shared" si="20"/>
        <v>3.213211042629478</v>
      </c>
      <c r="Q66" s="41" t="str">
        <f t="shared" si="6"/>
        <v>3</v>
      </c>
      <c r="R66" s="24">
        <f t="shared" si="21"/>
        <v>2.5585325115537358</v>
      </c>
      <c r="S66" s="41" t="str">
        <f t="shared" si="7"/>
        <v>2</v>
      </c>
      <c r="T66" s="24">
        <f t="shared" si="22"/>
        <v>6.7023901386448301</v>
      </c>
      <c r="U66" s="41" t="str">
        <f t="shared" si="8"/>
        <v>6</v>
      </c>
      <c r="V66" s="24">
        <f t="shared" si="23"/>
        <v>8.4286816637379616</v>
      </c>
      <c r="W66" s="41" t="str">
        <f t="shared" si="9"/>
        <v>8</v>
      </c>
      <c r="X66" s="24">
        <f t="shared" si="24"/>
        <v>5.1441799648555389</v>
      </c>
      <c r="Y66" s="41" t="str">
        <f t="shared" si="10"/>
        <v>5</v>
      </c>
      <c r="Z66" s="24">
        <f t="shared" si="25"/>
        <v>1.7301595782664663</v>
      </c>
      <c r="AA66" s="41" t="str">
        <f t="shared" si="11"/>
        <v>2</v>
      </c>
      <c r="AB66" s="24">
        <f t="shared" si="26"/>
        <v>8.7619149391975952</v>
      </c>
      <c r="AC66" s="41" t="str">
        <f t="shared" si="12"/>
        <v/>
      </c>
      <c r="AD66" s="24">
        <f t="shared" si="27"/>
        <v>9.1429792703711428</v>
      </c>
      <c r="AE66" s="41" t="str">
        <f t="shared" si="13"/>
        <v/>
      </c>
      <c r="AF66" s="24">
        <f t="shared" si="28"/>
        <v>1.7157512444537133</v>
      </c>
      <c r="AG66" s="41" t="str">
        <f t="shared" si="14"/>
        <v/>
      </c>
      <c r="AH66" s="24">
        <f t="shared" si="29"/>
        <v>8.5890149334445596</v>
      </c>
      <c r="AI66" s="41" t="str">
        <f t="shared" si="15"/>
        <v/>
      </c>
      <c r="AJ66" s="24">
        <f t="shared" si="30"/>
        <v>7.0681792013347149</v>
      </c>
      <c r="AK66" s="41" t="str">
        <f t="shared" si="16"/>
        <v/>
      </c>
    </row>
    <row r="67" spans="1:37" ht="15" customHeight="1" x14ac:dyDescent="0.2">
      <c r="A67" s="581"/>
      <c r="B67" s="3" t="str">
        <f>Rydberg!B67</f>
        <v>Gravitational radius of the Sun</v>
      </c>
      <c r="C67" s="3" t="str">
        <f>Rydberg!C67</f>
        <v>m</v>
      </c>
      <c r="D67" s="21">
        <f>Rydberg!D67</f>
        <v>1476.6250385063113</v>
      </c>
      <c r="E67" s="8">
        <v>8</v>
      </c>
      <c r="F67" s="21">
        <f>D67/F$3</f>
        <v>5408.0149213503701</v>
      </c>
      <c r="G67" s="37" t="str">
        <f t="shared" si="17"/>
        <v>3;16802195</v>
      </c>
      <c r="H67" s="275"/>
      <c r="I67" s="278"/>
      <c r="J67" s="38">
        <v>3</v>
      </c>
      <c r="K67" s="61">
        <f t="shared" si="31"/>
        <v>3.1296382646703531</v>
      </c>
      <c r="L67" s="39" t="str">
        <f>INDEX(powers!$H$2:$H$75,33+J67)</f>
        <v>doz gross</v>
      </c>
      <c r="M67" s="40" t="str">
        <f t="shared" si="4"/>
        <v>3</v>
      </c>
      <c r="N67" s="24">
        <f t="shared" si="19"/>
        <v>1.5556591760442373</v>
      </c>
      <c r="O67" s="41" t="str">
        <f t="shared" si="5"/>
        <v>1</v>
      </c>
      <c r="P67" s="24">
        <f t="shared" si="20"/>
        <v>6.6679101125308478</v>
      </c>
      <c r="Q67" s="41" t="str">
        <f t="shared" si="6"/>
        <v>6</v>
      </c>
      <c r="R67" s="24">
        <f t="shared" si="21"/>
        <v>8.0149213503701731</v>
      </c>
      <c r="S67" s="41" t="str">
        <f t="shared" si="7"/>
        <v>8</v>
      </c>
      <c r="T67" s="24">
        <f t="shared" si="22"/>
        <v>0.17905620444207671</v>
      </c>
      <c r="U67" s="41" t="str">
        <f t="shared" si="8"/>
        <v>0</v>
      </c>
      <c r="V67" s="24">
        <f t="shared" si="23"/>
        <v>2.1486744533049205</v>
      </c>
      <c r="W67" s="41" t="str">
        <f t="shared" si="9"/>
        <v>2</v>
      </c>
      <c r="X67" s="24">
        <f t="shared" si="24"/>
        <v>1.7840934396590455</v>
      </c>
      <c r="Y67" s="41" t="str">
        <f t="shared" si="10"/>
        <v>1</v>
      </c>
      <c r="Z67" s="24">
        <f t="shared" si="25"/>
        <v>9.4091212759085465</v>
      </c>
      <c r="AA67" s="41" t="str">
        <f t="shared" si="11"/>
        <v>9</v>
      </c>
      <c r="AB67" s="24">
        <f t="shared" si="26"/>
        <v>4.9094553109025583</v>
      </c>
      <c r="AC67" s="41" t="str">
        <f t="shared" si="12"/>
        <v>5</v>
      </c>
      <c r="AD67" s="24">
        <f t="shared" si="27"/>
        <v>10.913463730830699</v>
      </c>
      <c r="AE67" s="41" t="str">
        <f t="shared" si="13"/>
        <v/>
      </c>
      <c r="AF67" s="24">
        <f t="shared" si="28"/>
        <v>10.96156476996839</v>
      </c>
      <c r="AG67" s="41" t="str">
        <f t="shared" si="14"/>
        <v/>
      </c>
      <c r="AH67" s="24">
        <f t="shared" si="29"/>
        <v>11.538777239620686</v>
      </c>
      <c r="AI67" s="41" t="str">
        <f t="shared" si="15"/>
        <v/>
      </c>
      <c r="AJ67" s="24">
        <f t="shared" si="30"/>
        <v>6.4653268754482269</v>
      </c>
      <c r="AK67" s="41" t="str">
        <f t="shared" si="16"/>
        <v/>
      </c>
    </row>
    <row r="68" spans="1:37" ht="15" customHeight="1" x14ac:dyDescent="0.2">
      <c r="A68" s="581"/>
      <c r="B68" s="5" t="str">
        <f>Rydberg!B68</f>
        <v>Astronomical unit</v>
      </c>
      <c r="C68" s="5" t="str">
        <f>Rydberg!C68</f>
        <v>m</v>
      </c>
      <c r="D68" s="21">
        <f>Rydberg!D68</f>
        <v>149597870000</v>
      </c>
      <c r="E68" s="30">
        <v>9</v>
      </c>
      <c r="F68" s="29">
        <f>D68/F$3</f>
        <v>547889607764.34448</v>
      </c>
      <c r="G68" s="37" t="str">
        <f t="shared" si="17"/>
        <v>8;X2271552X</v>
      </c>
      <c r="H68" s="275"/>
      <c r="I68" s="281"/>
      <c r="J68" s="43">
        <v>10</v>
      </c>
      <c r="K68" s="62">
        <f t="shared" si="31"/>
        <v>8.8487230461269402</v>
      </c>
      <c r="L68" s="39" t="str">
        <f>INDEX(powers!$H$2:$H$75,33+J68)</f>
        <v>gross cosmic</v>
      </c>
      <c r="M68" s="40" t="str">
        <f t="shared" si="4"/>
        <v>8</v>
      </c>
      <c r="N68" s="24">
        <f t="shared" si="19"/>
        <v>10.184676553523282</v>
      </c>
      <c r="O68" s="41" t="str">
        <f t="shared" si="5"/>
        <v>X</v>
      </c>
      <c r="P68" s="24">
        <f t="shared" si="20"/>
        <v>2.2161186422793833</v>
      </c>
      <c r="Q68" s="41" t="str">
        <f t="shared" si="6"/>
        <v>2</v>
      </c>
      <c r="R68" s="24">
        <f t="shared" si="21"/>
        <v>2.5934237073525992</v>
      </c>
      <c r="S68" s="41" t="str">
        <f t="shared" si="7"/>
        <v>2</v>
      </c>
      <c r="T68" s="24">
        <f t="shared" si="22"/>
        <v>7.1210844882311903</v>
      </c>
      <c r="U68" s="41" t="str">
        <f t="shared" si="8"/>
        <v>7</v>
      </c>
      <c r="V68" s="24">
        <f t="shared" si="23"/>
        <v>1.453013858774284</v>
      </c>
      <c r="W68" s="41" t="str">
        <f t="shared" si="9"/>
        <v>1</v>
      </c>
      <c r="X68" s="24">
        <f t="shared" si="24"/>
        <v>5.4361663052914082</v>
      </c>
      <c r="Y68" s="41" t="str">
        <f t="shared" si="10"/>
        <v>5</v>
      </c>
      <c r="Z68" s="24">
        <f t="shared" si="25"/>
        <v>5.2339956634968985</v>
      </c>
      <c r="AA68" s="41" t="str">
        <f t="shared" si="11"/>
        <v>5</v>
      </c>
      <c r="AB68" s="24">
        <f t="shared" si="26"/>
        <v>2.8079479619627818</v>
      </c>
      <c r="AC68" s="41" t="str">
        <f t="shared" si="12"/>
        <v>2</v>
      </c>
      <c r="AD68" s="24">
        <f t="shared" si="27"/>
        <v>9.6953755435533822</v>
      </c>
      <c r="AE68" s="41" t="str">
        <f t="shared" si="13"/>
        <v>X</v>
      </c>
      <c r="AF68" s="24">
        <f t="shared" si="28"/>
        <v>8.3445065226405859</v>
      </c>
      <c r="AG68" s="41" t="str">
        <f t="shared" si="14"/>
        <v/>
      </c>
      <c r="AH68" s="24">
        <f t="shared" si="29"/>
        <v>4.1340782716870308</v>
      </c>
      <c r="AI68" s="41" t="str">
        <f t="shared" si="15"/>
        <v/>
      </c>
      <c r="AJ68" s="24">
        <f t="shared" si="30"/>
        <v>1.6089392602443695</v>
      </c>
      <c r="AK68" s="41" t="str">
        <f t="shared" si="16"/>
        <v/>
      </c>
    </row>
    <row r="69" spans="1:37" ht="15" customHeight="1" x14ac:dyDescent="0.2">
      <c r="A69" s="581"/>
      <c r="B69" s="5" t="str">
        <f>Rydberg!B69</f>
        <v>Astronomical unit / c0</v>
      </c>
      <c r="C69" s="5" t="str">
        <f>Rydberg!C69</f>
        <v>s</v>
      </c>
      <c r="D69" s="29">
        <f>Rydberg!D69</f>
        <v>499.00478150120773</v>
      </c>
      <c r="E69" s="30">
        <v>9</v>
      </c>
      <c r="F69" s="29">
        <f>D69/F$4</f>
        <v>1274.2161186422793</v>
      </c>
      <c r="G69" s="37" t="str">
        <f t="shared" si="17"/>
        <v>8;X2271552X</v>
      </c>
      <c r="H69" s="275"/>
      <c r="I69" s="281"/>
      <c r="J69" s="43">
        <v>2</v>
      </c>
      <c r="K69" s="62">
        <f t="shared" si="31"/>
        <v>8.8487230461269402</v>
      </c>
      <c r="L69" s="39" t="str">
        <f>INDEX(powers!$H$2:$H$75,33+J69)</f>
        <v>gross</v>
      </c>
      <c r="M69" s="40" t="str">
        <f t="shared" si="4"/>
        <v>8</v>
      </c>
      <c r="N69" s="24">
        <f t="shared" si="19"/>
        <v>10.184676553523282</v>
      </c>
      <c r="O69" s="41" t="str">
        <f t="shared" si="5"/>
        <v>X</v>
      </c>
      <c r="P69" s="24">
        <f t="shared" si="20"/>
        <v>2.2161186422793833</v>
      </c>
      <c r="Q69" s="41" t="str">
        <f t="shared" si="6"/>
        <v>2</v>
      </c>
      <c r="R69" s="24">
        <f t="shared" si="21"/>
        <v>2.5934237073525992</v>
      </c>
      <c r="S69" s="41" t="str">
        <f t="shared" si="7"/>
        <v>2</v>
      </c>
      <c r="T69" s="24">
        <f t="shared" si="22"/>
        <v>7.1210844882311903</v>
      </c>
      <c r="U69" s="41" t="str">
        <f t="shared" si="8"/>
        <v>7</v>
      </c>
      <c r="V69" s="24">
        <f t="shared" si="23"/>
        <v>1.453013858774284</v>
      </c>
      <c r="W69" s="41" t="str">
        <f t="shared" si="9"/>
        <v>1</v>
      </c>
      <c r="X69" s="24">
        <f t="shared" si="24"/>
        <v>5.4361663052914082</v>
      </c>
      <c r="Y69" s="41" t="str">
        <f t="shared" si="10"/>
        <v>5</v>
      </c>
      <c r="Z69" s="24">
        <f t="shared" si="25"/>
        <v>5.2339956634968985</v>
      </c>
      <c r="AA69" s="41" t="str">
        <f t="shared" si="11"/>
        <v>5</v>
      </c>
      <c r="AB69" s="24">
        <f t="shared" si="26"/>
        <v>2.8079479619627818</v>
      </c>
      <c r="AC69" s="41" t="str">
        <f t="shared" si="12"/>
        <v>2</v>
      </c>
      <c r="AD69" s="24">
        <f t="shared" si="27"/>
        <v>9.6953755435533822</v>
      </c>
      <c r="AE69" s="41" t="str">
        <f t="shared" si="13"/>
        <v>X</v>
      </c>
      <c r="AF69" s="24">
        <f t="shared" si="28"/>
        <v>8.3445065226405859</v>
      </c>
      <c r="AG69" s="41" t="str">
        <f t="shared" si="14"/>
        <v/>
      </c>
      <c r="AH69" s="24">
        <f t="shared" si="29"/>
        <v>4.1340782716870308</v>
      </c>
      <c r="AI69" s="41" t="str">
        <f t="shared" si="15"/>
        <v/>
      </c>
      <c r="AJ69" s="24">
        <f t="shared" si="30"/>
        <v>1.6089392602443695</v>
      </c>
      <c r="AK69" s="41" t="str">
        <f t="shared" si="16"/>
        <v/>
      </c>
    </row>
    <row r="70" spans="1:37" ht="15" customHeight="1" thickBot="1" x14ac:dyDescent="0.25">
      <c r="A70" s="582"/>
      <c r="B70" s="5" t="str">
        <f>Rydberg!B70</f>
        <v>Astronomical unit / c0 / (12^(-3)day)</v>
      </c>
      <c r="C70" s="5" t="str">
        <f>Rydberg!C70</f>
        <v>-</v>
      </c>
      <c r="D70" s="29">
        <f>Rydberg!D70</f>
        <v>9.9800956300241541</v>
      </c>
      <c r="E70" s="30">
        <v>9</v>
      </c>
      <c r="F70" s="29">
        <f>D70</f>
        <v>9.9800956300241541</v>
      </c>
      <c r="G70" s="37" t="str">
        <f t="shared" si="17"/>
        <v>9;E91731X53</v>
      </c>
      <c r="H70" s="275"/>
      <c r="I70" s="281"/>
      <c r="J70" s="43">
        <v>0</v>
      </c>
      <c r="K70" s="62">
        <f t="shared" si="31"/>
        <v>9.9800956300241541</v>
      </c>
      <c r="L70" s="44" t="str">
        <f>INDEX(powers!$H$2:$H$75,33+J70)</f>
        <v xml:space="preserve"> </v>
      </c>
      <c r="M70" s="40" t="str">
        <f t="shared" si="4"/>
        <v>9</v>
      </c>
      <c r="N70" s="24">
        <f t="shared" si="19"/>
        <v>11.761147560289849</v>
      </c>
      <c r="O70" s="41" t="str">
        <f t="shared" si="5"/>
        <v>E</v>
      </c>
      <c r="P70" s="24">
        <f t="shared" si="20"/>
        <v>9.1337707234781931</v>
      </c>
      <c r="Q70" s="41" t="str">
        <f t="shared" si="6"/>
        <v>9</v>
      </c>
      <c r="R70" s="24">
        <f t="shared" si="21"/>
        <v>1.6052486817383169</v>
      </c>
      <c r="S70" s="41" t="str">
        <f t="shared" si="7"/>
        <v>1</v>
      </c>
      <c r="T70" s="24">
        <f t="shared" si="22"/>
        <v>7.262984180859803</v>
      </c>
      <c r="U70" s="41" t="str">
        <f t="shared" si="8"/>
        <v>7</v>
      </c>
      <c r="V70" s="24">
        <f t="shared" si="23"/>
        <v>3.1558101703176362</v>
      </c>
      <c r="W70" s="41" t="str">
        <f t="shared" si="9"/>
        <v>3</v>
      </c>
      <c r="X70" s="24">
        <f t="shared" si="24"/>
        <v>1.8697220438116346</v>
      </c>
      <c r="Y70" s="41" t="str">
        <f t="shared" si="10"/>
        <v>1</v>
      </c>
      <c r="Z70" s="24">
        <f t="shared" si="25"/>
        <v>10.436664525739616</v>
      </c>
      <c r="AA70" s="41" t="str">
        <f t="shared" si="11"/>
        <v>X</v>
      </c>
      <c r="AB70" s="24">
        <f t="shared" si="26"/>
        <v>5.2399743088753894</v>
      </c>
      <c r="AC70" s="41" t="str">
        <f t="shared" si="12"/>
        <v>5</v>
      </c>
      <c r="AD70" s="24">
        <f t="shared" si="27"/>
        <v>2.8796917065046728</v>
      </c>
      <c r="AE70" s="41" t="str">
        <f t="shared" si="13"/>
        <v>3</v>
      </c>
      <c r="AF70" s="24">
        <f t="shared" si="28"/>
        <v>10.556300478056073</v>
      </c>
      <c r="AG70" s="41" t="str">
        <f t="shared" si="14"/>
        <v/>
      </c>
      <c r="AH70" s="24">
        <f t="shared" si="29"/>
        <v>6.6756057366728783</v>
      </c>
      <c r="AI70" s="41" t="str">
        <f t="shared" si="15"/>
        <v/>
      </c>
      <c r="AJ70" s="24">
        <f t="shared" si="30"/>
        <v>8.1072688400745392</v>
      </c>
      <c r="AK70" s="41" t="str">
        <f t="shared" si="16"/>
        <v/>
      </c>
    </row>
    <row r="71" spans="1:37" ht="12" customHeight="1" x14ac:dyDescent="0.2">
      <c r="A71" s="577"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8"/>
      <c r="B72" s="8" t="s">
        <v>40</v>
      </c>
      <c r="C72" s="8"/>
      <c r="D72" s="21"/>
      <c r="E72" s="8">
        <v>9</v>
      </c>
      <c r="F72" s="21">
        <f>$D$32</f>
        <v>7.2973525643E-3</v>
      </c>
      <c r="G72" s="37" t="str">
        <f t="shared" ref="G72:G73" si="117">M72&amp;";"&amp;O72&amp;Q72&amp;S72&amp;U72&amp;W72&amp;Y72&amp;AA72&amp;AC72&amp;AE72&amp;AG72&amp;AI72&amp;AK72</f>
        <v>1;073994047</v>
      </c>
      <c r="H72" s="37"/>
      <c r="I72" s="285"/>
      <c r="J72" s="38">
        <v>-2</v>
      </c>
      <c r="K72" s="61">
        <f t="shared" ref="K72:K88" si="118">F72/POWER(12,J72)</f>
        <v>1.0508187692592001</v>
      </c>
      <c r="L72" s="39" t="str">
        <f>INDEX(powers!$H$2:$H$75,33+J72)</f>
        <v>dino</v>
      </c>
      <c r="M72" s="40" t="str">
        <f t="shared" ref="M72:M88" si="119">IF($E72&gt;=M$31,MID($J$31,IF($E72&gt;M$31,INT(K72),ROUND(K72,0))+1,1),"")</f>
        <v>1</v>
      </c>
      <c r="N72" s="24">
        <f>(K72-INT(K72))*12</f>
        <v>0.60982523111040177</v>
      </c>
      <c r="O72" s="41" t="str">
        <f t="shared" ref="O72:O88" si="120">IF($E72&gt;=O$31,MID($J$31,IF($E72&gt;O$31,INT(N72),ROUND(N72,0))+1,1),"")</f>
        <v>0</v>
      </c>
      <c r="P72" s="24">
        <f>(N72-INT(N72))*12</f>
        <v>7.3179027733248212</v>
      </c>
      <c r="Q72" s="41" t="str">
        <f t="shared" ref="Q72:Q88" si="121">IF($E72&gt;=Q$31,MID($J$31,IF($E72&gt;Q$31,INT(P72),ROUND(P72,0))+1,1),"")</f>
        <v>7</v>
      </c>
      <c r="R72" s="24">
        <f>(P72-INT(P72))*12</f>
        <v>3.8148332798978544</v>
      </c>
      <c r="S72" s="41" t="str">
        <f t="shared" ref="S72:S88" si="122">IF($E72&gt;=S$31,MID($J$31,IF($E72&gt;S$31,INT(R72),ROUND(R72,0))+1,1),"")</f>
        <v>3</v>
      </c>
      <c r="T72" s="24">
        <f>(R72-INT(R72))*12</f>
        <v>9.7779993587742524</v>
      </c>
      <c r="U72" s="41" t="str">
        <f t="shared" ref="U72:U88" si="123">IF($E72&gt;=U$31,MID($J$31,IF($E72&gt;U$31,INT(T72),ROUND(T72,0))+1,1),"")</f>
        <v>9</v>
      </c>
      <c r="V72" s="24">
        <f>(T72-INT(T72))*12</f>
        <v>9.335992305291029</v>
      </c>
      <c r="W72" s="41" t="str">
        <f t="shared" ref="W72:W88" si="124">IF($E72&gt;=W$31,MID($J$31,IF($E72&gt;W$31,INT(V72),ROUND(V72,0))+1,1),"")</f>
        <v>9</v>
      </c>
      <c r="X72" s="24">
        <f>(V72-INT(V72))*12</f>
        <v>4.0319076634923476</v>
      </c>
      <c r="Y72" s="41" t="str">
        <f t="shared" ref="Y72:Y88" si="125">IF($E72&gt;=Y$31,MID($J$31,IF($E72&gt;Y$31,INT(X72),ROUND(X72,0))+1,1),"")</f>
        <v>4</v>
      </c>
      <c r="Z72" s="24">
        <f>(X72-INT(X72))*12</f>
        <v>0.38289196190817165</v>
      </c>
      <c r="AA72" s="41" t="str">
        <f t="shared" ref="AA72:AA88" si="126">IF($E72&gt;=AA$31,MID($J$31,IF($E72&gt;AA$31,INT(Z72),ROUND(Z72,0))+1,1),"")</f>
        <v>0</v>
      </c>
      <c r="AB72" s="24">
        <f>(Z72-INT(Z72))*12</f>
        <v>4.5947035428980598</v>
      </c>
      <c r="AC72" s="41" t="str">
        <f t="shared" ref="AC72:AC88" si="127">IF($E72&gt;=AC$31,MID($J$31,IF($E72&gt;AC$31,INT(AB72),ROUND(AB72,0))+1,1),"")</f>
        <v>4</v>
      </c>
      <c r="AD72" s="24">
        <f>(AB72-INT(AB72))*12</f>
        <v>7.1364425147767179</v>
      </c>
      <c r="AE72" s="41" t="str">
        <f t="shared" ref="AE72:AE88" si="128">IF($E72&gt;=AE$31,MID($J$31,IF($E72&gt;AE$31,INT(AD72),ROUND(AD72,0))+1,1),"")</f>
        <v>7</v>
      </c>
      <c r="AF72" s="24">
        <f>(AD72-INT(AD72))*12</f>
        <v>1.6373101773206145</v>
      </c>
      <c r="AG72" s="41" t="str">
        <f t="shared" ref="AG72:AG88" si="129">IF($E72&gt;=AG$31,MID($J$31,IF($E72&gt;AG$31,INT(AF72),ROUND(AF72,0))+1,1),"")</f>
        <v/>
      </c>
      <c r="AH72" s="24">
        <f>(AF72-INT(AF72))*12</f>
        <v>7.6477221278473735</v>
      </c>
      <c r="AI72" s="41" t="str">
        <f t="shared" ref="AI72:AI88" si="130">IF($E72&gt;=AI$31,MID($J$31,IF($E72&gt;AI$31,INT(AH72),ROUND(AH72,0))+1,1),"")</f>
        <v/>
      </c>
      <c r="AJ72" s="24">
        <f>(AH72-INT(AH72))*12</f>
        <v>7.7726655341684818</v>
      </c>
      <c r="AK72" s="41" t="str">
        <f t="shared" ref="AK72:AK88" si="131">IF($E72&gt;=AK$31,MID($J$31,IF($E72&gt;AK$31,INT(AJ72),ROUND(AJ72,0))+1,1),"")</f>
        <v/>
      </c>
    </row>
    <row r="73" spans="1:37" ht="13.5" customHeight="1" x14ac:dyDescent="0.2">
      <c r="A73" s="578"/>
      <c r="B73" s="30" t="s">
        <v>34</v>
      </c>
      <c r="C73" s="30"/>
      <c r="D73" s="29"/>
      <c r="E73" s="8">
        <v>9</v>
      </c>
      <c r="F73" s="21">
        <f>1/$D$32</f>
        <v>137.03599917759013</v>
      </c>
      <c r="G73" s="37" t="str">
        <f t="shared" si="117"/>
        <v>0;E5052258</v>
      </c>
      <c r="H73" s="37"/>
      <c r="I73" s="285"/>
      <c r="J73" s="38">
        <v>2</v>
      </c>
      <c r="K73" s="61">
        <f t="shared" si="118"/>
        <v>0.95163888317770917</v>
      </c>
      <c r="L73" s="39" t="str">
        <f>INDEX(powers!$H$2:$H$75,33+J73)</f>
        <v>gross</v>
      </c>
      <c r="M73" s="40" t="str">
        <f t="shared" si="119"/>
        <v>0</v>
      </c>
      <c r="N73" s="24">
        <f t="shared" ref="N73:N88" si="132">(K73-INT(K73))*12</f>
        <v>11.41966659813251</v>
      </c>
      <c r="O73" s="41" t="str">
        <f t="shared" si="120"/>
        <v>E</v>
      </c>
      <c r="P73" s="24">
        <f t="shared" ref="P73:P88" si="133">(N73-INT(N73))*12</f>
        <v>5.0359991775901207</v>
      </c>
      <c r="Q73" s="41" t="str">
        <f t="shared" si="121"/>
        <v>5</v>
      </c>
      <c r="R73" s="24">
        <f t="shared" ref="R73:R88" si="134">(P73-INT(P73))*12</f>
        <v>0.43199013108144868</v>
      </c>
      <c r="S73" s="41" t="str">
        <f t="shared" si="122"/>
        <v>0</v>
      </c>
      <c r="T73" s="24">
        <f t="shared" ref="T73:T88" si="135">(R73-INT(R73))*12</f>
        <v>5.1838815729773842</v>
      </c>
      <c r="U73" s="41" t="str">
        <f t="shared" si="123"/>
        <v>5</v>
      </c>
      <c r="V73" s="24">
        <f t="shared" ref="V73:V88" si="136">(T73-INT(T73))*12</f>
        <v>2.20657887572861</v>
      </c>
      <c r="W73" s="41" t="str">
        <f t="shared" si="124"/>
        <v>2</v>
      </c>
      <c r="X73" s="24">
        <f t="shared" ref="X73:X88" si="137">(V73-INT(V73))*12</f>
        <v>2.47894650874332</v>
      </c>
      <c r="Y73" s="41" t="str">
        <f t="shared" si="125"/>
        <v>2</v>
      </c>
      <c r="Z73" s="24">
        <f t="shared" ref="Z73:Z88" si="138">(X73-INT(X73))*12</f>
        <v>5.7473581049198401</v>
      </c>
      <c r="AA73" s="41" t="str">
        <f t="shared" si="126"/>
        <v>5</v>
      </c>
      <c r="AB73" s="24">
        <f t="shared" ref="AB73:AB88" si="139">(Z73-INT(Z73))*12</f>
        <v>8.9682972590380814</v>
      </c>
      <c r="AC73" s="41" t="str">
        <f t="shared" si="127"/>
        <v>8</v>
      </c>
      <c r="AD73" s="24">
        <f t="shared" ref="AD73:AD88" si="140">(AB73-INT(AB73))*12</f>
        <v>11.619567108456977</v>
      </c>
      <c r="AE73" s="41" t="str">
        <f t="shared" si="128"/>
        <v/>
      </c>
      <c r="AF73" s="24">
        <f t="shared" ref="AF73:AF88" si="141">(AD73-INT(AD73))*12</f>
        <v>7.4348053014837205</v>
      </c>
      <c r="AG73" s="41" t="str">
        <f t="shared" si="129"/>
        <v/>
      </c>
      <c r="AH73" s="24">
        <f t="shared" ref="AH73:AH88" si="142">(AF73-INT(AF73))*12</f>
        <v>5.2176636178046465</v>
      </c>
      <c r="AI73" s="41" t="str">
        <f t="shared" si="130"/>
        <v/>
      </c>
      <c r="AJ73" s="24">
        <f t="shared" ref="AJ73:AJ88" si="143">(AH73-INT(AH73))*12</f>
        <v>2.6119634136557579</v>
      </c>
      <c r="AK73" s="41" t="str">
        <f t="shared" si="131"/>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118"/>
        <v>137.03599917759013</v>
      </c>
      <c r="L74" s="39" t="str">
        <f>INDEX(powers!$H$2:$H$75,33+J74)</f>
        <v xml:space="preserve"> </v>
      </c>
      <c r="M74" s="40" t="str">
        <f t="shared" si="119"/>
        <v/>
      </c>
      <c r="N74" s="24">
        <f t="shared" si="132"/>
        <v>0.43199013108153395</v>
      </c>
      <c r="O74" s="41" t="str">
        <f t="shared" si="120"/>
        <v>0</v>
      </c>
      <c r="P74" s="24">
        <f t="shared" si="133"/>
        <v>5.1838815729784073</v>
      </c>
      <c r="Q74" s="41" t="str">
        <f t="shared" si="121"/>
        <v>5</v>
      </c>
      <c r="R74" s="24">
        <f t="shared" si="134"/>
        <v>2.2065788757408882</v>
      </c>
      <c r="S74" s="41" t="str">
        <f t="shared" si="122"/>
        <v>2</v>
      </c>
      <c r="T74" s="24">
        <f t="shared" si="135"/>
        <v>2.4789465088906582</v>
      </c>
      <c r="U74" s="41" t="str">
        <f t="shared" si="123"/>
        <v>2</v>
      </c>
      <c r="V74" s="24">
        <f t="shared" si="136"/>
        <v>5.7473581066878978</v>
      </c>
      <c r="W74" s="41" t="str">
        <f t="shared" si="124"/>
        <v>5</v>
      </c>
      <c r="X74" s="24">
        <f t="shared" si="137"/>
        <v>8.9682972802547738</v>
      </c>
      <c r="Y74" s="41" t="str">
        <f t="shared" si="125"/>
        <v>8</v>
      </c>
      <c r="Z74" s="24">
        <f t="shared" si="138"/>
        <v>11.619567363057286</v>
      </c>
      <c r="AA74" s="41" t="str">
        <f t="shared" si="126"/>
        <v>E</v>
      </c>
      <c r="AB74" s="24">
        <f t="shared" si="139"/>
        <v>7.4348083566874266</v>
      </c>
      <c r="AC74" s="41" t="str">
        <f t="shared" si="127"/>
        <v>7</v>
      </c>
      <c r="AD74" s="24">
        <f t="shared" si="140"/>
        <v>5.2177002802491188</v>
      </c>
      <c r="AE74" s="41" t="str">
        <f t="shared" si="128"/>
        <v>5</v>
      </c>
      <c r="AF74" s="24">
        <f t="shared" si="141"/>
        <v>2.6124033629894257</v>
      </c>
      <c r="AG74" s="41" t="str">
        <f t="shared" si="129"/>
        <v/>
      </c>
      <c r="AH74" s="24">
        <f t="shared" si="142"/>
        <v>7.3488403558731079</v>
      </c>
      <c r="AI74" s="41" t="str">
        <f t="shared" si="130"/>
        <v/>
      </c>
      <c r="AJ74" s="24">
        <f t="shared" si="143"/>
        <v>4.1860842704772949</v>
      </c>
      <c r="AK74" s="41" t="str">
        <f t="shared" si="131"/>
        <v/>
      </c>
    </row>
    <row r="75" spans="1:37" ht="13.5" customHeight="1" x14ac:dyDescent="0.2">
      <c r="A75" s="578"/>
      <c r="B75" s="8" t="s">
        <v>39</v>
      </c>
      <c r="C75" s="8"/>
      <c r="D75" s="21"/>
      <c r="E75" s="8">
        <v>9</v>
      </c>
      <c r="F75" s="21">
        <f t="shared" ref="F75" si="144">SQRT($D$32)</f>
        <v>8.5424543102670447E-2</v>
      </c>
      <c r="G75" s="37" t="str">
        <f t="shared" ref="G75:G78" si="145">M75&amp;";"&amp;O75&amp;Q75&amp;S75&amp;U75&amp;W75&amp;Y75&amp;AA75&amp;AC75&amp;AE75&amp;AG75&amp;AI75&amp;AK75</f>
        <v>1;0374439E1</v>
      </c>
      <c r="H75" s="37"/>
      <c r="I75" s="285"/>
      <c r="J75" s="38">
        <v>-1</v>
      </c>
      <c r="K75" s="61">
        <f t="shared" si="118"/>
        <v>1.0250945172320454</v>
      </c>
      <c r="L75" s="39" t="str">
        <f>INDEX(powers!$H$2:$H$75,33+J75)</f>
        <v>unino</v>
      </c>
      <c r="M75" s="40" t="str">
        <f t="shared" si="119"/>
        <v>1</v>
      </c>
      <c r="N75" s="24">
        <f t="shared" si="132"/>
        <v>0.30113420678454439</v>
      </c>
      <c r="O75" s="41" t="str">
        <f t="shared" si="120"/>
        <v>0</v>
      </c>
      <c r="P75" s="24">
        <f t="shared" si="133"/>
        <v>3.6136104814145327</v>
      </c>
      <c r="Q75" s="41" t="str">
        <f t="shared" si="121"/>
        <v>3</v>
      </c>
      <c r="R75" s="24">
        <f t="shared" si="134"/>
        <v>7.3633257769743921</v>
      </c>
      <c r="S75" s="41" t="str">
        <f t="shared" si="122"/>
        <v>7</v>
      </c>
      <c r="T75" s="24">
        <f t="shared" si="135"/>
        <v>4.3599093236927047</v>
      </c>
      <c r="U75" s="41" t="str">
        <f t="shared" si="123"/>
        <v>4</v>
      </c>
      <c r="V75" s="24">
        <f t="shared" si="136"/>
        <v>4.3189118843124561</v>
      </c>
      <c r="W75" s="41" t="str">
        <f t="shared" si="124"/>
        <v>4</v>
      </c>
      <c r="X75" s="24">
        <f t="shared" si="137"/>
        <v>3.8269426117494731</v>
      </c>
      <c r="Y75" s="41" t="str">
        <f t="shared" si="125"/>
        <v>3</v>
      </c>
      <c r="Z75" s="24">
        <f t="shared" si="138"/>
        <v>9.9233113409936777</v>
      </c>
      <c r="AA75" s="41" t="str">
        <f t="shared" si="126"/>
        <v>9</v>
      </c>
      <c r="AB75" s="24">
        <f t="shared" si="139"/>
        <v>11.079736091924133</v>
      </c>
      <c r="AC75" s="41" t="str">
        <f t="shared" si="127"/>
        <v>E</v>
      </c>
      <c r="AD75" s="24">
        <f t="shared" si="140"/>
        <v>0.95683310308959335</v>
      </c>
      <c r="AE75" s="41" t="str">
        <f t="shared" si="128"/>
        <v>1</v>
      </c>
      <c r="AF75" s="24">
        <f t="shared" si="141"/>
        <v>11.48199723707512</v>
      </c>
      <c r="AG75" s="41" t="str">
        <f t="shared" si="129"/>
        <v/>
      </c>
      <c r="AH75" s="24">
        <f t="shared" si="142"/>
        <v>5.7839668449014425</v>
      </c>
      <c r="AI75" s="41" t="str">
        <f t="shared" si="130"/>
        <v/>
      </c>
      <c r="AJ75" s="24">
        <f t="shared" si="143"/>
        <v>9.4076021388173103</v>
      </c>
      <c r="AK75" s="41" t="str">
        <f t="shared" si="131"/>
        <v/>
      </c>
    </row>
    <row r="76" spans="1:37" ht="13.5" customHeight="1" x14ac:dyDescent="0.2">
      <c r="A76" s="578"/>
      <c r="B76" s="8" t="s">
        <v>35</v>
      </c>
      <c r="C76" s="8"/>
      <c r="D76" s="21"/>
      <c r="E76" s="8">
        <v>9</v>
      </c>
      <c r="F76" s="21">
        <f>1/SQRT($D$32)</f>
        <v>11.706237618363557</v>
      </c>
      <c r="G76" s="37" t="str">
        <f t="shared" si="145"/>
        <v>0;E85846629</v>
      </c>
      <c r="H76" s="37"/>
      <c r="I76" s="285"/>
      <c r="J76" s="38">
        <v>1</v>
      </c>
      <c r="K76" s="61">
        <f t="shared" si="118"/>
        <v>0.97551980153029649</v>
      </c>
      <c r="L76" s="39" t="str">
        <f>INDEX(powers!$H$2:$H$75,33+J76)</f>
        <v>dozen</v>
      </c>
      <c r="M76" s="40" t="str">
        <f t="shared" si="119"/>
        <v>0</v>
      </c>
      <c r="N76" s="24">
        <f t="shared" si="132"/>
        <v>11.706237618363557</v>
      </c>
      <c r="O76" s="41" t="str">
        <f t="shared" si="120"/>
        <v>E</v>
      </c>
      <c r="P76" s="24">
        <f t="shared" si="133"/>
        <v>8.4748514203626897</v>
      </c>
      <c r="Q76" s="41" t="str">
        <f t="shared" si="121"/>
        <v>8</v>
      </c>
      <c r="R76" s="24">
        <f t="shared" si="134"/>
        <v>5.6982170443522762</v>
      </c>
      <c r="S76" s="41" t="str">
        <f t="shared" si="122"/>
        <v>5</v>
      </c>
      <c r="T76" s="24">
        <f t="shared" si="135"/>
        <v>8.3786045322273139</v>
      </c>
      <c r="U76" s="41" t="str">
        <f t="shared" si="123"/>
        <v>8</v>
      </c>
      <c r="V76" s="24">
        <f t="shared" si="136"/>
        <v>4.5432543867277673</v>
      </c>
      <c r="W76" s="41" t="str">
        <f t="shared" si="124"/>
        <v>4</v>
      </c>
      <c r="X76" s="24">
        <f t="shared" si="137"/>
        <v>6.5190526407332072</v>
      </c>
      <c r="Y76" s="41" t="str">
        <f t="shared" si="125"/>
        <v>6</v>
      </c>
      <c r="Z76" s="24">
        <f t="shared" si="138"/>
        <v>6.2286316887984867</v>
      </c>
      <c r="AA76" s="41" t="str">
        <f t="shared" si="126"/>
        <v>6</v>
      </c>
      <c r="AB76" s="24">
        <f t="shared" si="139"/>
        <v>2.7435802655818406</v>
      </c>
      <c r="AC76" s="41" t="str">
        <f t="shared" si="127"/>
        <v>2</v>
      </c>
      <c r="AD76" s="24">
        <f t="shared" si="140"/>
        <v>8.9229631869820878</v>
      </c>
      <c r="AE76" s="41" t="str">
        <f t="shared" si="128"/>
        <v>9</v>
      </c>
      <c r="AF76" s="24">
        <f t="shared" si="141"/>
        <v>11.075558243785053</v>
      </c>
      <c r="AG76" s="41" t="str">
        <f t="shared" si="129"/>
        <v/>
      </c>
      <c r="AH76" s="24">
        <f t="shared" si="142"/>
        <v>0.9066989254206419</v>
      </c>
      <c r="AI76" s="41" t="str">
        <f t="shared" si="130"/>
        <v/>
      </c>
      <c r="AJ76" s="24">
        <f t="shared" si="143"/>
        <v>10.880387105047703</v>
      </c>
      <c r="AK76" s="41" t="str">
        <f t="shared" si="131"/>
        <v/>
      </c>
    </row>
    <row r="77" spans="1:37" ht="13.5" customHeight="1" x14ac:dyDescent="0.2">
      <c r="A77" s="578"/>
      <c r="B77" s="8" t="s">
        <v>36</v>
      </c>
      <c r="C77" s="8"/>
      <c r="D77" s="21"/>
      <c r="E77" s="8">
        <v>12</v>
      </c>
      <c r="F77" s="21">
        <f>4*PI()</f>
        <v>12.566370614359172</v>
      </c>
      <c r="G77" s="37" t="str">
        <f t="shared" si="145"/>
        <v>1;0696831713E1</v>
      </c>
      <c r="H77" s="37"/>
      <c r="I77" s="285"/>
      <c r="J77" s="38">
        <v>1</v>
      </c>
      <c r="K77" s="61">
        <f t="shared" si="118"/>
        <v>1.0471975511965976</v>
      </c>
      <c r="L77" s="39" t="str">
        <f>INDEX(powers!$H$2:$H$75,33+J77)</f>
        <v>dozen</v>
      </c>
      <c r="M77" s="40" t="str">
        <f t="shared" si="119"/>
        <v>1</v>
      </c>
      <c r="N77" s="24">
        <f t="shared" si="132"/>
        <v>0.56637061435917158</v>
      </c>
      <c r="O77" s="41" t="str">
        <f t="shared" si="120"/>
        <v>0</v>
      </c>
      <c r="P77" s="24">
        <f t="shared" si="133"/>
        <v>6.7964473723100589</v>
      </c>
      <c r="Q77" s="41" t="str">
        <f t="shared" si="121"/>
        <v>6</v>
      </c>
      <c r="R77" s="24">
        <f t="shared" si="134"/>
        <v>9.5573684677207069</v>
      </c>
      <c r="S77" s="41" t="str">
        <f t="shared" si="122"/>
        <v>9</v>
      </c>
      <c r="T77" s="24">
        <f t="shared" si="135"/>
        <v>6.688421612648483</v>
      </c>
      <c r="U77" s="41" t="str">
        <f t="shared" si="123"/>
        <v>6</v>
      </c>
      <c r="V77" s="24">
        <f t="shared" si="136"/>
        <v>8.2610593517817961</v>
      </c>
      <c r="W77" s="41" t="str">
        <f t="shared" si="124"/>
        <v>8</v>
      </c>
      <c r="X77" s="24">
        <f t="shared" si="137"/>
        <v>3.1327122213815528</v>
      </c>
      <c r="Y77" s="41" t="str">
        <f t="shared" si="125"/>
        <v>3</v>
      </c>
      <c r="Z77" s="24">
        <f t="shared" si="138"/>
        <v>1.5925466565786337</v>
      </c>
      <c r="AA77" s="41" t="str">
        <f t="shared" si="126"/>
        <v>1</v>
      </c>
      <c r="AB77" s="24">
        <f t="shared" si="139"/>
        <v>7.1105598789436044</v>
      </c>
      <c r="AC77" s="41" t="str">
        <f t="shared" si="127"/>
        <v>7</v>
      </c>
      <c r="AD77" s="24">
        <f t="shared" si="140"/>
        <v>1.326718547323253</v>
      </c>
      <c r="AE77" s="41" t="str">
        <f t="shared" si="128"/>
        <v>1</v>
      </c>
      <c r="AF77" s="24">
        <f t="shared" si="141"/>
        <v>3.9206225678790361</v>
      </c>
      <c r="AG77" s="41" t="str">
        <f t="shared" si="129"/>
        <v>3</v>
      </c>
      <c r="AH77" s="24">
        <f t="shared" si="142"/>
        <v>11.047470814548433</v>
      </c>
      <c r="AI77" s="41" t="str">
        <f t="shared" si="130"/>
        <v>E</v>
      </c>
      <c r="AJ77" s="24">
        <f t="shared" si="143"/>
        <v>0.56964977458119392</v>
      </c>
      <c r="AK77" s="41" t="str">
        <f t="shared" si="131"/>
        <v>1</v>
      </c>
    </row>
    <row r="78" spans="1:37" ht="13.5" customHeight="1" x14ac:dyDescent="0.2">
      <c r="A78" s="578"/>
      <c r="B78" s="30" t="s">
        <v>37</v>
      </c>
      <c r="C78" s="30"/>
      <c r="D78" s="29"/>
      <c r="E78" s="8">
        <v>12</v>
      </c>
      <c r="F78" s="21">
        <f>1/(4*PI())</f>
        <v>7.9577471545947673E-2</v>
      </c>
      <c r="G78" s="37" t="str">
        <f t="shared" si="145"/>
        <v>0;E5615082189E</v>
      </c>
      <c r="H78" s="37"/>
      <c r="I78" s="285"/>
      <c r="J78" s="38">
        <v>-1</v>
      </c>
      <c r="K78" s="61">
        <f t="shared" si="118"/>
        <v>0.95492965855137213</v>
      </c>
      <c r="L78" s="39" t="str">
        <f>INDEX(powers!$H$2:$H$75,33+J78)</f>
        <v>unino</v>
      </c>
      <c r="M78" s="40" t="str">
        <f t="shared" si="119"/>
        <v>0</v>
      </c>
      <c r="N78" s="24">
        <f t="shared" si="132"/>
        <v>11.459155902616466</v>
      </c>
      <c r="O78" s="41" t="str">
        <f t="shared" si="120"/>
        <v>E</v>
      </c>
      <c r="P78" s="24">
        <f t="shared" si="133"/>
        <v>5.5098708313975919</v>
      </c>
      <c r="Q78" s="41" t="str">
        <f t="shared" si="121"/>
        <v>5</v>
      </c>
      <c r="R78" s="24">
        <f t="shared" si="134"/>
        <v>6.1184499767711031</v>
      </c>
      <c r="S78" s="41" t="str">
        <f t="shared" si="122"/>
        <v>6</v>
      </c>
      <c r="T78" s="24">
        <f t="shared" si="135"/>
        <v>1.4213997212532377</v>
      </c>
      <c r="U78" s="41" t="str">
        <f t="shared" si="123"/>
        <v>1</v>
      </c>
      <c r="V78" s="24">
        <f t="shared" si="136"/>
        <v>5.0567966550388519</v>
      </c>
      <c r="W78" s="41" t="str">
        <f t="shared" si="124"/>
        <v>5</v>
      </c>
      <c r="X78" s="24">
        <f t="shared" si="137"/>
        <v>0.68155986046622274</v>
      </c>
      <c r="Y78" s="41" t="str">
        <f t="shared" si="125"/>
        <v>0</v>
      </c>
      <c r="Z78" s="24">
        <f t="shared" si="138"/>
        <v>8.1787183255946729</v>
      </c>
      <c r="AA78" s="41" t="str">
        <f t="shared" si="126"/>
        <v>8</v>
      </c>
      <c r="AB78" s="24">
        <f t="shared" si="139"/>
        <v>2.1446199071360752</v>
      </c>
      <c r="AC78" s="41" t="str">
        <f t="shared" si="127"/>
        <v>2</v>
      </c>
      <c r="AD78" s="24">
        <f t="shared" si="140"/>
        <v>1.7354388856329024</v>
      </c>
      <c r="AE78" s="41" t="str">
        <f t="shared" si="128"/>
        <v>1</v>
      </c>
      <c r="AF78" s="24">
        <f t="shared" si="141"/>
        <v>8.8252666275948286</v>
      </c>
      <c r="AG78" s="41" t="str">
        <f t="shared" si="129"/>
        <v>8</v>
      </c>
      <c r="AH78" s="24">
        <f t="shared" si="142"/>
        <v>9.9031995311379433</v>
      </c>
      <c r="AI78" s="41" t="str">
        <f t="shared" si="130"/>
        <v>9</v>
      </c>
      <c r="AJ78" s="24">
        <f t="shared" si="143"/>
        <v>10.838394373655319</v>
      </c>
      <c r="AK78" s="41" t="str">
        <f t="shared" si="131"/>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118"/>
        <v>137.50987083139759</v>
      </c>
      <c r="L79" s="39" t="str">
        <f>INDEX(powers!$H$2:$H$75,33+J79)</f>
        <v>terno</v>
      </c>
      <c r="M79" s="40" t="str">
        <f t="shared" si="119"/>
        <v/>
      </c>
      <c r="N79" s="24">
        <f t="shared" si="132"/>
        <v>6.1184499767711031</v>
      </c>
      <c r="O79" s="41" t="str">
        <f t="shared" si="120"/>
        <v>6</v>
      </c>
      <c r="P79" s="24">
        <f t="shared" si="133"/>
        <v>1.4213997212532377</v>
      </c>
      <c r="Q79" s="41" t="str">
        <f t="shared" si="121"/>
        <v>1</v>
      </c>
      <c r="R79" s="24">
        <f t="shared" si="134"/>
        <v>5.0567966550388519</v>
      </c>
      <c r="S79" s="41" t="str">
        <f t="shared" si="122"/>
        <v>5</v>
      </c>
      <c r="T79" s="24">
        <f t="shared" si="135"/>
        <v>0.68155986046622274</v>
      </c>
      <c r="U79" s="41" t="str">
        <f t="shared" si="123"/>
        <v>0</v>
      </c>
      <c r="V79" s="24">
        <f t="shared" si="136"/>
        <v>8.1787183255946729</v>
      </c>
      <c r="W79" s="41" t="str">
        <f t="shared" si="124"/>
        <v>8</v>
      </c>
      <c r="X79" s="24">
        <f t="shared" si="137"/>
        <v>2.1446199071360752</v>
      </c>
      <c r="Y79" s="41" t="str">
        <f t="shared" si="125"/>
        <v>2</v>
      </c>
      <c r="Z79" s="24">
        <f t="shared" si="138"/>
        <v>1.7354388856329024</v>
      </c>
      <c r="AA79" s="41" t="str">
        <f t="shared" si="126"/>
        <v>1</v>
      </c>
      <c r="AB79" s="24">
        <f t="shared" si="139"/>
        <v>8.8252666275948286</v>
      </c>
      <c r="AC79" s="41" t="str">
        <f t="shared" si="127"/>
        <v>8</v>
      </c>
      <c r="AD79" s="24">
        <f t="shared" si="140"/>
        <v>9.9031995311379433</v>
      </c>
      <c r="AE79" s="41" t="str">
        <f t="shared" si="128"/>
        <v>X</v>
      </c>
      <c r="AF79" s="24">
        <f t="shared" si="141"/>
        <v>10.838394373655319</v>
      </c>
      <c r="AG79" s="41" t="str">
        <f t="shared" si="129"/>
        <v/>
      </c>
      <c r="AH79" s="24">
        <f t="shared" si="142"/>
        <v>10.060732483863831</v>
      </c>
      <c r="AI79" s="41" t="str">
        <f t="shared" si="130"/>
        <v/>
      </c>
      <c r="AJ79" s="24">
        <f t="shared" si="143"/>
        <v>0.7287898063659668</v>
      </c>
      <c r="AK79" s="41" t="str">
        <f t="shared" si="131"/>
        <v/>
      </c>
    </row>
    <row r="80" spans="1:37" ht="13.5" customHeight="1" x14ac:dyDescent="0.2">
      <c r="A80" s="578"/>
      <c r="B80" s="8" t="s">
        <v>32</v>
      </c>
      <c r="C80" s="8"/>
      <c r="D80" s="21"/>
      <c r="E80" s="8">
        <v>9</v>
      </c>
      <c r="F80" s="21">
        <f>4*PI()/$D$32</f>
        <v>1722.0451531746162</v>
      </c>
      <c r="G80" s="37" t="str">
        <f t="shared" ref="G80:G88" si="146">M80&amp;";"&amp;O80&amp;Q80&amp;S80&amp;U80&amp;W80&amp;Y80&amp;AA80&amp;AC80&amp;AE80&amp;AG80&amp;AI80&amp;AK80</f>
        <v>0;EE6066037</v>
      </c>
      <c r="H80" s="37"/>
      <c r="I80" s="285"/>
      <c r="J80" s="38">
        <v>3</v>
      </c>
      <c r="K80" s="61">
        <f t="shared" si="118"/>
        <v>0.99655390808716215</v>
      </c>
      <c r="L80" s="39" t="str">
        <f>INDEX(powers!$H$2:$H$75,33+J80)</f>
        <v>doz gross</v>
      </c>
      <c r="M80" s="40" t="str">
        <f t="shared" si="119"/>
        <v>0</v>
      </c>
      <c r="N80" s="24">
        <f t="shared" si="132"/>
        <v>11.958646897045945</v>
      </c>
      <c r="O80" s="41" t="str">
        <f t="shared" si="120"/>
        <v>E</v>
      </c>
      <c r="P80" s="24">
        <f t="shared" si="133"/>
        <v>11.50376276455134</v>
      </c>
      <c r="Q80" s="41" t="str">
        <f t="shared" si="121"/>
        <v>E</v>
      </c>
      <c r="R80" s="24">
        <f t="shared" si="134"/>
        <v>6.0451531746160754</v>
      </c>
      <c r="S80" s="41" t="str">
        <f t="shared" si="122"/>
        <v>6</v>
      </c>
      <c r="T80" s="24">
        <f t="shared" si="135"/>
        <v>0.54183809539290451</v>
      </c>
      <c r="U80" s="41" t="str">
        <f t="shared" si="123"/>
        <v>0</v>
      </c>
      <c r="V80" s="24">
        <f t="shared" si="136"/>
        <v>6.5020571447148541</v>
      </c>
      <c r="W80" s="41" t="str">
        <f t="shared" si="124"/>
        <v>6</v>
      </c>
      <c r="X80" s="24">
        <f t="shared" si="137"/>
        <v>6.0246857365782489</v>
      </c>
      <c r="Y80" s="41" t="str">
        <f t="shared" si="125"/>
        <v>6</v>
      </c>
      <c r="Z80" s="24">
        <f t="shared" si="138"/>
        <v>0.29622883893898688</v>
      </c>
      <c r="AA80" s="41" t="str">
        <f t="shared" si="126"/>
        <v>0</v>
      </c>
      <c r="AB80" s="24">
        <f t="shared" si="139"/>
        <v>3.5547460672678426</v>
      </c>
      <c r="AC80" s="41" t="str">
        <f t="shared" si="127"/>
        <v>3</v>
      </c>
      <c r="AD80" s="24">
        <f t="shared" si="140"/>
        <v>6.6569528072141111</v>
      </c>
      <c r="AE80" s="41" t="str">
        <f t="shared" si="128"/>
        <v>7</v>
      </c>
      <c r="AF80" s="24">
        <f t="shared" si="141"/>
        <v>7.8834336865693331</v>
      </c>
      <c r="AG80" s="41" t="str">
        <f t="shared" si="129"/>
        <v/>
      </c>
      <c r="AH80" s="24">
        <f t="shared" si="142"/>
        <v>10.601204238831997</v>
      </c>
      <c r="AI80" s="41" t="str">
        <f t="shared" si="130"/>
        <v/>
      </c>
      <c r="AJ80" s="24">
        <f t="shared" si="143"/>
        <v>7.214450865983963</v>
      </c>
      <c r="AK80" s="41" t="str">
        <f t="shared" si="131"/>
        <v/>
      </c>
    </row>
    <row r="81" spans="1:37" ht="13.5" customHeight="1" x14ac:dyDescent="0.2">
      <c r="A81" s="578"/>
      <c r="B81" s="8" t="s">
        <v>38</v>
      </c>
      <c r="C81" s="8"/>
      <c r="D81" s="21"/>
      <c r="E81" s="8">
        <v>9</v>
      </c>
      <c r="F81" s="21">
        <f>$D$32/(4*PI())</f>
        <v>5.8070486604633147E-4</v>
      </c>
      <c r="G81" s="37" t="str">
        <f t="shared" si="146"/>
        <v>1;005E85684</v>
      </c>
      <c r="H81" s="37"/>
      <c r="I81" s="285"/>
      <c r="J81" s="38">
        <v>-3</v>
      </c>
      <c r="K81" s="61">
        <f t="shared" si="118"/>
        <v>1.0034580085280609</v>
      </c>
      <c r="L81" s="39" t="str">
        <f>INDEX(powers!$H$2:$H$75,33+J81)</f>
        <v>terno</v>
      </c>
      <c r="M81" s="40" t="str">
        <f t="shared" si="119"/>
        <v>1</v>
      </c>
      <c r="N81" s="24">
        <f t="shared" si="132"/>
        <v>4.1496102336730623E-2</v>
      </c>
      <c r="O81" s="41" t="str">
        <f t="shared" si="120"/>
        <v>0</v>
      </c>
      <c r="P81" s="24">
        <f t="shared" si="133"/>
        <v>0.49795322804076747</v>
      </c>
      <c r="Q81" s="41" t="str">
        <f t="shared" si="121"/>
        <v>0</v>
      </c>
      <c r="R81" s="24">
        <f t="shared" si="134"/>
        <v>5.9754387364892096</v>
      </c>
      <c r="S81" s="41" t="str">
        <f t="shared" si="122"/>
        <v>5</v>
      </c>
      <c r="T81" s="24">
        <f t="shared" si="135"/>
        <v>11.705264837870516</v>
      </c>
      <c r="U81" s="41" t="str">
        <f t="shared" si="123"/>
        <v>E</v>
      </c>
      <c r="V81" s="24">
        <f t="shared" si="136"/>
        <v>8.463178054446189</v>
      </c>
      <c r="W81" s="41" t="str">
        <f t="shared" si="124"/>
        <v>8</v>
      </c>
      <c r="X81" s="24">
        <f t="shared" si="137"/>
        <v>5.5581366533542678</v>
      </c>
      <c r="Y81" s="41" t="str">
        <f t="shared" si="125"/>
        <v>5</v>
      </c>
      <c r="Z81" s="24">
        <f t="shared" si="138"/>
        <v>6.6976398402512132</v>
      </c>
      <c r="AA81" s="41" t="str">
        <f t="shared" si="126"/>
        <v>6</v>
      </c>
      <c r="AB81" s="24">
        <f t="shared" si="139"/>
        <v>8.3716780830145581</v>
      </c>
      <c r="AC81" s="41" t="str">
        <f t="shared" si="127"/>
        <v>8</v>
      </c>
      <c r="AD81" s="24">
        <f t="shared" si="140"/>
        <v>4.4601369961746968</v>
      </c>
      <c r="AE81" s="41" t="str">
        <f t="shared" si="128"/>
        <v>4</v>
      </c>
      <c r="AF81" s="24">
        <f t="shared" si="141"/>
        <v>5.521643954096362</v>
      </c>
      <c r="AG81" s="41" t="str">
        <f t="shared" si="129"/>
        <v/>
      </c>
      <c r="AH81" s="24">
        <f t="shared" si="142"/>
        <v>6.2597274491563439</v>
      </c>
      <c r="AI81" s="41" t="str">
        <f t="shared" si="130"/>
        <v/>
      </c>
      <c r="AJ81" s="24">
        <f t="shared" si="143"/>
        <v>3.1167293898761272</v>
      </c>
      <c r="AK81" s="41" t="str">
        <f t="shared" si="131"/>
        <v/>
      </c>
    </row>
    <row r="82" spans="1:37" ht="13.5" customHeight="1" x14ac:dyDescent="0.2">
      <c r="A82" s="578"/>
      <c r="B82" s="8" t="s">
        <v>33</v>
      </c>
      <c r="C82" s="8"/>
      <c r="D82" s="21"/>
      <c r="E82" s="8">
        <v>9</v>
      </c>
      <c r="F82" s="21">
        <f>4*PI()/($D$32*$D$32)</f>
        <v>235982.17819420979</v>
      </c>
      <c r="G82" s="37" t="str">
        <f t="shared" si="146"/>
        <v>0;E4692217E</v>
      </c>
      <c r="H82" s="37"/>
      <c r="I82" s="285"/>
      <c r="J82" s="38">
        <v>5</v>
      </c>
      <c r="K82" s="61">
        <f t="shared" si="118"/>
        <v>0.94835944811844852</v>
      </c>
      <c r="L82" s="39" t="str">
        <f>INDEX(powers!$H$2:$H$75,33+J82)</f>
        <v>terno cosmic</v>
      </c>
      <c r="M82" s="40" t="str">
        <f t="shared" si="119"/>
        <v>0</v>
      </c>
      <c r="N82" s="24">
        <f t="shared" si="132"/>
        <v>11.380313377421382</v>
      </c>
      <c r="O82" s="41" t="str">
        <f t="shared" si="120"/>
        <v>E</v>
      </c>
      <c r="P82" s="24">
        <f t="shared" si="133"/>
        <v>4.5637605290565872</v>
      </c>
      <c r="Q82" s="41" t="str">
        <f t="shared" si="121"/>
        <v>4</v>
      </c>
      <c r="R82" s="24">
        <f t="shared" si="134"/>
        <v>6.7651263486790469</v>
      </c>
      <c r="S82" s="41" t="str">
        <f t="shared" si="122"/>
        <v>6</v>
      </c>
      <c r="T82" s="24">
        <f t="shared" si="135"/>
        <v>9.1815161841485633</v>
      </c>
      <c r="U82" s="41" t="str">
        <f t="shared" si="123"/>
        <v>9</v>
      </c>
      <c r="V82" s="24">
        <f t="shared" si="136"/>
        <v>2.1781942097827596</v>
      </c>
      <c r="W82" s="41" t="str">
        <f t="shared" si="124"/>
        <v>2</v>
      </c>
      <c r="X82" s="24">
        <f t="shared" si="137"/>
        <v>2.1383305173931149</v>
      </c>
      <c r="Y82" s="41" t="str">
        <f t="shared" si="125"/>
        <v>2</v>
      </c>
      <c r="Z82" s="24">
        <f t="shared" si="138"/>
        <v>1.6599662087173783</v>
      </c>
      <c r="AA82" s="41" t="str">
        <f t="shared" si="126"/>
        <v>1</v>
      </c>
      <c r="AB82" s="24">
        <f t="shared" si="139"/>
        <v>7.9195945046085399</v>
      </c>
      <c r="AC82" s="41" t="str">
        <f t="shared" si="127"/>
        <v>7</v>
      </c>
      <c r="AD82" s="24">
        <f t="shared" si="140"/>
        <v>11.035134055302478</v>
      </c>
      <c r="AE82" s="41" t="str">
        <f t="shared" si="128"/>
        <v>E</v>
      </c>
      <c r="AF82" s="24">
        <f t="shared" si="141"/>
        <v>0.42160866362974048</v>
      </c>
      <c r="AG82" s="41" t="str">
        <f t="shared" si="129"/>
        <v/>
      </c>
      <c r="AH82" s="24">
        <f t="shared" si="142"/>
        <v>5.0593039635568857</v>
      </c>
      <c r="AI82" s="41" t="str">
        <f t="shared" si="130"/>
        <v/>
      </c>
      <c r="AJ82" s="24">
        <f t="shared" si="143"/>
        <v>0.71164756268262863</v>
      </c>
      <c r="AK82" s="41" t="str">
        <f t="shared" si="131"/>
        <v/>
      </c>
    </row>
    <row r="83" spans="1:37" ht="14.25" customHeight="1" x14ac:dyDescent="0.2">
      <c r="A83" s="578"/>
      <c r="B83" s="30" t="s">
        <v>41</v>
      </c>
      <c r="C83" s="30"/>
      <c r="D83" s="29"/>
      <c r="E83" s="30">
        <v>9</v>
      </c>
      <c r="F83" s="29">
        <f>($D$32*$D$32)/(4*PI())</f>
        <v>4.2376081433446851E-6</v>
      </c>
      <c r="G83" s="108" t="str">
        <f t="shared" si="146"/>
        <v>1;07X1163X5</v>
      </c>
      <c r="H83" s="108"/>
      <c r="I83" s="286"/>
      <c r="J83" s="43">
        <v>-5</v>
      </c>
      <c r="K83" s="62">
        <f t="shared" si="118"/>
        <v>1.0544525095247446</v>
      </c>
      <c r="L83" s="44" t="str">
        <f>INDEX(powers!$H$2:$H$75,33+J83)</f>
        <v>doz gross atomic</v>
      </c>
      <c r="M83" s="40" t="str">
        <f t="shared" si="119"/>
        <v>1</v>
      </c>
      <c r="N83" s="24">
        <f t="shared" si="132"/>
        <v>0.65343011429693476</v>
      </c>
      <c r="O83" s="41" t="str">
        <f t="shared" si="120"/>
        <v>0</v>
      </c>
      <c r="P83" s="24">
        <f t="shared" si="133"/>
        <v>7.8411613715632171</v>
      </c>
      <c r="Q83" s="41" t="str">
        <f t="shared" si="121"/>
        <v>7</v>
      </c>
      <c r="R83" s="24">
        <f t="shared" si="134"/>
        <v>10.093936458758606</v>
      </c>
      <c r="S83" s="41" t="str">
        <f t="shared" si="122"/>
        <v>X</v>
      </c>
      <c r="T83" s="24">
        <f t="shared" si="135"/>
        <v>1.1272375051032668</v>
      </c>
      <c r="U83" s="41" t="str">
        <f t="shared" si="123"/>
        <v>1</v>
      </c>
      <c r="V83" s="24">
        <f t="shared" si="136"/>
        <v>1.5268500612392018</v>
      </c>
      <c r="W83" s="41" t="str">
        <f t="shared" si="124"/>
        <v>1</v>
      </c>
      <c r="X83" s="24">
        <f t="shared" si="137"/>
        <v>6.322200734870421</v>
      </c>
      <c r="Y83" s="41" t="str">
        <f t="shared" si="125"/>
        <v>6</v>
      </c>
      <c r="Z83" s="24">
        <f t="shared" si="138"/>
        <v>3.866408818445052</v>
      </c>
      <c r="AA83" s="41" t="str">
        <f t="shared" si="126"/>
        <v>3</v>
      </c>
      <c r="AB83" s="24">
        <f t="shared" si="139"/>
        <v>10.396905821340624</v>
      </c>
      <c r="AC83" s="41" t="str">
        <f t="shared" si="127"/>
        <v>X</v>
      </c>
      <c r="AD83" s="24">
        <f t="shared" si="140"/>
        <v>4.7628698560874909</v>
      </c>
      <c r="AE83" s="41" t="str">
        <f t="shared" si="128"/>
        <v>5</v>
      </c>
      <c r="AF83" s="24">
        <f t="shared" si="141"/>
        <v>9.154438273049891</v>
      </c>
      <c r="AG83" s="41" t="str">
        <f t="shared" si="129"/>
        <v/>
      </c>
      <c r="AH83" s="24">
        <f t="shared" si="142"/>
        <v>1.8532592765986919</v>
      </c>
      <c r="AI83" s="41" t="str">
        <f t="shared" si="130"/>
        <v/>
      </c>
      <c r="AJ83" s="24">
        <f t="shared" si="143"/>
        <v>10.239111319184303</v>
      </c>
      <c r="AK83" s="41" t="str">
        <f t="shared" si="131"/>
        <v/>
      </c>
    </row>
    <row r="84" spans="1:37" ht="14.25" customHeight="1" x14ac:dyDescent="0.2">
      <c r="A84" s="578"/>
      <c r="B84" s="30" t="s">
        <v>1220</v>
      </c>
      <c r="C84" s="30"/>
      <c r="D84" s="29"/>
      <c r="E84" s="30">
        <v>11</v>
      </c>
      <c r="F84" s="29">
        <v>1836.15267245</v>
      </c>
      <c r="G84" s="108" t="str">
        <f t="shared" si="146"/>
        <v>1;09019E9995E</v>
      </c>
      <c r="H84" s="108"/>
      <c r="I84" s="286"/>
      <c r="J84" s="43">
        <v>3</v>
      </c>
      <c r="K84" s="62">
        <f t="shared" si="118"/>
        <v>1.0625883521122685</v>
      </c>
      <c r="L84" s="44" t="str">
        <f>INDEX(powers!$H$2:$H$75,33+J84)</f>
        <v>doz gross</v>
      </c>
      <c r="M84" s="40" t="str">
        <f t="shared" si="119"/>
        <v>1</v>
      </c>
      <c r="N84" s="24">
        <f t="shared" si="132"/>
        <v>0.7510602253472225</v>
      </c>
      <c r="O84" s="41" t="str">
        <f t="shared" si="120"/>
        <v>0</v>
      </c>
      <c r="P84" s="24">
        <f t="shared" si="133"/>
        <v>9.01272270416667</v>
      </c>
      <c r="Q84" s="41" t="str">
        <f t="shared" si="121"/>
        <v>9</v>
      </c>
      <c r="R84" s="24">
        <f t="shared" si="134"/>
        <v>0.15267245000003982</v>
      </c>
      <c r="S84" s="41" t="str">
        <f t="shared" si="122"/>
        <v>0</v>
      </c>
      <c r="T84" s="24">
        <f t="shared" si="135"/>
        <v>1.8320694000004778</v>
      </c>
      <c r="U84" s="41" t="str">
        <f t="shared" si="123"/>
        <v>1</v>
      </c>
      <c r="V84" s="24">
        <f t="shared" si="136"/>
        <v>9.9848328000057336</v>
      </c>
      <c r="W84" s="41" t="str">
        <f t="shared" si="124"/>
        <v>9</v>
      </c>
      <c r="X84" s="24">
        <f t="shared" si="137"/>
        <v>11.817993600068803</v>
      </c>
      <c r="Y84" s="41" t="str">
        <f t="shared" si="125"/>
        <v>E</v>
      </c>
      <c r="Z84" s="24">
        <f t="shared" si="138"/>
        <v>9.8159232008256367</v>
      </c>
      <c r="AA84" s="41" t="str">
        <f t="shared" si="126"/>
        <v>9</v>
      </c>
      <c r="AB84" s="24">
        <f t="shared" si="139"/>
        <v>9.7910784099076409</v>
      </c>
      <c r="AC84" s="41" t="str">
        <f t="shared" si="127"/>
        <v>9</v>
      </c>
      <c r="AD84" s="24">
        <f t="shared" si="140"/>
        <v>9.4929409188916907</v>
      </c>
      <c r="AE84" s="41" t="str">
        <f t="shared" si="128"/>
        <v>9</v>
      </c>
      <c r="AF84" s="24">
        <f t="shared" si="141"/>
        <v>5.9152910267002881</v>
      </c>
      <c r="AG84" s="41" t="str">
        <f t="shared" si="129"/>
        <v>5</v>
      </c>
      <c r="AH84" s="24">
        <f t="shared" si="142"/>
        <v>10.983492320403457</v>
      </c>
      <c r="AI84" s="41" t="str">
        <f t="shared" si="130"/>
        <v>E</v>
      </c>
      <c r="AJ84" s="24">
        <f t="shared" si="143"/>
        <v>11.80190784484148</v>
      </c>
      <c r="AK84" s="41" t="str">
        <f t="shared" si="131"/>
        <v/>
      </c>
    </row>
    <row r="85" spans="1:37" ht="14.25" customHeight="1" x14ac:dyDescent="0.2">
      <c r="A85" s="578"/>
      <c r="B85" s="30" t="s">
        <v>1221</v>
      </c>
      <c r="C85" s="30"/>
      <c r="D85" s="29"/>
      <c r="E85" s="30">
        <v>11</v>
      </c>
      <c r="F85" s="29">
        <f>POWER(F84,9)*POWER(F72,-11)</f>
        <v>7.5920748287008189E+52</v>
      </c>
      <c r="G85" s="108" t="str">
        <f t="shared" si="146"/>
        <v>1;001XXX1088</v>
      </c>
      <c r="H85" s="108"/>
      <c r="I85" s="286"/>
      <c r="J85" s="43">
        <v>49</v>
      </c>
      <c r="K85" s="62">
        <f t="shared" si="118"/>
        <v>1.0011045231309914</v>
      </c>
      <c r="L85" s="44" t="str">
        <f>Rydberg!L85</f>
        <v>sexty-cosmic dirac</v>
      </c>
      <c r="M85" s="40" t="str">
        <f t="shared" si="119"/>
        <v>1</v>
      </c>
      <c r="N85" s="24">
        <f t="shared" si="132"/>
        <v>1.32542775718969E-2</v>
      </c>
      <c r="O85" s="41" t="str">
        <f t="shared" si="120"/>
        <v>0</v>
      </c>
      <c r="P85" s="24">
        <f t="shared" si="133"/>
        <v>0.1590513308627628</v>
      </c>
      <c r="Q85" s="41" t="str">
        <f t="shared" si="121"/>
        <v>0</v>
      </c>
      <c r="R85" s="24">
        <f t="shared" si="134"/>
        <v>1.9086159703531536</v>
      </c>
      <c r="S85" s="41" t="str">
        <f t="shared" si="122"/>
        <v>1</v>
      </c>
      <c r="T85" s="24">
        <f t="shared" si="135"/>
        <v>10.903391644237843</v>
      </c>
      <c r="U85" s="41" t="str">
        <f t="shared" si="123"/>
        <v>X</v>
      </c>
      <c r="V85" s="24">
        <f t="shared" si="136"/>
        <v>10.840699730854112</v>
      </c>
      <c r="W85" s="41" t="str">
        <f t="shared" si="124"/>
        <v>X</v>
      </c>
      <c r="X85" s="24">
        <f t="shared" si="137"/>
        <v>10.088396770249346</v>
      </c>
      <c r="Y85" s="41" t="str">
        <f t="shared" si="125"/>
        <v>X</v>
      </c>
      <c r="Z85" s="24">
        <f t="shared" si="138"/>
        <v>1.0607612429921573</v>
      </c>
      <c r="AA85" s="41" t="str">
        <f t="shared" si="126"/>
        <v>1</v>
      </c>
      <c r="AB85" s="24">
        <f t="shared" si="139"/>
        <v>0.72913491590588819</v>
      </c>
      <c r="AC85" s="41" t="str">
        <f t="shared" si="127"/>
        <v>0</v>
      </c>
      <c r="AD85" s="24">
        <f t="shared" si="140"/>
        <v>8.7496189908706583</v>
      </c>
      <c r="AE85" s="41" t="str">
        <f t="shared" si="128"/>
        <v>8</v>
      </c>
      <c r="AF85" s="24">
        <f t="shared" si="141"/>
        <v>8.9954278904478997</v>
      </c>
      <c r="AG85" s="41" t="str">
        <f t="shared" si="129"/>
        <v>8</v>
      </c>
      <c r="AH85" s="24">
        <f t="shared" si="142"/>
        <v>11.945134685374796</v>
      </c>
      <c r="AI85" s="41" t="str">
        <f t="shared" si="130"/>
        <v/>
      </c>
      <c r="AJ85" s="24">
        <f t="shared" si="143"/>
        <v>11.341616224497557</v>
      </c>
      <c r="AK85" s="41" t="str">
        <f t="shared" si="131"/>
        <v/>
      </c>
    </row>
    <row r="86" spans="1:37" ht="14.25" customHeight="1" x14ac:dyDescent="0.2">
      <c r="A86" s="578"/>
      <c r="B86" s="30" t="s">
        <v>339</v>
      </c>
      <c r="C86" s="30"/>
      <c r="D86" s="29"/>
      <c r="E86" s="30">
        <v>12</v>
      </c>
      <c r="F86" s="29">
        <f>POWER(2,43)</f>
        <v>8796093022208</v>
      </c>
      <c r="G86" s="108" t="str">
        <f t="shared" si="146"/>
        <v>0;EX08X990X0X8</v>
      </c>
      <c r="H86" s="108"/>
      <c r="I86" s="286"/>
      <c r="J86" s="43">
        <v>12</v>
      </c>
      <c r="K86" s="62">
        <f t="shared" si="118"/>
        <v>0.98654036854514426</v>
      </c>
      <c r="L86" s="44" t="str">
        <f>INDEX(powers!$H$2:$H$75,33+J86)</f>
        <v>cosmic hyper</v>
      </c>
      <c r="M86" s="40" t="str">
        <f t="shared" si="119"/>
        <v>0</v>
      </c>
      <c r="N86" s="24">
        <f t="shared" si="132"/>
        <v>11.838484422541731</v>
      </c>
      <c r="O86" s="41" t="str">
        <f t="shared" si="120"/>
        <v>E</v>
      </c>
      <c r="P86" s="24">
        <f t="shared" si="133"/>
        <v>10.061813070500769</v>
      </c>
      <c r="Q86" s="41" t="str">
        <f t="shared" si="121"/>
        <v>X</v>
      </c>
      <c r="R86" s="24">
        <f t="shared" si="134"/>
        <v>0.74175684600922409</v>
      </c>
      <c r="S86" s="41" t="str">
        <f t="shared" si="122"/>
        <v>0</v>
      </c>
      <c r="T86" s="24">
        <f t="shared" si="135"/>
        <v>8.9010821521106891</v>
      </c>
      <c r="U86" s="41" t="str">
        <f t="shared" si="123"/>
        <v>8</v>
      </c>
      <c r="V86" s="24">
        <f t="shared" si="136"/>
        <v>10.812985825328269</v>
      </c>
      <c r="W86" s="41" t="str">
        <f t="shared" si="124"/>
        <v>X</v>
      </c>
      <c r="X86" s="24">
        <f t="shared" si="137"/>
        <v>9.7558299039392296</v>
      </c>
      <c r="Y86" s="41" t="str">
        <f t="shared" si="125"/>
        <v>9</v>
      </c>
      <c r="Z86" s="24">
        <f t="shared" si="138"/>
        <v>9.0699588472707546</v>
      </c>
      <c r="AA86" s="41" t="str">
        <f t="shared" si="126"/>
        <v>9</v>
      </c>
      <c r="AB86" s="24">
        <f t="shared" si="139"/>
        <v>0.83950616724905558</v>
      </c>
      <c r="AC86" s="41" t="str">
        <f t="shared" si="127"/>
        <v>0</v>
      </c>
      <c r="AD86" s="24">
        <f t="shared" si="140"/>
        <v>10.074074006988667</v>
      </c>
      <c r="AE86" s="41" t="str">
        <f t="shared" si="128"/>
        <v>X</v>
      </c>
      <c r="AF86" s="24">
        <f t="shared" si="141"/>
        <v>0.88888808386400342</v>
      </c>
      <c r="AG86" s="41" t="str">
        <f t="shared" si="129"/>
        <v>0</v>
      </c>
      <c r="AH86" s="24">
        <f t="shared" si="142"/>
        <v>10.666657006368041</v>
      </c>
      <c r="AI86" s="41" t="str">
        <f t="shared" si="130"/>
        <v>X</v>
      </c>
      <c r="AJ86" s="24">
        <f t="shared" si="143"/>
        <v>7.9998840764164925</v>
      </c>
      <c r="AK86" s="41" t="str">
        <f t="shared" si="131"/>
        <v>8</v>
      </c>
    </row>
    <row r="87" spans="1:37" ht="14.25" customHeight="1" x14ac:dyDescent="0.2">
      <c r="A87" s="578"/>
      <c r="B87" s="30" t="s">
        <v>645</v>
      </c>
      <c r="C87" s="30"/>
      <c r="D87" s="29"/>
      <c r="E87" s="30">
        <v>12</v>
      </c>
      <c r="F87" s="29">
        <f>POWER(12,16)/POWER(2,48)</f>
        <v>656.84083557128906</v>
      </c>
      <c r="G87" s="108" t="str">
        <f t="shared" si="146"/>
        <v>4;68X10E696900</v>
      </c>
      <c r="H87" s="108"/>
      <c r="I87" s="286"/>
      <c r="J87" s="43">
        <v>2</v>
      </c>
      <c r="K87" s="62">
        <f t="shared" si="118"/>
        <v>4.5613946914672852</v>
      </c>
      <c r="L87" s="44" t="str">
        <f>INDEX(powers!$H$2:$H$75,33+J87)</f>
        <v>gross</v>
      </c>
      <c r="M87" s="40" t="str">
        <f t="shared" si="119"/>
        <v>4</v>
      </c>
      <c r="N87" s="24">
        <f t="shared" si="132"/>
        <v>6.7367362976074219</v>
      </c>
      <c r="O87" s="41" t="str">
        <f t="shared" si="120"/>
        <v>6</v>
      </c>
      <c r="P87" s="24">
        <f t="shared" si="133"/>
        <v>8.8408355712890625</v>
      </c>
      <c r="Q87" s="41" t="str">
        <f t="shared" si="121"/>
        <v>8</v>
      </c>
      <c r="R87" s="24">
        <f t="shared" si="134"/>
        <v>10.09002685546875</v>
      </c>
      <c r="S87" s="41" t="str">
        <f t="shared" si="122"/>
        <v>X</v>
      </c>
      <c r="T87" s="24">
        <f t="shared" si="135"/>
        <v>1.080322265625</v>
      </c>
      <c r="U87" s="41" t="str">
        <f t="shared" si="123"/>
        <v>1</v>
      </c>
      <c r="V87" s="24">
        <f t="shared" si="136"/>
        <v>0.9638671875</v>
      </c>
      <c r="W87" s="41" t="str">
        <f t="shared" si="124"/>
        <v>0</v>
      </c>
      <c r="X87" s="24">
        <f t="shared" si="137"/>
        <v>11.56640625</v>
      </c>
      <c r="Y87" s="41" t="str">
        <f t="shared" si="125"/>
        <v>E</v>
      </c>
      <c r="Z87" s="24">
        <f t="shared" si="138"/>
        <v>6.796875</v>
      </c>
      <c r="AA87" s="41" t="str">
        <f t="shared" si="126"/>
        <v>6</v>
      </c>
      <c r="AB87" s="24">
        <f t="shared" si="139"/>
        <v>9.5625</v>
      </c>
      <c r="AC87" s="41" t="str">
        <f t="shared" si="127"/>
        <v>9</v>
      </c>
      <c r="AD87" s="24">
        <f t="shared" si="140"/>
        <v>6.75</v>
      </c>
      <c r="AE87" s="41" t="str">
        <f t="shared" si="128"/>
        <v>6</v>
      </c>
      <c r="AF87" s="24">
        <f t="shared" si="141"/>
        <v>9</v>
      </c>
      <c r="AG87" s="41" t="str">
        <f t="shared" si="129"/>
        <v>9</v>
      </c>
      <c r="AH87" s="24">
        <f t="shared" si="142"/>
        <v>0</v>
      </c>
      <c r="AI87" s="41" t="str">
        <f t="shared" si="130"/>
        <v>0</v>
      </c>
      <c r="AJ87" s="24">
        <f t="shared" si="143"/>
        <v>0</v>
      </c>
      <c r="AK87" s="41" t="str">
        <f t="shared" si="131"/>
        <v>0</v>
      </c>
    </row>
    <row r="88" spans="1:37" ht="14.25" customHeight="1" thickBot="1" x14ac:dyDescent="0.25">
      <c r="A88" s="579"/>
      <c r="B88" s="33" t="s">
        <v>340</v>
      </c>
      <c r="C88" s="33"/>
      <c r="D88" s="32"/>
      <c r="E88" s="33">
        <v>12</v>
      </c>
      <c r="F88" s="32">
        <f>POWER(2,-17)*(2*PI())</f>
        <v>4.7936899621426287E-5</v>
      </c>
      <c r="G88" s="47" t="str">
        <f t="shared" si="146"/>
        <v>0;EE17EX582521</v>
      </c>
      <c r="H88" s="47"/>
      <c r="I88" s="287"/>
      <c r="J88" s="48">
        <v>-4</v>
      </c>
      <c r="K88" s="63">
        <f t="shared" si="118"/>
        <v>0.99401955054989555</v>
      </c>
      <c r="L88" s="49" t="str">
        <f>INDEX(powers!$H$2:$H$75,33+J88)</f>
        <v>sub</v>
      </c>
      <c r="M88" s="40" t="str">
        <f t="shared" si="119"/>
        <v>0</v>
      </c>
      <c r="N88" s="24">
        <f t="shared" si="132"/>
        <v>11.928234606598746</v>
      </c>
      <c r="O88" s="41" t="str">
        <f t="shared" si="120"/>
        <v>E</v>
      </c>
      <c r="P88" s="24">
        <f t="shared" si="133"/>
        <v>11.138815279184954</v>
      </c>
      <c r="Q88" s="41" t="str">
        <f t="shared" si="121"/>
        <v>E</v>
      </c>
      <c r="R88" s="24">
        <f t="shared" si="134"/>
        <v>1.6657833502194421</v>
      </c>
      <c r="S88" s="41" t="str">
        <f t="shared" si="122"/>
        <v>1</v>
      </c>
      <c r="T88" s="24">
        <f t="shared" si="135"/>
        <v>7.9894002026333055</v>
      </c>
      <c r="U88" s="41" t="str">
        <f t="shared" si="123"/>
        <v>7</v>
      </c>
      <c r="V88" s="24">
        <f t="shared" si="136"/>
        <v>11.872802431599666</v>
      </c>
      <c r="W88" s="41" t="str">
        <f t="shared" si="124"/>
        <v>E</v>
      </c>
      <c r="X88" s="24">
        <f t="shared" si="137"/>
        <v>10.473629179195996</v>
      </c>
      <c r="Y88" s="41" t="str">
        <f t="shared" si="125"/>
        <v>X</v>
      </c>
      <c r="Z88" s="24">
        <f t="shared" si="138"/>
        <v>5.6835501503519481</v>
      </c>
      <c r="AA88" s="41" t="str">
        <f t="shared" si="126"/>
        <v>5</v>
      </c>
      <c r="AB88" s="24">
        <f t="shared" si="139"/>
        <v>8.2026018042233773</v>
      </c>
      <c r="AC88" s="41" t="str">
        <f t="shared" si="127"/>
        <v>8</v>
      </c>
      <c r="AD88" s="24">
        <f t="shared" si="140"/>
        <v>2.4312216506805271</v>
      </c>
      <c r="AE88" s="41" t="str">
        <f t="shared" si="128"/>
        <v>2</v>
      </c>
      <c r="AF88" s="24">
        <f t="shared" si="141"/>
        <v>5.1746598081663251</v>
      </c>
      <c r="AG88" s="41" t="str">
        <f t="shared" si="129"/>
        <v>5</v>
      </c>
      <c r="AH88" s="24">
        <f t="shared" si="142"/>
        <v>2.0959176979959011</v>
      </c>
      <c r="AI88" s="41" t="str">
        <f t="shared" si="130"/>
        <v>2</v>
      </c>
      <c r="AJ88" s="24">
        <f t="shared" si="143"/>
        <v>1.1510123759508133</v>
      </c>
      <c r="AK88" s="41" t="str">
        <f t="shared" si="131"/>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2994678.6051935339</v>
      </c>
      <c r="G90" s="37" t="str">
        <f t="shared" ref="G90" si="147">M90&amp;";"&amp;O90&amp;Q90&amp;S90&amp;U90&amp;W90&amp;Y90&amp;AA90&amp;AC90&amp;AE90&amp;AG90&amp;AI90&amp;AK90</f>
        <v>1;005046731936</v>
      </c>
      <c r="H90" s="37"/>
      <c r="I90" s="285"/>
      <c r="J90" s="38">
        <v>6</v>
      </c>
      <c r="K90" s="61">
        <f>F90/POWER(12,J90)</f>
        <v>1.0029118056873492</v>
      </c>
      <c r="L90" s="39" t="str">
        <f>INDEX(powers!$H$2:$H$75,33+J90)</f>
        <v>dino cosmic</v>
      </c>
      <c r="M90" s="40" t="str">
        <f t="shared" ref="M90" si="148">IF($E90&gt;=M$31,MID($J$31,IF($E90&gt;M$31,INT(K90),ROUND(K90,0))+1,1),"")</f>
        <v>1</v>
      </c>
      <c r="N90" s="24">
        <f t="shared" ref="N90" si="149">(K90-INT(K90))*12</f>
        <v>3.4941668248190005E-2</v>
      </c>
      <c r="O90" s="41" t="str">
        <f t="shared" ref="O90" si="150">IF($E90&gt;=O$31,MID($J$31,IF($E90&gt;O$31,INT(N90),ROUND(N90,0))+1,1),"")</f>
        <v>0</v>
      </c>
      <c r="P90" s="24">
        <f t="shared" ref="P90" si="151">(N90-INT(N90))*12</f>
        <v>0.41930001897828006</v>
      </c>
      <c r="Q90" s="41" t="str">
        <f t="shared" ref="Q90" si="152">IF($E90&gt;=Q$31,MID($J$31,IF($E90&gt;Q$31,INT(P90),ROUND(P90,0))+1,1),"")</f>
        <v>0</v>
      </c>
      <c r="R90" s="24">
        <f t="shared" ref="R90" si="153">(P90-INT(P90))*12</f>
        <v>5.0316002277393608</v>
      </c>
      <c r="S90" s="41" t="str">
        <f t="shared" ref="S90" si="154">IF($E90&gt;=S$31,MID($J$31,IF($E90&gt;S$31,INT(R90),ROUND(R90,0))+1,1),"")</f>
        <v>5</v>
      </c>
      <c r="T90" s="24">
        <f t="shared" ref="T90" si="155">(R90-INT(R90))*12</f>
        <v>0.37920273287232931</v>
      </c>
      <c r="U90" s="41" t="str">
        <f t="shared" ref="U90" si="156">IF($E90&gt;=U$31,MID($J$31,IF($E90&gt;U$31,INT(T90),ROUND(T90,0))+1,1),"")</f>
        <v>0</v>
      </c>
      <c r="V90" s="24">
        <f t="shared" ref="V90" si="157">(T90-INT(T90))*12</f>
        <v>4.5504327944679517</v>
      </c>
      <c r="W90" s="41" t="str">
        <f t="shared" ref="W90" si="158">IF($E90&gt;=W$31,MID($J$31,IF($E90&gt;W$31,INT(V90),ROUND(V90,0))+1,1),"")</f>
        <v>4</v>
      </c>
      <c r="X90" s="24">
        <f t="shared" ref="X90" si="159">(V90-INT(V90))*12</f>
        <v>6.6051935336154202</v>
      </c>
      <c r="Y90" s="41" t="str">
        <f t="shared" ref="Y90" si="160">IF($E90&gt;=Y$31,MID($J$31,IF($E90&gt;Y$31,INT(X90),ROUND(X90,0))+1,1),"")</f>
        <v>6</v>
      </c>
      <c r="Z90" s="24">
        <f t="shared" ref="Z90" si="161">(X90-INT(X90))*12</f>
        <v>7.262322403385042</v>
      </c>
      <c r="AA90" s="41" t="str">
        <f t="shared" ref="AA90" si="162">IF($E90&gt;=AA$31,MID($J$31,IF($E90&gt;AA$31,INT(Z90),ROUND(Z90,0))+1,1),"")</f>
        <v>7</v>
      </c>
      <c r="AB90" s="24">
        <f t="shared" ref="AB90" si="163">(Z90-INT(Z90))*12</f>
        <v>3.1478688406205038</v>
      </c>
      <c r="AC90" s="41" t="str">
        <f t="shared" ref="AC90" si="164">IF($E90&gt;=AC$31,MID($J$31,IF($E90&gt;AC$31,INT(AB90),ROUND(AB90,0))+1,1),"")</f>
        <v>3</v>
      </c>
      <c r="AD90" s="24">
        <f t="shared" ref="AD90" si="165">(AB90-INT(AB90))*12</f>
        <v>1.7744260874460451</v>
      </c>
      <c r="AE90" s="41" t="str">
        <f t="shared" ref="AE90" si="166">IF($E90&gt;=AE$31,MID($J$31,IF($E90&gt;AE$31,INT(AD90),ROUND(AD90,0))+1,1),"")</f>
        <v>1</v>
      </c>
      <c r="AF90" s="24">
        <f t="shared" ref="AF90" si="167">(AD90-INT(AD90))*12</f>
        <v>9.2931130493525416</v>
      </c>
      <c r="AG90" s="41" t="str">
        <f t="shared" ref="AG90" si="168">IF($E90&gt;=AG$31,MID($J$31,IF($E90&gt;AG$31,INT(AF90),ROUND(AF90,0))+1,1),"")</f>
        <v>9</v>
      </c>
      <c r="AH90" s="24">
        <f t="shared" ref="AH90" si="169">(AF90-INT(AF90))*12</f>
        <v>3.5173565922304988</v>
      </c>
      <c r="AI90" s="41" t="str">
        <f t="shared" ref="AI90" si="170">IF($E90&gt;=AI$31,MID($J$31,IF($E90&gt;AI$31,INT(AH90),ROUND(AH90,0))+1,1),"")</f>
        <v>3</v>
      </c>
      <c r="AJ90" s="24">
        <f t="shared" ref="AJ90" si="171">(AH90-INT(AH90))*12</f>
        <v>6.2082791067659855</v>
      </c>
      <c r="AK90" s="41" t="str">
        <f t="shared" ref="AK90" si="172">IF($E90&gt;=AK$31,MID($J$31,IF($E90&gt;AK$31,INT(AJ90),ROUND(AJ90,0))+1,1),"")</f>
        <v>6</v>
      </c>
    </row>
    <row r="91" spans="1:37" x14ac:dyDescent="0.2">
      <c r="B91" s="137" t="s">
        <v>265</v>
      </c>
      <c r="D91" s="14">
        <f>1/(1+0.00054461702177)</f>
        <v>0.99945567942448077</v>
      </c>
    </row>
    <row r="92" spans="1:37" x14ac:dyDescent="0.2">
      <c r="B92" s="3" t="s">
        <v>1529</v>
      </c>
      <c r="C92" s="3"/>
      <c r="D92" s="21">
        <f>R23</f>
        <v>0.96627824965538867</v>
      </c>
      <c r="E92" s="8">
        <v>7</v>
      </c>
      <c r="F92" s="21">
        <f>D92</f>
        <v>0.96627824965538867</v>
      </c>
      <c r="G92" s="37" t="str">
        <f t="shared" ref="G92:G93" si="173">M92&amp;";"&amp;O92&amp;Q92&amp;S92&amp;U92&amp;W92&amp;Y92&amp;AA92&amp;AC92&amp;AE92&amp;AG92&amp;AI92&amp;AK92</f>
        <v>0;E7188E5</v>
      </c>
      <c r="H92" s="37"/>
      <c r="I92" s="285"/>
      <c r="J92" s="38">
        <v>0</v>
      </c>
      <c r="K92" s="61">
        <f>F92/POWER(12,J92)</f>
        <v>0.96627824965538867</v>
      </c>
      <c r="L92" s="39" t="str">
        <f>INDEX(powers!$H$2:$H$75,33+J92)</f>
        <v xml:space="preserve"> </v>
      </c>
      <c r="M92" s="40" t="str">
        <f t="shared" ref="M92" si="174">IF($E92&gt;=M$31,MID($J$31,IF($E92&gt;M$31,INT(K92),ROUND(K92,0))+1,1),"")</f>
        <v>0</v>
      </c>
      <c r="N92" s="24">
        <f t="shared" ref="N92:N93" si="175">(K92-INT(K92))*12</f>
        <v>11.595338995864664</v>
      </c>
      <c r="O92" s="41" t="str">
        <f t="shared" ref="O92" si="176">IF($E92&gt;=O$31,MID($J$31,IF($E92&gt;O$31,INT(N92),ROUND(N92,0))+1,1),"")</f>
        <v>E</v>
      </c>
      <c r="P92" s="24">
        <f t="shared" ref="P92:P93" si="177">(N92-INT(N92))*12</f>
        <v>7.1440679503759625</v>
      </c>
      <c r="Q92" s="41" t="str">
        <f t="shared" ref="Q92" si="178">IF($E92&gt;=Q$31,MID($J$31,IF($E92&gt;Q$31,INT(P92),ROUND(P92,0))+1,1),"")</f>
        <v>7</v>
      </c>
      <c r="R92" s="24">
        <f t="shared" ref="R92:R93" si="179">(P92-INT(P92))*12</f>
        <v>1.7288154045115505</v>
      </c>
      <c r="S92" s="41" t="str">
        <f t="shared" ref="S92" si="180">IF($E92&gt;=S$31,MID($J$31,IF($E92&gt;S$31,INT(R92),ROUND(R92,0))+1,1),"")</f>
        <v>1</v>
      </c>
      <c r="T92" s="24">
        <f t="shared" ref="T92:T93" si="181">(R92-INT(R92))*12</f>
        <v>8.7457848541386056</v>
      </c>
      <c r="U92" s="41" t="str">
        <f t="shared" ref="U92" si="182">IF($E92&gt;=U$31,MID($J$31,IF($E92&gt;U$31,INT(T92),ROUND(T92,0))+1,1),"")</f>
        <v>8</v>
      </c>
      <c r="V92" s="24">
        <f t="shared" ref="V92:V93" si="183">(T92-INT(T92))*12</f>
        <v>8.9494182496632675</v>
      </c>
      <c r="W92" s="41" t="str">
        <f t="shared" ref="W92" si="184">IF($E92&gt;=W$31,MID($J$31,IF($E92&gt;W$31,INT(V92),ROUND(V92,0))+1,1),"")</f>
        <v>8</v>
      </c>
      <c r="X92" s="24">
        <f t="shared" ref="X92:X93" si="185">(V92-INT(V92))*12</f>
        <v>11.39301899595921</v>
      </c>
      <c r="Y92" s="41" t="str">
        <f t="shared" ref="Y92" si="186">IF($E92&gt;=Y$31,MID($J$31,IF($E92&gt;Y$31,INT(X92),ROUND(X92,0))+1,1),"")</f>
        <v>E</v>
      </c>
      <c r="Z92" s="24">
        <f t="shared" ref="Z92:Z93" si="187">(X92-INT(X92))*12</f>
        <v>4.7162279515105183</v>
      </c>
      <c r="AA92" s="41" t="str">
        <f t="shared" ref="AA92" si="188">IF($E92&gt;=AA$31,MID($J$31,IF($E92&gt;AA$31,INT(Z92),ROUND(Z92,0))+1,1),"")</f>
        <v>5</v>
      </c>
      <c r="AB92" s="24">
        <f t="shared" ref="AB92:AB93" si="189">(Z92-INT(Z92))*12</f>
        <v>8.5947354181262199</v>
      </c>
      <c r="AC92" s="41" t="str">
        <f t="shared" ref="AC92" si="190">IF($E92&gt;=AC$31,MID($J$31,IF($E92&gt;AC$31,INT(AB92),ROUND(AB92,0))+1,1),"")</f>
        <v/>
      </c>
      <c r="AD92" s="24">
        <f t="shared" ref="AD92:AD93" si="191">(AB92-INT(AB92))*12</f>
        <v>7.1368250175146386</v>
      </c>
      <c r="AE92" s="41" t="str">
        <f t="shared" ref="AE92" si="192">IF($E92&gt;=AE$31,MID($J$31,IF($E92&gt;AE$31,INT(AD92),ROUND(AD92,0))+1,1),"")</f>
        <v/>
      </c>
      <c r="AF92" s="24">
        <f t="shared" ref="AF92:AF93" si="193">(AD92-INT(AD92))*12</f>
        <v>1.6419002101756632</v>
      </c>
      <c r="AG92" s="41" t="str">
        <f t="shared" ref="AG92" si="194">IF($E92&gt;=AG$31,MID($J$31,IF($E92&gt;AG$31,INT(AF92),ROUND(AF92,0))+1,1),"")</f>
        <v/>
      </c>
      <c r="AH92" s="24">
        <f t="shared" ref="AH92:AH93" si="195">(AF92-INT(AF92))*12</f>
        <v>7.7028025221079588</v>
      </c>
      <c r="AI92" s="41" t="str">
        <f t="shared" ref="AI92" si="196">IF($E92&gt;=AI$31,MID($J$31,IF($E92&gt;AI$31,INT(AH92),ROUND(AH92,0))+1,1),"")</f>
        <v/>
      </c>
      <c r="AJ92" s="24">
        <f t="shared" ref="AJ92:AJ93" si="197">(AH92-INT(AH92))*12</f>
        <v>8.4336302652955055</v>
      </c>
      <c r="AK92" s="41" t="str">
        <f t="shared" ref="AK92" si="198">IF($E92&gt;=AK$31,MID($J$31,IF($E92&gt;AK$31,INT(AJ92),ROUND(AJ92,0))+1,1),"")</f>
        <v/>
      </c>
    </row>
    <row r="93" spans="1:37" x14ac:dyDescent="0.2">
      <c r="B93" s="3" t="s">
        <v>725</v>
      </c>
      <c r="C93" s="3"/>
      <c r="D93" s="21">
        <v>540000000000000</v>
      </c>
      <c r="E93" s="8">
        <v>7</v>
      </c>
      <c r="F93" s="21">
        <f>D93/F22</f>
        <v>211473217194720.25</v>
      </c>
      <c r="G93" s="37" t="str">
        <f t="shared" si="173"/>
        <v>1;E874E15</v>
      </c>
      <c r="H93" s="37"/>
      <c r="I93" s="285"/>
      <c r="J93" s="38">
        <v>13</v>
      </c>
      <c r="K93" s="61">
        <f>F93/POWER(12,J93)</f>
        <v>1.9765107180916806</v>
      </c>
      <c r="L93" s="39" t="str">
        <f>INDEX(powers!$H$2:$H$75,33+J93)</f>
        <v>terno di-cosmic</v>
      </c>
      <c r="M93" s="40" t="str">
        <f>IF($E93&gt;=M$31,MID($J$31,IF($E93&gt;M$31,INT(K93),ROUND(K93,0))+1,1),"")</f>
        <v>1</v>
      </c>
      <c r="N93" s="24">
        <f t="shared" si="175"/>
        <v>11.718128617100167</v>
      </c>
      <c r="O93" s="41" t="str">
        <f>IF($E93&gt;=O$31,MID($J$31,IF($E93&gt;O$31,INT(N93),ROUND(N93,0))+1,1),"")</f>
        <v>E</v>
      </c>
      <c r="P93" s="24">
        <f t="shared" si="177"/>
        <v>8.6175434052019995</v>
      </c>
      <c r="Q93" s="41" t="str">
        <f>IF($E93&gt;=Q$31,MID($J$31,IF($E93&gt;Q$31,INT(P93),ROUND(P93,0))+1,1),"")</f>
        <v>8</v>
      </c>
      <c r="R93" s="24">
        <f t="shared" si="179"/>
        <v>7.4105208624239935</v>
      </c>
      <c r="S93" s="41" t="str">
        <f>IF($E93&gt;=S$31,MID($J$31,IF($E93&gt;S$31,INT(R93),ROUND(R93,0))+1,1),"")</f>
        <v>7</v>
      </c>
      <c r="T93" s="24">
        <f t="shared" si="181"/>
        <v>4.9262503490879226</v>
      </c>
      <c r="U93" s="41" t="str">
        <f>IF($E93&gt;=U$31,MID($J$31,IF($E93&gt;U$31,INT(T93),ROUND(T93,0))+1,1),"")</f>
        <v>4</v>
      </c>
      <c r="V93" s="24">
        <f t="shared" si="183"/>
        <v>11.115004189055071</v>
      </c>
      <c r="W93" s="41" t="str">
        <f>IF($E93&gt;=W$31,MID($J$31,IF($E93&gt;W$31,INT(V93),ROUND(V93,0))+1,1),"")</f>
        <v>E</v>
      </c>
      <c r="X93" s="24">
        <f t="shared" si="185"/>
        <v>1.3800502686608525</v>
      </c>
      <c r="Y93" s="41" t="str">
        <f>IF($E93&gt;=Y$31,MID($J$31,IF($E93&gt;Y$31,INT(X93),ROUND(X93,0))+1,1),"")</f>
        <v>1</v>
      </c>
      <c r="Z93" s="24">
        <f t="shared" si="187"/>
        <v>4.5606032239302294</v>
      </c>
      <c r="AA93" s="41" t="str">
        <f>IF($E93&gt;=AA$31,MID($J$31,IF($E93&gt;AA$31,INT(Z93),ROUND(Z93,0))+1,1),"")</f>
        <v>5</v>
      </c>
      <c r="AB93" s="24">
        <f t="shared" si="189"/>
        <v>6.7272386871627532</v>
      </c>
      <c r="AC93" s="41" t="str">
        <f>IF($E93&gt;=AC$31,MID($J$31,IF($E93&gt;AC$31,INT(AB93),ROUND(AB93,0))+1,1),"")</f>
        <v/>
      </c>
      <c r="AD93" s="24">
        <f t="shared" si="191"/>
        <v>8.7268642459530383</v>
      </c>
      <c r="AE93" s="41" t="str">
        <f>IF($E93&gt;=AE$31,MID($J$31,IF($E93&gt;AE$31,INT(AD93),ROUND(AD93,0))+1,1),"")</f>
        <v/>
      </c>
      <c r="AF93" s="24">
        <f t="shared" si="193"/>
        <v>8.72237095143646</v>
      </c>
      <c r="AG93" s="41" t="str">
        <f>IF($E93&gt;=AG$31,MID($J$31,IF($E93&gt;AG$31,INT(AF93),ROUND(AF93,0))+1,1),"")</f>
        <v/>
      </c>
      <c r="AH93" s="24">
        <f t="shared" si="195"/>
        <v>8.6684514172375202</v>
      </c>
      <c r="AI93" s="41" t="str">
        <f>IF($E93&gt;=AI$31,MID($J$31,IF($E93&gt;AI$31,INT(AH93),ROUND(AH93,0))+1,1),"")</f>
        <v/>
      </c>
      <c r="AJ93" s="24">
        <f t="shared" si="197"/>
        <v>8.0214170068502426</v>
      </c>
      <c r="AK93" s="41" t="str">
        <f>IF($E93&gt;=AK$31,MID($J$31,IF($E93&gt;AK$31,INT(AJ93),ROUND(AJ93,0))+1,1),"")</f>
        <v/>
      </c>
    </row>
    <row r="94" spans="1:37" x14ac:dyDescent="0.2">
      <c r="B94" s="14" t="s">
        <v>1508</v>
      </c>
      <c r="D94" s="193">
        <f>F22*F94</f>
        <v>546417477079375.13</v>
      </c>
      <c r="F94" s="193">
        <f>G94*POWER(12,J94)</f>
        <v>213986410758144</v>
      </c>
      <c r="G94" s="209">
        <v>2</v>
      </c>
      <c r="J94" s="14">
        <v>13</v>
      </c>
      <c r="K94" s="79"/>
      <c r="L94" s="79"/>
      <c r="M94" s="79"/>
    </row>
    <row r="95" spans="1:37" x14ac:dyDescent="0.2">
      <c r="I95" s="14"/>
    </row>
    <row r="96" spans="1:37" x14ac:dyDescent="0.2">
      <c r="I96" s="14"/>
    </row>
    <row r="97" spans="9:9" x14ac:dyDescent="0.2">
      <c r="I97" s="14"/>
    </row>
    <row r="98" spans="9:9" x14ac:dyDescent="0.2">
      <c r="I98" s="14"/>
    </row>
    <row r="99" spans="9:9" x14ac:dyDescent="0.2">
      <c r="I99" s="14"/>
    </row>
    <row r="100" spans="9:9" x14ac:dyDescent="0.2">
      <c r="I100" s="14"/>
    </row>
    <row r="101" spans="9:9" x14ac:dyDescent="0.2">
      <c r="I101" s="14"/>
    </row>
    <row r="102" spans="9:9" x14ac:dyDescent="0.2">
      <c r="I102" s="14"/>
    </row>
    <row r="103" spans="9:9" x14ac:dyDescent="0.2">
      <c r="I103" s="14"/>
    </row>
    <row r="104" spans="9:9" x14ac:dyDescent="0.2">
      <c r="I104" s="14"/>
    </row>
    <row r="105" spans="9:9" x14ac:dyDescent="0.2">
      <c r="I105" s="14"/>
    </row>
    <row r="106" spans="9:9" x14ac:dyDescent="0.2">
      <c r="I106" s="14"/>
    </row>
    <row r="107" spans="9:9" x14ac:dyDescent="0.2">
      <c r="I107" s="14"/>
    </row>
    <row r="108" spans="9:9" x14ac:dyDescent="0.2">
      <c r="I108" s="14"/>
    </row>
    <row r="109" spans="9:9" x14ac:dyDescent="0.2">
      <c r="I109" s="14"/>
    </row>
    <row r="110" spans="9:9" x14ac:dyDescent="0.2">
      <c r="I110" s="14"/>
    </row>
    <row r="111" spans="9:9" x14ac:dyDescent="0.2">
      <c r="I111" s="14"/>
    </row>
    <row r="112" spans="9:9" x14ac:dyDescent="0.2">
      <c r="I112" s="14"/>
    </row>
    <row r="113" spans="9:9" x14ac:dyDescent="0.2">
      <c r="I113" s="14"/>
    </row>
    <row r="114" spans="9:9" x14ac:dyDescent="0.2">
      <c r="I114" s="14"/>
    </row>
    <row r="115" spans="9:9" x14ac:dyDescent="0.2">
      <c r="I115" s="14"/>
    </row>
    <row r="116" spans="9:9" x14ac:dyDescent="0.2">
      <c r="I116" s="14"/>
    </row>
    <row r="117" spans="9:9" x14ac:dyDescent="0.2">
      <c r="I117" s="14"/>
    </row>
    <row r="118" spans="9:9" x14ac:dyDescent="0.2">
      <c r="I118" s="14"/>
    </row>
    <row r="119" spans="9:9" x14ac:dyDescent="0.2">
      <c r="I119" s="14"/>
    </row>
    <row r="120" spans="9:9" x14ac:dyDescent="0.2">
      <c r="I120" s="14"/>
    </row>
    <row r="121" spans="9:9" x14ac:dyDescent="0.2">
      <c r="I121" s="14"/>
    </row>
    <row r="122" spans="9:9" x14ac:dyDescent="0.2">
      <c r="I122" s="14"/>
    </row>
    <row r="123" spans="9:9" x14ac:dyDescent="0.2">
      <c r="I123" s="14"/>
    </row>
  </sheetData>
  <mergeCells count="4">
    <mergeCell ref="J31:K31"/>
    <mergeCell ref="A31:A70"/>
    <mergeCell ref="A71:A88"/>
    <mergeCell ref="A1:A30"/>
  </mergeCells>
  <phoneticPr fontId="1"/>
  <printOptions horizontalCentered="1"/>
  <pageMargins left="0.70866141732283472" right="0.70866141732283472" top="0.74803149606299213" bottom="0.74803149606299213" header="0.31496062992125984" footer="0.31496062992125984"/>
  <pageSetup paperSize="9" scale="61" orientation="portrait"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1"/>
  <sheetViews>
    <sheetView zoomScaleNormal="100" workbookViewId="0">
      <selection activeCell="K106" sqref="K106"/>
    </sheetView>
  </sheetViews>
  <sheetFormatPr defaultColWidth="9" defaultRowHeight="11.5" x14ac:dyDescent="0.2"/>
  <cols>
    <col min="1" max="1" width="2.7265625" style="14" customWidth="1"/>
    <col min="2" max="2" width="30" style="14" customWidth="1"/>
    <col min="3" max="3" width="8.6328125" style="14" customWidth="1"/>
    <col min="4" max="4" width="14.7265625" style="14" customWidth="1"/>
    <col min="5" max="5" width="3.453125" style="14" customWidth="1"/>
    <col min="6" max="6" width="14.6328125" style="14" customWidth="1"/>
    <col min="7" max="7" width="13.81640625" style="14" customWidth="1"/>
    <col min="8" max="8" width="7" style="14" customWidth="1"/>
    <col min="9" max="9" width="2.7265625" style="288" customWidth="1"/>
    <col min="10" max="10" width="3.6328125" style="14" customWidth="1"/>
    <col min="11" max="11" width="9.1796875" style="14" customWidth="1"/>
    <col min="12" max="12" width="14.6328125" style="14" customWidth="1"/>
    <col min="13" max="13" width="3.632812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80" t="s">
        <v>26</v>
      </c>
      <c r="B1" s="17" t="s">
        <v>42</v>
      </c>
      <c r="C1" s="18" t="str">
        <f>Rydberg!C1</f>
        <v>Unit Symbol</v>
      </c>
      <c r="D1" s="17" t="s">
        <v>43</v>
      </c>
      <c r="E1" s="18" t="s">
        <v>44</v>
      </c>
      <c r="F1" s="17" t="s">
        <v>55</v>
      </c>
      <c r="G1" s="17" t="s">
        <v>1169</v>
      </c>
      <c r="H1" s="18" t="str">
        <f>Rydberg!H$1</f>
        <v>difference</v>
      </c>
      <c r="I1" s="293" t="s">
        <v>724</v>
      </c>
      <c r="J1" s="19"/>
      <c r="K1" s="56" t="s">
        <v>46</v>
      </c>
      <c r="L1" s="20"/>
    </row>
    <row r="2" spans="1:37" ht="13.5" customHeight="1" x14ac:dyDescent="0.2">
      <c r="A2" s="581"/>
      <c r="B2" s="2" t="str">
        <f>Rydberg!B2</f>
        <v>Local Time</v>
      </c>
      <c r="C2" s="2" t="str">
        <f>Rydberg!C2</f>
        <v>s</v>
      </c>
      <c r="D2" s="21"/>
      <c r="E2" s="8"/>
      <c r="F2" s="8"/>
      <c r="G2" s="8"/>
      <c r="H2" s="8"/>
      <c r="I2" s="278"/>
      <c r="J2" s="8"/>
      <c r="K2" s="57"/>
      <c r="L2" s="22"/>
      <c r="M2" s="23">
        <v>0</v>
      </c>
      <c r="N2" s="24">
        <f>D36*POWER(12,M2)</f>
        <v>1.0545718176461565E-34</v>
      </c>
      <c r="O2" s="24"/>
      <c r="P2" s="24"/>
      <c r="Q2" s="24"/>
      <c r="R2" s="24"/>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70">
        <f>SQRT(35*D44*N$2/POWER(D35,3))</f>
        <v>9.5618936743262592E-35</v>
      </c>
      <c r="E3" s="8">
        <v>0</v>
      </c>
      <c r="F3" s="21">
        <f t="shared" ref="F3:F30" si="0">D3*POWER(12,E3)</f>
        <v>9.5618936743262592E-35</v>
      </c>
      <c r="G3" s="26" t="s">
        <v>79</v>
      </c>
      <c r="H3" s="26"/>
      <c r="I3" s="279"/>
      <c r="J3" s="8">
        <f>FLOOR(LOG(F3,1000),1)*3</f>
        <v>-36</v>
      </c>
      <c r="K3" s="58">
        <f>F3/POWER(10,J3)</f>
        <v>95.618936743262594</v>
      </c>
      <c r="L3" s="118"/>
      <c r="M3" s="504">
        <f>ROUND(LOG(F3/Clock_by_Rydberg!F3)/LOG(12),0)</f>
        <v>-31</v>
      </c>
      <c r="N3" s="268">
        <f>FLOOR(M3,8)/8</f>
        <v>-4</v>
      </c>
      <c r="O3" s="268">
        <f>MOD(M3,8)</f>
        <v>1</v>
      </c>
      <c r="P3" s="83"/>
      <c r="Q3" s="24"/>
      <c r="R3" s="24"/>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70">
        <f>D$3/D$35</f>
        <v>3.189504411857572E-43</v>
      </c>
      <c r="E4" s="8">
        <v>0</v>
      </c>
      <c r="F4" s="21">
        <f t="shared" si="0"/>
        <v>3.189504411857572E-43</v>
      </c>
      <c r="G4" s="458">
        <f>(F4*POWER(12,39-M2/2)/SQRT(D36/Rydberg!D36)-Clock!F4)*(365+31/128)*128*12*12*12/60</f>
        <v>38.474254598038563</v>
      </c>
      <c r="H4" s="253"/>
      <c r="I4" s="280"/>
      <c r="J4" s="8">
        <f t="shared" ref="J4:J30" si="1">FLOOR(LOG(F4,1000),1)*3</f>
        <v>-45</v>
      </c>
      <c r="K4" s="58">
        <f t="shared" ref="K4:K30" si="2">F4/POWER(10,J4)</f>
        <v>318.95044118575714</v>
      </c>
      <c r="L4" s="118"/>
      <c r="M4" s="504">
        <f>ROUND(LOG(F4/Clock_by_Rydberg!F4)/LOG(12),0)</f>
        <v>-39</v>
      </c>
      <c r="N4" s="268">
        <f t="shared" ref="N4:N30" si="3">FLOOR(M4,8)/8</f>
        <v>-5</v>
      </c>
      <c r="O4" s="268">
        <f t="shared" ref="O4:O30" si="4">MOD(M4,8)</f>
        <v>1</v>
      </c>
      <c r="P4" s="83"/>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N$2/D$4</f>
        <v>330638143.57039011</v>
      </c>
      <c r="E5" s="8">
        <v>0</v>
      </c>
      <c r="F5" s="21">
        <f t="shared" si="0"/>
        <v>330638143.57039011</v>
      </c>
      <c r="G5" s="21"/>
      <c r="H5" s="21"/>
      <c r="I5" s="278"/>
      <c r="J5" s="8">
        <f t="shared" si="1"/>
        <v>6</v>
      </c>
      <c r="K5" s="58">
        <f t="shared" si="2"/>
        <v>330.63814357039013</v>
      </c>
      <c r="L5" s="118" t="s">
        <v>1164</v>
      </c>
      <c r="M5" s="504">
        <f>ROUND(LOG(F5/Clock_by_Rydberg!F5)/LOG(12),0)</f>
        <v>9</v>
      </c>
      <c r="N5" s="268">
        <f t="shared" si="3"/>
        <v>1</v>
      </c>
      <c r="O5" s="268">
        <f t="shared" si="4"/>
        <v>1</v>
      </c>
      <c r="P5" s="83"/>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2.3948023253585094E+31</v>
      </c>
      <c r="E6" s="8">
        <v>0</v>
      </c>
      <c r="F6" s="21">
        <f t="shared" si="0"/>
        <v>2.3948023253585094E+31</v>
      </c>
      <c r="G6" s="21"/>
      <c r="H6" s="21"/>
      <c r="I6" s="278"/>
      <c r="J6" s="8">
        <f t="shared" si="1"/>
        <v>30</v>
      </c>
      <c r="K6" s="58">
        <f t="shared" si="2"/>
        <v>23.948023253585092</v>
      </c>
      <c r="L6" s="118"/>
      <c r="M6" s="504">
        <f>ROUND(LOG(F6/Clock_by_Rydberg!F6)/LOG(12),0)</f>
        <v>33</v>
      </c>
      <c r="N6" s="268">
        <f t="shared" si="3"/>
        <v>4</v>
      </c>
      <c r="O6" s="268">
        <f t="shared" si="4"/>
        <v>1</v>
      </c>
      <c r="P6" s="83"/>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0</v>
      </c>
      <c r="F7" s="21">
        <f t="shared" si="0"/>
        <v>1.6605390671738466E-24</v>
      </c>
      <c r="G7" s="21"/>
      <c r="H7" s="21"/>
      <c r="I7" s="278"/>
      <c r="J7" s="8">
        <f t="shared" si="1"/>
        <v>-24</v>
      </c>
      <c r="K7" s="58">
        <f t="shared" si="2"/>
        <v>1.6605390671738465</v>
      </c>
      <c r="L7" s="118"/>
      <c r="M7" s="504">
        <f>ROUND(LOG(F7/Clock_by_Rydberg!F7)/LOG(12),0)</f>
        <v>-24</v>
      </c>
      <c r="N7" s="268">
        <f t="shared" si="3"/>
        <v>-3</v>
      </c>
      <c r="O7" s="268">
        <f t="shared" si="4"/>
        <v>0</v>
      </c>
      <c r="P7" s="83"/>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3.6788454897705893E-9</v>
      </c>
      <c r="E8" s="8">
        <v>0</v>
      </c>
      <c r="F8" s="21">
        <f t="shared" si="0"/>
        <v>3.6788454897705893E-9</v>
      </c>
      <c r="G8" s="21"/>
      <c r="H8" s="21"/>
      <c r="I8" s="278"/>
      <c r="J8" s="8">
        <f t="shared" si="1"/>
        <v>-9</v>
      </c>
      <c r="K8" s="58">
        <f t="shared" si="2"/>
        <v>3.6788454897705889</v>
      </c>
      <c r="L8" s="118" t="s">
        <v>549</v>
      </c>
      <c r="M8" s="504">
        <f>ROUND(LOG(F8/Clock_by_Rydberg!F8)/LOG(12),0)</f>
        <v>-7</v>
      </c>
      <c r="N8" s="268">
        <f t="shared" si="3"/>
        <v>-1</v>
      </c>
      <c r="O8" s="268">
        <f t="shared" si="4"/>
        <v>1</v>
      </c>
      <c r="P8" s="83"/>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1.0366442584032231E+51</v>
      </c>
      <c r="E9" s="8">
        <v>0</v>
      </c>
      <c r="F9" s="21">
        <f t="shared" si="0"/>
        <v>1.0366442584032231E+51</v>
      </c>
      <c r="G9" s="21"/>
      <c r="H9" s="21"/>
      <c r="I9" s="278"/>
      <c r="J9" s="8">
        <f t="shared" si="1"/>
        <v>51</v>
      </c>
      <c r="K9" s="58">
        <f t="shared" si="2"/>
        <v>1.0366442584032232</v>
      </c>
      <c r="L9" s="118"/>
      <c r="M9" s="504">
        <f>ROUND(LOG(F9/Clock_by_Rydberg!F9)/LOG(12),0)</f>
        <v>48</v>
      </c>
      <c r="N9" s="268">
        <f t="shared" si="3"/>
        <v>6</v>
      </c>
      <c r="O9" s="268">
        <f t="shared" si="4"/>
        <v>0</v>
      </c>
      <c r="P9" s="83"/>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3.4578730409663044E+42</v>
      </c>
      <c r="E10" s="8">
        <v>0</v>
      </c>
      <c r="F10" s="21">
        <f t="shared" si="0"/>
        <v>3.4578730409663044E+42</v>
      </c>
      <c r="G10" s="21"/>
      <c r="H10" s="21"/>
      <c r="I10" s="278"/>
      <c r="J10" s="8">
        <f t="shared" si="1"/>
        <v>42</v>
      </c>
      <c r="K10" s="58">
        <f t="shared" si="2"/>
        <v>3.4578730409663043</v>
      </c>
      <c r="L10" s="118"/>
      <c r="M10" s="504">
        <f>ROUND(LOG(F10/Clock_by_Rydberg!F10)/LOG(12),0)</f>
        <v>40</v>
      </c>
      <c r="N10" s="268">
        <f t="shared" si="3"/>
        <v>5</v>
      </c>
      <c r="O10" s="268">
        <f t="shared" si="4"/>
        <v>0</v>
      </c>
      <c r="P10" s="83"/>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3.7819973778735646E+110</v>
      </c>
      <c r="E11" s="8">
        <v>0</v>
      </c>
      <c r="F11" s="21">
        <f t="shared" si="0"/>
        <v>3.7819973778735646E+110</v>
      </c>
      <c r="G11" s="21"/>
      <c r="H11" s="21"/>
      <c r="I11" s="278"/>
      <c r="J11" s="8">
        <f t="shared" si="1"/>
        <v>108</v>
      </c>
      <c r="K11" s="58">
        <f t="shared" si="2"/>
        <v>378.19973778735647</v>
      </c>
      <c r="L11" s="118"/>
      <c r="M11" s="504">
        <f>ROUND(LOG(F11/Clock_by_Rydberg!F11)/LOG(12),0)</f>
        <v>102</v>
      </c>
      <c r="N11" s="268">
        <f t="shared" si="3"/>
        <v>12</v>
      </c>
      <c r="O11" s="268">
        <f t="shared" si="4"/>
        <v>6</v>
      </c>
      <c r="P11" s="83"/>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SQRT(N$2/29.9792458)</f>
        <v>1.8755460382902114E-18</v>
      </c>
      <c r="E12" s="8">
        <v>0</v>
      </c>
      <c r="F12" s="21">
        <f t="shared" si="0"/>
        <v>1.8755460382902114E-18</v>
      </c>
      <c r="G12" s="21"/>
      <c r="H12" s="21"/>
      <c r="I12" s="278"/>
      <c r="J12" s="8">
        <f t="shared" si="1"/>
        <v>-18</v>
      </c>
      <c r="K12" s="58">
        <f t="shared" si="2"/>
        <v>1.8755460382902112</v>
      </c>
      <c r="L12" s="118" t="s">
        <v>1165</v>
      </c>
      <c r="M12" s="504">
        <f>ROUND(LOG(F12/Clock_by_Rydberg!F12)/LOG(12),0)</f>
        <v>-15</v>
      </c>
      <c r="N12" s="268">
        <f t="shared" si="3"/>
        <v>-2</v>
      </c>
      <c r="O12" s="268">
        <f t="shared" si="4"/>
        <v>1</v>
      </c>
      <c r="P12" s="83"/>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5.8803682205847474E+24</v>
      </c>
      <c r="E13" s="8">
        <v>0</v>
      </c>
      <c r="F13" s="21">
        <f t="shared" si="0"/>
        <v>5.8803682205847474E+24</v>
      </c>
      <c r="G13" s="21"/>
      <c r="H13" s="21"/>
      <c r="I13" s="278"/>
      <c r="J13" s="8">
        <f t="shared" si="1"/>
        <v>24</v>
      </c>
      <c r="K13" s="58">
        <f t="shared" si="2"/>
        <v>5.8803682205847476</v>
      </c>
      <c r="L13" s="118" t="s">
        <v>1166</v>
      </c>
      <c r="M13" s="504">
        <f>ROUND(LOG(F13/Clock_by_Rydberg!F13)/LOG(12),0)</f>
        <v>24</v>
      </c>
      <c r="N13" s="268">
        <f t="shared" si="3"/>
        <v>3</v>
      </c>
      <c r="O13" s="268">
        <f t="shared" si="4"/>
        <v>0</v>
      </c>
      <c r="P13" s="83"/>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6.1497946127277805E+58</v>
      </c>
      <c r="E14" s="8">
        <v>0</v>
      </c>
      <c r="F14" s="21">
        <f t="shared" si="0"/>
        <v>6.1497946127277805E+58</v>
      </c>
      <c r="G14" s="21"/>
      <c r="H14" s="21"/>
      <c r="I14" s="278"/>
      <c r="J14" s="8">
        <f t="shared" si="1"/>
        <v>57</v>
      </c>
      <c r="K14" s="58">
        <f t="shared" si="2"/>
        <v>61.4979461272778</v>
      </c>
      <c r="L14" s="118"/>
      <c r="M14" s="504">
        <f>ROUND(LOG(F14/Clock_by_Rydberg!F14)/LOG(12),0)</f>
        <v>55</v>
      </c>
      <c r="N14" s="268">
        <f t="shared" si="3"/>
        <v>6</v>
      </c>
      <c r="O14" s="268">
        <f t="shared" si="4"/>
        <v>7</v>
      </c>
      <c r="P14" s="83"/>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2.0513506756490122E+50</v>
      </c>
      <c r="E15" s="8">
        <v>0</v>
      </c>
      <c r="F15" s="21">
        <f t="shared" si="0"/>
        <v>2.0513506756490122E+50</v>
      </c>
      <c r="G15" s="21"/>
      <c r="H15" s="21"/>
      <c r="I15" s="278"/>
      <c r="J15" s="8">
        <f t="shared" si="1"/>
        <v>48</v>
      </c>
      <c r="K15" s="58">
        <f t="shared" si="2"/>
        <v>205.13506756490122</v>
      </c>
      <c r="L15" s="118"/>
      <c r="M15" s="504">
        <f>ROUND(LOG(F15/Clock_by_Rydberg!F15)/LOG(12),0)</f>
        <v>47</v>
      </c>
      <c r="N15" s="268">
        <f t="shared" si="3"/>
        <v>5</v>
      </c>
      <c r="O15" s="268">
        <f t="shared" si="4"/>
        <v>7</v>
      </c>
      <c r="P15" s="83"/>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tr">
        <f>Rydberg!C16</f>
        <v>Ω</v>
      </c>
      <c r="D16" s="21">
        <f>Rydberg!D16</f>
        <v>29.979245795870352</v>
      </c>
      <c r="E16" s="8">
        <v>0</v>
      </c>
      <c r="F16" s="21">
        <f t="shared" si="0"/>
        <v>29.979245795870352</v>
      </c>
      <c r="G16" s="21"/>
      <c r="H16" s="21"/>
      <c r="I16" s="278"/>
      <c r="J16" s="8">
        <f t="shared" si="1"/>
        <v>0</v>
      </c>
      <c r="K16" s="58">
        <f t="shared" si="2"/>
        <v>29.979245795870352</v>
      </c>
      <c r="L16" s="118" t="str">
        <f>Rydberg!L16</f>
        <v>Ω</v>
      </c>
      <c r="M16" s="504">
        <f>ROUND(LOG(F16/Clock_by_Rydberg!F16)/LOG(12),0)</f>
        <v>0</v>
      </c>
      <c r="N16" s="268">
        <f t="shared" si="3"/>
        <v>0</v>
      </c>
      <c r="O16" s="268">
        <f t="shared" si="4"/>
        <v>0</v>
      </c>
      <c r="P16" s="83"/>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1.7628900425513491E+26</v>
      </c>
      <c r="E17" s="8">
        <v>0</v>
      </c>
      <c r="F17" s="21">
        <f t="shared" si="0"/>
        <v>1.7628900425513491E+26</v>
      </c>
      <c r="G17" s="21"/>
      <c r="H17" s="21"/>
      <c r="I17" s="278"/>
      <c r="J17" s="8">
        <f t="shared" si="1"/>
        <v>24</v>
      </c>
      <c r="K17" s="58">
        <f t="shared" si="2"/>
        <v>176.28900425513493</v>
      </c>
      <c r="L17" s="118" t="s">
        <v>1167</v>
      </c>
      <c r="M17" s="504">
        <f>ROUND(LOG(F17/Clock_by_Rydberg!F17)/LOG(12),0)</f>
        <v>24</v>
      </c>
      <c r="N17" s="268">
        <f t="shared" si="3"/>
        <v>3</v>
      </c>
      <c r="O17" s="268">
        <f t="shared" si="4"/>
        <v>0</v>
      </c>
      <c r="P17" s="83"/>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1.0639041534183381E-44</v>
      </c>
      <c r="E18" s="8">
        <v>0</v>
      </c>
      <c r="F18" s="21">
        <f t="shared" si="0"/>
        <v>1.0639041534183381E-44</v>
      </c>
      <c r="G18" s="21"/>
      <c r="H18" s="21"/>
      <c r="I18" s="278"/>
      <c r="J18" s="8">
        <f t="shared" si="1"/>
        <v>-45</v>
      </c>
      <c r="K18" s="58">
        <f t="shared" si="2"/>
        <v>10.639041534183379</v>
      </c>
      <c r="L18" s="118"/>
      <c r="M18" s="504">
        <f>ROUND(LOG(F18/Clock_by_Rydberg!F18)/LOG(12),0)</f>
        <v>-39</v>
      </c>
      <c r="N18" s="268">
        <f t="shared" si="3"/>
        <v>-5</v>
      </c>
      <c r="O18" s="268">
        <f t="shared" si="4"/>
        <v>1</v>
      </c>
      <c r="P18" s="117"/>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0</v>
      </c>
      <c r="F19" s="21">
        <f t="shared" si="0"/>
        <v>5.6227455683373112E-17</v>
      </c>
      <c r="G19" s="21"/>
      <c r="H19" s="21"/>
      <c r="I19" s="278"/>
      <c r="J19" s="8">
        <f t="shared" si="1"/>
        <v>-18</v>
      </c>
      <c r="K19" s="58">
        <f t="shared" si="2"/>
        <v>56.227455683373108</v>
      </c>
      <c r="L19" s="118" t="s">
        <v>750</v>
      </c>
      <c r="M19" s="504">
        <f>ROUND(LOG(F19/Clock_by_Rydberg!F19)/LOG(12),0)</f>
        <v>-15</v>
      </c>
      <c r="N19" s="268">
        <f t="shared" si="3"/>
        <v>-2</v>
      </c>
      <c r="O19" s="268">
        <f t="shared" si="4"/>
        <v>1</v>
      </c>
      <c r="P19" s="117"/>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6.1497946118806452E+51</v>
      </c>
      <c r="E20" s="8">
        <v>0</v>
      </c>
      <c r="F20" s="21">
        <f t="shared" si="0"/>
        <v>6.1497946118806452E+51</v>
      </c>
      <c r="G20" s="21"/>
      <c r="H20" s="21"/>
      <c r="I20" s="278"/>
      <c r="J20" s="8">
        <f t="shared" si="1"/>
        <v>51</v>
      </c>
      <c r="K20" s="58">
        <f t="shared" si="2"/>
        <v>6.1497946118806457</v>
      </c>
      <c r="L20" s="118"/>
      <c r="M20" s="504">
        <f>ROUND(LOG(F20/Clock_by_Rydberg!F20)/LOG(12),0)</f>
        <v>47</v>
      </c>
      <c r="N20" s="268">
        <f t="shared" si="3"/>
        <v>5</v>
      </c>
      <c r="O20" s="268">
        <f t="shared" si="4"/>
        <v>7</v>
      </c>
      <c r="P20" s="117"/>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9.561893673009105E-42</v>
      </c>
      <c r="E21" s="30">
        <v>0</v>
      </c>
      <c r="F21" s="29">
        <f t="shared" si="0"/>
        <v>9.561893673009105E-42</v>
      </c>
      <c r="G21" s="29"/>
      <c r="H21" s="29"/>
      <c r="I21" s="281"/>
      <c r="J21" s="8">
        <f t="shared" si="1"/>
        <v>-42</v>
      </c>
      <c r="K21" s="59">
        <f t="shared" si="2"/>
        <v>9.5618936730091058</v>
      </c>
      <c r="L21" s="119"/>
      <c r="M21" s="504">
        <f>ROUND(LOG(F21/Clock_by_Rydberg!F21)/LOG(12),0)</f>
        <v>-39</v>
      </c>
      <c r="N21" s="268">
        <f t="shared" si="3"/>
        <v>-5</v>
      </c>
      <c r="O21" s="268">
        <f t="shared" si="4"/>
        <v>1</v>
      </c>
      <c r="P21" s="117"/>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3.1352833257803788E+42</v>
      </c>
      <c r="E22" s="30">
        <f>-E4</f>
        <v>0</v>
      </c>
      <c r="F22" s="29">
        <f t="shared" si="0"/>
        <v>3.1352833257803788E+42</v>
      </c>
      <c r="G22" s="21"/>
      <c r="H22" s="21"/>
      <c r="I22" s="278"/>
      <c r="J22" s="8">
        <f t="shared" si="1"/>
        <v>42</v>
      </c>
      <c r="K22" s="58">
        <f t="shared" si="2"/>
        <v>3.1352833257803785</v>
      </c>
      <c r="L22" s="118"/>
      <c r="M22" s="504">
        <f>ROUND(LOG(F22/Clock_by_Rydberg!F22)/LOG(12),0)</f>
        <v>39</v>
      </c>
      <c r="N22" s="268">
        <f t="shared" si="3"/>
        <v>4</v>
      </c>
      <c r="O22" s="268">
        <f t="shared" si="4"/>
        <v>7</v>
      </c>
      <c r="P22" s="83"/>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7.3093445944441862E+53</v>
      </c>
      <c r="E23" s="8">
        <f>E9</f>
        <v>0</v>
      </c>
      <c r="F23" s="21">
        <f t="shared" si="0"/>
        <v>7.3093445944441862E+53</v>
      </c>
      <c r="G23" s="21"/>
      <c r="H23" s="21"/>
      <c r="I23" s="278"/>
      <c r="J23" s="8">
        <f t="shared" si="1"/>
        <v>51</v>
      </c>
      <c r="K23" s="58">
        <f t="shared" si="2"/>
        <v>730.93445944441862</v>
      </c>
      <c r="L23" s="118"/>
      <c r="M23" s="504">
        <f>ROUND(LOG(F23/Clock_by_Rydberg!F23)/LOG(12),0)</f>
        <v>48</v>
      </c>
      <c r="N23" s="268">
        <f t="shared" si="3"/>
        <v>6</v>
      </c>
      <c r="O23" s="268">
        <f t="shared" si="4"/>
        <v>0</v>
      </c>
      <c r="P23" s="83"/>
      <c r="Q23" s="24"/>
      <c r="R23" s="258">
        <f>1/K58</f>
        <v>0.9686614433632964</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7.3093445944441862E+53</v>
      </c>
      <c r="E24" s="8">
        <f>E9</f>
        <v>0</v>
      </c>
      <c r="F24" s="21">
        <f t="shared" si="0"/>
        <v>7.3093445944441862E+53</v>
      </c>
      <c r="G24" s="21"/>
      <c r="H24" s="21"/>
      <c r="I24" s="278"/>
      <c r="J24" s="8">
        <f t="shared" si="1"/>
        <v>51</v>
      </c>
      <c r="K24" s="58">
        <f t="shared" si="2"/>
        <v>730.93445944441862</v>
      </c>
      <c r="L24" s="118"/>
      <c r="M24" s="504">
        <f>ROUND(LOG(F24/Clock_by_Rydberg!F24)/LOG(12),0)</f>
        <v>48</v>
      </c>
      <c r="N24" s="268">
        <f t="shared" si="3"/>
        <v>6</v>
      </c>
      <c r="O24" s="268">
        <f t="shared" si="4"/>
        <v>0</v>
      </c>
      <c r="P24" s="83"/>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5.8165916148390861E+52</v>
      </c>
      <c r="E25" s="8">
        <f>E9</f>
        <v>0</v>
      </c>
      <c r="F25" s="21">
        <f t="shared" si="0"/>
        <v>5.8165916148390861E+52</v>
      </c>
      <c r="G25" s="21"/>
      <c r="H25" s="21"/>
      <c r="I25" s="278"/>
      <c r="J25" s="8">
        <f t="shared" si="1"/>
        <v>51</v>
      </c>
      <c r="K25" s="58">
        <f t="shared" si="2"/>
        <v>58.165916148390863</v>
      </c>
      <c r="L25" s="118"/>
      <c r="M25" s="504">
        <f>ROUND(LOG(F25/Clock_by_Rydberg!F25)/LOG(12),0)</f>
        <v>48</v>
      </c>
      <c r="N25" s="268">
        <f t="shared" si="3"/>
        <v>6</v>
      </c>
      <c r="O25" s="268">
        <f t="shared" si="4"/>
        <v>0</v>
      </c>
      <c r="P25" s="83"/>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7.9944872939687579E+121</v>
      </c>
      <c r="E26" s="8">
        <f>E9-2*E3</f>
        <v>0</v>
      </c>
      <c r="F26" s="21">
        <f t="shared" si="0"/>
        <v>7.9944872939687579E+121</v>
      </c>
      <c r="G26" s="21"/>
      <c r="H26" s="21"/>
      <c r="I26" s="278"/>
      <c r="J26" s="8">
        <f t="shared" si="1"/>
        <v>120</v>
      </c>
      <c r="K26" s="58">
        <f t="shared" si="2"/>
        <v>79.944872939687585</v>
      </c>
      <c r="L26" s="118"/>
      <c r="M26" s="504">
        <f>ROUND(LOG(F26/Clock_by_Rydberg!F26)/LOG(12),0)</f>
        <v>110</v>
      </c>
      <c r="N26" s="268">
        <f t="shared" si="3"/>
        <v>13</v>
      </c>
      <c r="O26" s="268">
        <f t="shared" si="4"/>
        <v>6</v>
      </c>
      <c r="P26" s="83"/>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5.2062604491170662E+18</v>
      </c>
      <c r="E27" s="8">
        <f>E7-E4</f>
        <v>0</v>
      </c>
      <c r="F27" s="21">
        <f t="shared" si="0"/>
        <v>5.2062604491170662E+18</v>
      </c>
      <c r="G27" s="21"/>
      <c r="H27" s="21"/>
      <c r="I27" s="278"/>
      <c r="J27" s="8">
        <f t="shared" si="1"/>
        <v>18</v>
      </c>
      <c r="K27" s="58">
        <f t="shared" si="2"/>
        <v>5.2062604491170665</v>
      </c>
      <c r="L27" s="118" t="s">
        <v>1168</v>
      </c>
      <c r="M27" s="504">
        <f>ROUND(LOG(F27/Clock_by_Rydberg!F27)/LOG(12),0)</f>
        <v>15</v>
      </c>
      <c r="N27" s="268">
        <f t="shared" si="3"/>
        <v>1</v>
      </c>
      <c r="O27" s="268">
        <f t="shared" si="4"/>
        <v>7</v>
      </c>
      <c r="P27" s="83"/>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3.1352833257803788E+42</v>
      </c>
      <c r="E28" s="8">
        <f>-E4</f>
        <v>0</v>
      </c>
      <c r="F28" s="21">
        <f t="shared" si="0"/>
        <v>3.1352833257803788E+42</v>
      </c>
      <c r="G28" s="21"/>
      <c r="H28" s="21"/>
      <c r="I28" s="278"/>
      <c r="J28" s="8">
        <f t="shared" si="1"/>
        <v>42</v>
      </c>
      <c r="K28" s="58">
        <f t="shared" si="2"/>
        <v>3.1352833257803785</v>
      </c>
      <c r="L28" s="118"/>
      <c r="M28" s="504">
        <f>ROUND(LOG(F28/Clock_by_Rydberg!F28)/LOG(12),0)</f>
        <v>39</v>
      </c>
      <c r="N28" s="268">
        <f t="shared" si="3"/>
        <v>4</v>
      </c>
      <c r="O28" s="268">
        <f t="shared" si="4"/>
        <v>7</v>
      </c>
      <c r="P28" s="83"/>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0</v>
      </c>
      <c r="F29" s="21">
        <f t="shared" si="0"/>
        <v>8.987551787368176E+16</v>
      </c>
      <c r="G29" s="21"/>
      <c r="H29" s="21"/>
      <c r="I29" s="278"/>
      <c r="J29" s="8">
        <f t="shared" si="1"/>
        <v>15</v>
      </c>
      <c r="K29" s="58">
        <f t="shared" si="2"/>
        <v>89.875517873681758</v>
      </c>
      <c r="L29" s="118" t="s">
        <v>757</v>
      </c>
      <c r="M29" s="504">
        <f>ROUND(LOG(F29/Clock_by_Rydberg!F29)/LOG(12),0)</f>
        <v>16</v>
      </c>
      <c r="N29" s="268">
        <f t="shared" si="3"/>
        <v>2</v>
      </c>
      <c r="O29" s="268">
        <f t="shared" si="4"/>
        <v>0</v>
      </c>
      <c r="P29" s="83"/>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0</v>
      </c>
      <c r="F30" s="32">
        <f t="shared" si="0"/>
        <v>8.987551787368176E+16</v>
      </c>
      <c r="G30" s="32"/>
      <c r="H30" s="32"/>
      <c r="I30" s="282"/>
      <c r="J30" s="33">
        <f t="shared" si="1"/>
        <v>15</v>
      </c>
      <c r="K30" s="60">
        <f t="shared" si="2"/>
        <v>89.875517873681758</v>
      </c>
      <c r="L30" s="124" t="s">
        <v>758</v>
      </c>
      <c r="M30" s="504">
        <f>ROUND(LOG(F30/Clock_by_Rydberg!F30)/LOG(12),0)</f>
        <v>16</v>
      </c>
      <c r="N30" s="268">
        <f t="shared" si="3"/>
        <v>2</v>
      </c>
      <c r="O30" s="268">
        <f t="shared" si="4"/>
        <v>0</v>
      </c>
      <c r="P30" s="114"/>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34" t="s">
        <v>42</v>
      </c>
      <c r="C31" s="52" t="str">
        <f>Rydberg!C31</f>
        <v>Unit Symbol</v>
      </c>
      <c r="D31" s="34" t="s">
        <v>43</v>
      </c>
      <c r="E31" s="52" t="s">
        <v>54</v>
      </c>
      <c r="F31" s="34" t="s">
        <v>47</v>
      </c>
      <c r="G31" s="34" t="s">
        <v>92</v>
      </c>
      <c r="H31" s="18" t="str">
        <f>Rydberg!H$1</f>
        <v>difference</v>
      </c>
      <c r="I31" s="283"/>
      <c r="J31" s="583" t="str">
        <f>Rydberg!J31</f>
        <v>0123456789XE</v>
      </c>
      <c r="K31" s="584">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f>FLOOR(LOG(F32,12),1)</f>
        <v>-2</v>
      </c>
      <c r="K32" s="61">
        <f>F32/POWER(12,J32)</f>
        <v>1.0508187692592001</v>
      </c>
      <c r="L32" s="39" t="str">
        <f>INDEX(powers!$H$2:$H$75,33+J32)</f>
        <v>dino</v>
      </c>
      <c r="M32" s="40" t="str">
        <f t="shared" ref="M32:M70" si="5">IF($E32&gt;=M$31,MID($J$31,IF($E32&gt;M$31,INT(K32),ROUND(K32,0))+1,1),"")</f>
        <v>1</v>
      </c>
      <c r="N32" s="24">
        <f>(K32-INT(K32))*12</f>
        <v>0.60982523111040177</v>
      </c>
      <c r="O32" s="41" t="str">
        <f t="shared" ref="O32:O70" si="6">IF($E32&gt;=O$31,MID($J$31,IF($E32&gt;O$31,INT(N32),ROUND(N32,0))+1,1),"")</f>
        <v>0</v>
      </c>
      <c r="P32" s="24">
        <f>(N32-INT(N32))*12</f>
        <v>7.3179027733248212</v>
      </c>
      <c r="Q32" s="41" t="str">
        <f t="shared" ref="Q32:Q70" si="7">IF($E32&gt;=Q$31,MID($J$31,IF($E32&gt;Q$31,INT(P32),ROUND(P32,0))+1,1),"")</f>
        <v>7</v>
      </c>
      <c r="R32" s="24">
        <f>(P32-INT(P32))*12</f>
        <v>3.8148332798978544</v>
      </c>
      <c r="S32" s="41" t="str">
        <f t="shared" ref="S32:S70" si="8">IF($E32&gt;=S$31,MID($J$31,IF($E32&gt;S$31,INT(R32),ROUND(R32,0))+1,1),"")</f>
        <v>3</v>
      </c>
      <c r="T32" s="24">
        <f>(R32-INT(R32))*12</f>
        <v>9.7779993587742524</v>
      </c>
      <c r="U32" s="41" t="str">
        <f t="shared" ref="U32:U70" si="9">IF($E32&gt;=U$31,MID($J$31,IF($E32&gt;U$31,INT(T32),ROUND(T32,0))+1,1),"")</f>
        <v>9</v>
      </c>
      <c r="V32" s="24">
        <f>(T32-INT(T32))*12</f>
        <v>9.335992305291029</v>
      </c>
      <c r="W32" s="41" t="str">
        <f t="shared" ref="W32:W70" si="10">IF($E32&gt;=W$31,MID($J$31,IF($E32&gt;W$31,INT(V32),ROUND(V32,0))+1,1),"")</f>
        <v>9</v>
      </c>
      <c r="X32" s="24">
        <f>(V32-INT(V32))*12</f>
        <v>4.0319076634923476</v>
      </c>
      <c r="Y32" s="41" t="str">
        <f t="shared" ref="Y32:Y70" si="11">IF($E32&gt;=Y$31,MID($J$31,IF($E32&gt;Y$31,INT(X32),ROUND(X32,0))+1,1),"")</f>
        <v>4</v>
      </c>
      <c r="Z32" s="24">
        <f>(X32-INT(X32))*12</f>
        <v>0.38289196190817165</v>
      </c>
      <c r="AA32" s="41" t="str">
        <f t="shared" ref="AA32:AA70" si="12">IF($E32&gt;=AA$31,MID($J$31,IF($E32&gt;AA$31,INT(Z32),ROUND(Z32,0))+1,1),"")</f>
        <v>0</v>
      </c>
      <c r="AB32" s="24">
        <f>(Z32-INT(Z32))*12</f>
        <v>4.5947035428980598</v>
      </c>
      <c r="AC32" s="41" t="str">
        <f t="shared" ref="AC32:AC70" si="13">IF($E32&gt;=AC$31,MID($J$31,IF($E32&gt;AC$31,INT(AB32),ROUND(AB32,0))+1,1),"")</f>
        <v>4</v>
      </c>
      <c r="AD32" s="24">
        <f>(AB32-INT(AB32))*12</f>
        <v>7.1364425147767179</v>
      </c>
      <c r="AE32" s="41" t="str">
        <f t="shared" ref="AE32:AE70" si="14">IF($E32&gt;=AE$31,MID($J$31,IF($E32&gt;AE$31,INT(AD32),ROUND(AD32,0))+1,1),"")</f>
        <v>7</v>
      </c>
      <c r="AF32" s="24">
        <f>(AD32-INT(AD32))*12</f>
        <v>1.6373101773206145</v>
      </c>
      <c r="AG32" s="41" t="str">
        <f t="shared" ref="AG32:AG70" si="15">IF($E32&gt;=AG$31,MID($J$31,IF($E32&gt;AG$31,INT(AF32),ROUND(AF32,0))+1,1),"")</f>
        <v>2</v>
      </c>
      <c r="AH32" s="24">
        <f>(AF32-INT(AF32))*12</f>
        <v>7.6477221278473735</v>
      </c>
      <c r="AI32" s="41" t="str">
        <f t="shared" ref="AI32:AI70" si="16">IF($E32&gt;=AI$31,MID($J$31,IF($E32&gt;AI$31,INT(AH32),ROUND(AH32,0))+1,1),"")</f>
        <v/>
      </c>
      <c r="AJ32" s="24">
        <f>(AH32-INT(AH32))*12</f>
        <v>7.7726655341684818</v>
      </c>
      <c r="AK32" s="41" t="str">
        <f t="shared" ref="AK32:AK70" si="17">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0.99999999999999989</v>
      </c>
      <c r="G33" s="37" t="str">
        <f t="shared" ref="G33:G70" si="18">M33&amp;";"&amp;O33&amp;Q33&amp;S33&amp;U33&amp;W33&amp;Y33&amp;AA33&amp;AC33&amp;AE33&amp;AG33&amp;AI33&amp;AK33</f>
        <v>1;0000000000</v>
      </c>
      <c r="H33" s="275">
        <f t="shared" ref="H33:H50" si="19">K33*POWER(12,I33)/ROUND(K33*POWER(12,I33),0)-1</f>
        <v>9.9986685597741598E-13</v>
      </c>
      <c r="I33" s="278"/>
      <c r="J33" s="38">
        <v>0</v>
      </c>
      <c r="K33" s="61">
        <f>F33/POWER(12,J33)+0.000000000001</f>
        <v>1.0000000000009999</v>
      </c>
      <c r="L33" s="39" t="str">
        <f>INDEX(powers!$H$2:$H$75,33+J33)</f>
        <v xml:space="preserve"> </v>
      </c>
      <c r="M33" s="40" t="str">
        <f t="shared" si="5"/>
        <v>1</v>
      </c>
      <c r="N33" s="24">
        <f t="shared" ref="N33:N70" si="20">(K33-INT(K33))*12</f>
        <v>1.1998402271728992E-11</v>
      </c>
      <c r="O33" s="41" t="str">
        <f t="shared" si="6"/>
        <v>0</v>
      </c>
      <c r="P33" s="24">
        <f t="shared" ref="P33:P70" si="21">(N33-INT(N33))*12</f>
        <v>1.439808272607479E-10</v>
      </c>
      <c r="Q33" s="41" t="str">
        <f t="shared" si="7"/>
        <v>0</v>
      </c>
      <c r="R33" s="24">
        <f t="shared" ref="R33:R70" si="22">(P33-INT(P33))*12</f>
        <v>1.7277699271289748E-9</v>
      </c>
      <c r="S33" s="41" t="str">
        <f t="shared" si="8"/>
        <v>0</v>
      </c>
      <c r="T33" s="24">
        <f t="shared" ref="T33:T70" si="23">(R33-INT(R33))*12</f>
        <v>2.0733239125547698E-8</v>
      </c>
      <c r="U33" s="41" t="str">
        <f t="shared" si="9"/>
        <v>0</v>
      </c>
      <c r="V33" s="24">
        <f t="shared" ref="V33:V70" si="24">(T33-INT(T33))*12</f>
        <v>2.4879886950657237E-7</v>
      </c>
      <c r="W33" s="41" t="str">
        <f t="shared" si="10"/>
        <v>0</v>
      </c>
      <c r="X33" s="24">
        <f t="shared" ref="X33:X70" si="25">(V33-INT(V33))*12</f>
        <v>2.9855864340788685E-6</v>
      </c>
      <c r="Y33" s="41" t="str">
        <f t="shared" si="11"/>
        <v>0</v>
      </c>
      <c r="Z33" s="24">
        <f t="shared" ref="Z33:Z70" si="26">(X33-INT(X33))*12</f>
        <v>3.5827037208946422E-5</v>
      </c>
      <c r="AA33" s="41" t="str">
        <f t="shared" si="12"/>
        <v>0</v>
      </c>
      <c r="AB33" s="24">
        <f t="shared" ref="AB33:AB70" si="27">(Z33-INT(Z33))*12</f>
        <v>4.2992444650735706E-4</v>
      </c>
      <c r="AC33" s="41" t="str">
        <f t="shared" si="13"/>
        <v>0</v>
      </c>
      <c r="AD33" s="24">
        <f t="shared" ref="AD33:AD70" si="28">(AB33-INT(AB33))*12</f>
        <v>5.1590933580882847E-3</v>
      </c>
      <c r="AE33" s="41" t="str">
        <f t="shared" si="14"/>
        <v>0</v>
      </c>
      <c r="AF33" s="24">
        <f t="shared" ref="AF33:AF70" si="29">(AD33-INT(AD33))*12</f>
        <v>6.1909120297059417E-2</v>
      </c>
      <c r="AG33" s="41" t="str">
        <f t="shared" si="15"/>
        <v>0</v>
      </c>
      <c r="AH33" s="24">
        <f t="shared" ref="AH33:AH70" si="30">(AF33-INT(AF33))*12</f>
        <v>0.742909443564713</v>
      </c>
      <c r="AI33" s="41" t="str">
        <f t="shared" si="16"/>
        <v/>
      </c>
      <c r="AJ33" s="24">
        <f t="shared" ref="AJ33:AJ70" si="31">(AH33-INT(AH33))*12</f>
        <v>8.914913322776556</v>
      </c>
      <c r="AK33" s="41" t="str">
        <f t="shared" si="17"/>
        <v/>
      </c>
    </row>
    <row r="34" spans="1:37" ht="15" customHeight="1" x14ac:dyDescent="0.2">
      <c r="A34" s="581"/>
      <c r="B34" s="3" t="str">
        <f>Rydberg!B34</f>
        <v>Rydberg constant</v>
      </c>
      <c r="C34" s="3" t="str">
        <f>Rydberg!C34</f>
        <v>Ω_1/m</v>
      </c>
      <c r="D34" s="21">
        <f>Rydberg!D34</f>
        <v>10973731.568157</v>
      </c>
      <c r="E34" s="8">
        <v>5</v>
      </c>
      <c r="F34" s="21">
        <f>D34/(1/F$3)</f>
        <v>1.049296544653148E-27</v>
      </c>
      <c r="G34" s="37" t="str">
        <f t="shared" si="18"/>
        <v>1;00186</v>
      </c>
      <c r="H34" s="275">
        <f t="shared" si="19"/>
        <v>9.8920497604737534E-4</v>
      </c>
      <c r="I34" s="278"/>
      <c r="J34" s="38">
        <f t="shared" ref="J34:J70" si="32">FLOOR(LOG(F34,12),1)</f>
        <v>-25</v>
      </c>
      <c r="K34" s="61">
        <f>F34/POWER(12,J34)</f>
        <v>1.0009892049760474</v>
      </c>
      <c r="L34" s="39" t="str">
        <f>INDEX(powers!$H$2:$H$75,33+J34)</f>
        <v>unino ter-atomic</v>
      </c>
      <c r="M34" s="40" t="str">
        <f t="shared" si="5"/>
        <v>1</v>
      </c>
      <c r="N34" s="24">
        <f t="shared" si="20"/>
        <v>1.1870459712568504E-2</v>
      </c>
      <c r="O34" s="41" t="str">
        <f t="shared" si="6"/>
        <v>0</v>
      </c>
      <c r="P34" s="24">
        <f t="shared" si="21"/>
        <v>0.14244551655082205</v>
      </c>
      <c r="Q34" s="41" t="str">
        <f t="shared" si="7"/>
        <v>0</v>
      </c>
      <c r="R34" s="24">
        <f t="shared" si="22"/>
        <v>1.7093461986098646</v>
      </c>
      <c r="S34" s="41" t="str">
        <f t="shared" si="8"/>
        <v>1</v>
      </c>
      <c r="T34" s="24">
        <f t="shared" si="23"/>
        <v>8.512154383318375</v>
      </c>
      <c r="U34" s="41" t="str">
        <f t="shared" si="9"/>
        <v>8</v>
      </c>
      <c r="V34" s="24">
        <f t="shared" si="24"/>
        <v>6.1458525998205005</v>
      </c>
      <c r="W34" s="41" t="str">
        <f t="shared" si="10"/>
        <v>6</v>
      </c>
      <c r="X34" s="24">
        <f t="shared" si="25"/>
        <v>1.7502311978460057</v>
      </c>
      <c r="Y34" s="41" t="str">
        <f t="shared" si="11"/>
        <v/>
      </c>
      <c r="Z34" s="24">
        <f t="shared" si="26"/>
        <v>9.002774374152068</v>
      </c>
      <c r="AA34" s="41" t="str">
        <f t="shared" si="12"/>
        <v/>
      </c>
      <c r="AB34" s="24">
        <f t="shared" si="27"/>
        <v>3.3292489824816585E-2</v>
      </c>
      <c r="AC34" s="41" t="str">
        <f t="shared" si="13"/>
        <v/>
      </c>
      <c r="AD34" s="24">
        <f t="shared" si="28"/>
        <v>0.39950987789779902</v>
      </c>
      <c r="AE34" s="41" t="str">
        <f t="shared" si="14"/>
        <v/>
      </c>
      <c r="AF34" s="24">
        <f t="shared" si="29"/>
        <v>4.7941185347735882</v>
      </c>
      <c r="AG34" s="41" t="str">
        <f t="shared" si="15"/>
        <v/>
      </c>
      <c r="AH34" s="24">
        <f t="shared" si="30"/>
        <v>9.5294224172830582</v>
      </c>
      <c r="AI34" s="41" t="str">
        <f t="shared" si="16"/>
        <v/>
      </c>
      <c r="AJ34" s="24">
        <f t="shared" si="31"/>
        <v>6.353069007396698</v>
      </c>
      <c r="AK34" s="41" t="str">
        <f t="shared" si="17"/>
        <v/>
      </c>
    </row>
    <row r="35" spans="1:37" ht="15" customHeight="1" x14ac:dyDescent="0.2">
      <c r="A35" s="581"/>
      <c r="B35" s="3" t="str">
        <f>Rydberg!B35</f>
        <v>Speed of light in vacuum</v>
      </c>
      <c r="C35" s="3" t="str">
        <f>Rydberg!C35</f>
        <v>m/s</v>
      </c>
      <c r="D35" s="21">
        <f>Rydberg!D35</f>
        <v>299792458</v>
      </c>
      <c r="E35" s="8">
        <v>12</v>
      </c>
      <c r="F35" s="21">
        <f>D35/(F$3/F$4)</f>
        <v>1</v>
      </c>
      <c r="G35" s="37" t="str">
        <f t="shared" si="18"/>
        <v>1;000000000000</v>
      </c>
      <c r="H35" s="275">
        <f t="shared" si="19"/>
        <v>0</v>
      </c>
      <c r="I35" s="278"/>
      <c r="J35" s="38">
        <f t="shared" si="32"/>
        <v>0</v>
      </c>
      <c r="K35" s="61">
        <f>F35/POWER(12,J35)</f>
        <v>1</v>
      </c>
      <c r="L35" s="39" t="str">
        <f>INDEX(powers!$H$2:$H$75,33+J35)</f>
        <v xml:space="preserve"> </v>
      </c>
      <c r="M35" s="40" t="str">
        <f t="shared" si="5"/>
        <v>1</v>
      </c>
      <c r="N35" s="24">
        <f t="shared" si="20"/>
        <v>0</v>
      </c>
      <c r="O35" s="41" t="str">
        <f t="shared" si="6"/>
        <v>0</v>
      </c>
      <c r="P35" s="24">
        <f t="shared" si="21"/>
        <v>0</v>
      </c>
      <c r="Q35" s="41" t="str">
        <f t="shared" si="7"/>
        <v>0</v>
      </c>
      <c r="R35" s="24">
        <f t="shared" si="22"/>
        <v>0</v>
      </c>
      <c r="S35" s="41" t="str">
        <f t="shared" si="8"/>
        <v>0</v>
      </c>
      <c r="T35" s="24">
        <f t="shared" si="23"/>
        <v>0</v>
      </c>
      <c r="U35" s="41" t="str">
        <f t="shared" si="9"/>
        <v>0</v>
      </c>
      <c r="V35" s="24">
        <f t="shared" si="24"/>
        <v>0</v>
      </c>
      <c r="W35" s="41" t="str">
        <f t="shared" si="10"/>
        <v>0</v>
      </c>
      <c r="X35" s="24">
        <f t="shared" si="25"/>
        <v>0</v>
      </c>
      <c r="Y35" s="41" t="str">
        <f t="shared" si="11"/>
        <v>0</v>
      </c>
      <c r="Z35" s="24">
        <f t="shared" si="26"/>
        <v>0</v>
      </c>
      <c r="AA35" s="41" t="str">
        <f t="shared" si="12"/>
        <v>0</v>
      </c>
      <c r="AB35" s="24">
        <f t="shared" si="27"/>
        <v>0</v>
      </c>
      <c r="AC35" s="41" t="str">
        <f t="shared" si="13"/>
        <v>0</v>
      </c>
      <c r="AD35" s="24">
        <f t="shared" si="28"/>
        <v>0</v>
      </c>
      <c r="AE35" s="41" t="str">
        <f t="shared" si="14"/>
        <v>0</v>
      </c>
      <c r="AF35" s="24">
        <f t="shared" si="29"/>
        <v>0</v>
      </c>
      <c r="AG35" s="41" t="str">
        <f t="shared" si="15"/>
        <v>0</v>
      </c>
      <c r="AH35" s="24">
        <f t="shared" si="30"/>
        <v>0</v>
      </c>
      <c r="AI35" s="41" t="str">
        <f t="shared" si="16"/>
        <v>0</v>
      </c>
      <c r="AJ35" s="24">
        <f t="shared" si="31"/>
        <v>0</v>
      </c>
      <c r="AK35" s="41" t="str">
        <f t="shared" si="17"/>
        <v>0</v>
      </c>
    </row>
    <row r="36" spans="1:37" ht="15" customHeight="1" x14ac:dyDescent="0.2">
      <c r="A36" s="581"/>
      <c r="B36" s="3" t="str">
        <f>Rydberg!B36 &amp; "  "</f>
        <v xml:space="preserve">Quantum of action  </v>
      </c>
      <c r="C36" s="3" t="str">
        <f>Rydberg!C36</f>
        <v>Js</v>
      </c>
      <c r="D36" s="479">
        <f>Rydberg!D36/POWER(12,0)</f>
        <v>1.0545718176461565E-34</v>
      </c>
      <c r="E36" s="8">
        <v>10</v>
      </c>
      <c r="F36" s="21">
        <f>D36/(F$5*F$4)</f>
        <v>1</v>
      </c>
      <c r="G36" s="37" t="str">
        <f t="shared" si="18"/>
        <v>1;0000000000</v>
      </c>
      <c r="H36" s="275">
        <f t="shared" si="19"/>
        <v>1.000088900582341E-12</v>
      </c>
      <c r="I36" s="278"/>
      <c r="J36" s="38">
        <f t="shared" si="32"/>
        <v>0</v>
      </c>
      <c r="K36" s="61">
        <f>F36/POWER(12,J36)+0.000000000001</f>
        <v>1.0000000000010001</v>
      </c>
      <c r="L36" s="39" t="str">
        <f>INDEX(powers!$H$2:$H$75,33+J36)</f>
        <v xml:space="preserve"> </v>
      </c>
      <c r="M36" s="40" t="str">
        <f t="shared" si="5"/>
        <v>1</v>
      </c>
      <c r="N36" s="24">
        <f t="shared" si="20"/>
        <v>1.2001066806988092E-11</v>
      </c>
      <c r="O36" s="41" t="str">
        <f t="shared" si="6"/>
        <v>0</v>
      </c>
      <c r="P36" s="24">
        <f t="shared" si="21"/>
        <v>1.4401280168385711E-10</v>
      </c>
      <c r="Q36" s="41" t="str">
        <f t="shared" si="7"/>
        <v>0</v>
      </c>
      <c r="R36" s="24">
        <f t="shared" si="22"/>
        <v>1.7281536202062853E-9</v>
      </c>
      <c r="S36" s="41" t="str">
        <f t="shared" si="8"/>
        <v>0</v>
      </c>
      <c r="T36" s="24">
        <f t="shared" si="23"/>
        <v>2.0737843442475423E-8</v>
      </c>
      <c r="U36" s="41" t="str">
        <f t="shared" si="9"/>
        <v>0</v>
      </c>
      <c r="V36" s="24">
        <f t="shared" si="24"/>
        <v>2.4885412130970508E-7</v>
      </c>
      <c r="W36" s="41" t="str">
        <f t="shared" si="10"/>
        <v>0</v>
      </c>
      <c r="X36" s="24">
        <f t="shared" si="25"/>
        <v>2.9862494557164609E-6</v>
      </c>
      <c r="Y36" s="41" t="str">
        <f t="shared" si="11"/>
        <v>0</v>
      </c>
      <c r="Z36" s="24">
        <f t="shared" si="26"/>
        <v>3.5834993468597531E-5</v>
      </c>
      <c r="AA36" s="41" t="str">
        <f t="shared" si="12"/>
        <v>0</v>
      </c>
      <c r="AB36" s="24">
        <f t="shared" si="27"/>
        <v>4.3001992162317038E-4</v>
      </c>
      <c r="AC36" s="41" t="str">
        <f t="shared" si="13"/>
        <v>0</v>
      </c>
      <c r="AD36" s="24">
        <f t="shared" si="28"/>
        <v>5.1602390594780445E-3</v>
      </c>
      <c r="AE36" s="41" t="str">
        <f t="shared" si="14"/>
        <v>0</v>
      </c>
      <c r="AF36" s="24">
        <f t="shared" si="29"/>
        <v>6.1922868713736534E-2</v>
      </c>
      <c r="AG36" s="41" t="str">
        <f t="shared" si="15"/>
        <v>0</v>
      </c>
      <c r="AH36" s="24">
        <f t="shared" si="30"/>
        <v>0.74307442456483841</v>
      </c>
      <c r="AI36" s="41" t="str">
        <f t="shared" si="16"/>
        <v/>
      </c>
      <c r="AJ36" s="24">
        <f t="shared" si="31"/>
        <v>8.9168930947780609</v>
      </c>
      <c r="AK36" s="41" t="str">
        <f t="shared" si="17"/>
        <v/>
      </c>
    </row>
    <row r="37" spans="1:37" ht="15" customHeight="1" x14ac:dyDescent="0.2">
      <c r="A37" s="581"/>
      <c r="B37" s="3" t="str">
        <f>Rydberg!B37</f>
        <v>Boltzmann constant</v>
      </c>
      <c r="C37" s="3" t="str">
        <f>Rydberg!C37</f>
        <v>J/K</v>
      </c>
      <c r="D37" s="21">
        <f>Rydberg!D37</f>
        <v>1.3806490000000001E-23</v>
      </c>
      <c r="E37" s="8">
        <v>5</v>
      </c>
      <c r="F37" s="21">
        <f>D37/(F$5/F$6)</f>
        <v>1</v>
      </c>
      <c r="G37" s="37" t="str">
        <f t="shared" si="18"/>
        <v>1;00000</v>
      </c>
      <c r="H37" s="275">
        <f t="shared" si="19"/>
        <v>1.000088900582341E-12</v>
      </c>
      <c r="I37" s="278"/>
      <c r="J37" s="131">
        <f t="shared" si="32"/>
        <v>0</v>
      </c>
      <c r="K37" s="61">
        <f>F37/POWER(12,J37)+0.000000000001</f>
        <v>1.0000000000010001</v>
      </c>
      <c r="L37" s="134" t="str">
        <f>INDEX(powers!$H$2:$H$75,33+J37)</f>
        <v xml:space="preserve"> </v>
      </c>
      <c r="M37" s="40" t="str">
        <f t="shared" si="5"/>
        <v>1</v>
      </c>
      <c r="N37" s="24">
        <f t="shared" si="20"/>
        <v>1.2001066806988092E-11</v>
      </c>
      <c r="O37" s="41" t="str">
        <f t="shared" si="6"/>
        <v>0</v>
      </c>
      <c r="P37" s="24">
        <f t="shared" si="21"/>
        <v>1.4401280168385711E-10</v>
      </c>
      <c r="Q37" s="41" t="str">
        <f t="shared" si="7"/>
        <v>0</v>
      </c>
      <c r="R37" s="24">
        <f t="shared" si="22"/>
        <v>1.7281536202062853E-9</v>
      </c>
      <c r="S37" s="41" t="str">
        <f t="shared" si="8"/>
        <v>0</v>
      </c>
      <c r="T37" s="24">
        <f t="shared" si="23"/>
        <v>2.0737843442475423E-8</v>
      </c>
      <c r="U37" s="41" t="str">
        <f t="shared" si="9"/>
        <v>0</v>
      </c>
      <c r="V37" s="24">
        <f t="shared" si="24"/>
        <v>2.4885412130970508E-7</v>
      </c>
      <c r="W37" s="41" t="str">
        <f t="shared" si="10"/>
        <v>0</v>
      </c>
      <c r="X37" s="24">
        <f t="shared" si="25"/>
        <v>2.9862494557164609E-6</v>
      </c>
      <c r="Y37" s="41" t="str">
        <f t="shared" si="11"/>
        <v/>
      </c>
      <c r="Z37" s="24">
        <f t="shared" si="26"/>
        <v>3.5834993468597531E-5</v>
      </c>
      <c r="AA37" s="41" t="str">
        <f t="shared" si="12"/>
        <v/>
      </c>
      <c r="AB37" s="24">
        <f t="shared" si="27"/>
        <v>4.3001992162317038E-4</v>
      </c>
      <c r="AC37" s="41" t="str">
        <f t="shared" si="13"/>
        <v/>
      </c>
      <c r="AD37" s="24">
        <f t="shared" si="28"/>
        <v>5.1602390594780445E-3</v>
      </c>
      <c r="AE37" s="41" t="str">
        <f t="shared" si="14"/>
        <v/>
      </c>
      <c r="AF37" s="24">
        <f t="shared" si="29"/>
        <v>6.1922868713736534E-2</v>
      </c>
      <c r="AG37" s="41" t="str">
        <f t="shared" si="15"/>
        <v/>
      </c>
      <c r="AH37" s="24">
        <f t="shared" si="30"/>
        <v>0.74307442456483841</v>
      </c>
      <c r="AI37" s="41" t="str">
        <f t="shared" si="16"/>
        <v/>
      </c>
      <c r="AJ37" s="24">
        <f t="shared" si="31"/>
        <v>8.9168930947780609</v>
      </c>
      <c r="AK37" s="41" t="str">
        <f t="shared" si="17"/>
        <v/>
      </c>
    </row>
    <row r="38" spans="1:37" ht="15" customHeight="1" x14ac:dyDescent="0.2">
      <c r="A38" s="581"/>
      <c r="B38" s="3" t="str">
        <f>Rydberg!B38</f>
        <v>Gas constant</v>
      </c>
      <c r="C38" s="3" t="str">
        <f>Rydberg!C38</f>
        <v>J/(mol K)</v>
      </c>
      <c r="D38" s="21">
        <f>Rydberg!D38</f>
        <v>8.3144626181532395</v>
      </c>
      <c r="E38" s="8">
        <v>5</v>
      </c>
      <c r="F38" s="21">
        <f>D38/(F$5/F$6/F$7)</f>
        <v>0.99999999999999978</v>
      </c>
      <c r="G38" s="37" t="str">
        <f t="shared" si="18"/>
        <v>1;00000</v>
      </c>
      <c r="H38" s="275">
        <f t="shared" si="19"/>
        <v>9.9986685597741598E-13</v>
      </c>
      <c r="I38" s="278"/>
      <c r="J38" s="131">
        <v>0</v>
      </c>
      <c r="K38" s="61">
        <f>F38/POWER(12,J38)+0.000000000001</f>
        <v>1.0000000000009999</v>
      </c>
      <c r="L38" s="134" t="str">
        <f>INDEX(powers!$H$2:$H$75,33+J38)</f>
        <v xml:space="preserve"> </v>
      </c>
      <c r="M38" s="40" t="str">
        <f t="shared" si="5"/>
        <v>1</v>
      </c>
      <c r="N38" s="24">
        <f t="shared" si="20"/>
        <v>1.1998402271728992E-11</v>
      </c>
      <c r="O38" s="41" t="str">
        <f t="shared" si="6"/>
        <v>0</v>
      </c>
      <c r="P38" s="24">
        <f t="shared" si="21"/>
        <v>1.439808272607479E-10</v>
      </c>
      <c r="Q38" s="41" t="str">
        <f t="shared" si="7"/>
        <v>0</v>
      </c>
      <c r="R38" s="24">
        <f t="shared" si="22"/>
        <v>1.7277699271289748E-9</v>
      </c>
      <c r="S38" s="41" t="str">
        <f t="shared" si="8"/>
        <v>0</v>
      </c>
      <c r="T38" s="24">
        <f t="shared" si="23"/>
        <v>2.0733239125547698E-8</v>
      </c>
      <c r="U38" s="41" t="str">
        <f t="shared" si="9"/>
        <v>0</v>
      </c>
      <c r="V38" s="24">
        <f t="shared" si="24"/>
        <v>2.4879886950657237E-7</v>
      </c>
      <c r="W38" s="41" t="str">
        <f t="shared" si="10"/>
        <v>0</v>
      </c>
      <c r="X38" s="24">
        <f t="shared" si="25"/>
        <v>2.9855864340788685E-6</v>
      </c>
      <c r="Y38" s="41" t="str">
        <f t="shared" si="11"/>
        <v/>
      </c>
      <c r="Z38" s="24">
        <f t="shared" si="26"/>
        <v>3.5827037208946422E-5</v>
      </c>
      <c r="AA38" s="41" t="str">
        <f t="shared" si="12"/>
        <v/>
      </c>
      <c r="AB38" s="24">
        <f t="shared" si="27"/>
        <v>4.2992444650735706E-4</v>
      </c>
      <c r="AC38" s="41" t="str">
        <f t="shared" si="13"/>
        <v/>
      </c>
      <c r="AD38" s="24">
        <f t="shared" si="28"/>
        <v>5.1590933580882847E-3</v>
      </c>
      <c r="AE38" s="41" t="str">
        <f t="shared" si="14"/>
        <v/>
      </c>
      <c r="AF38" s="24">
        <f t="shared" si="29"/>
        <v>6.1909120297059417E-2</v>
      </c>
      <c r="AG38" s="41" t="str">
        <f t="shared" si="15"/>
        <v/>
      </c>
      <c r="AH38" s="24">
        <f t="shared" si="30"/>
        <v>0.742909443564713</v>
      </c>
      <c r="AI38" s="41" t="str">
        <f t="shared" si="16"/>
        <v/>
      </c>
      <c r="AJ38" s="24">
        <f t="shared" si="31"/>
        <v>8.914913322776556</v>
      </c>
      <c r="AK38" s="41" t="str">
        <f t="shared" si="17"/>
        <v/>
      </c>
    </row>
    <row r="39" spans="1:37" ht="15" customHeight="1" x14ac:dyDescent="0.2">
      <c r="A39" s="581"/>
      <c r="B39" s="3" t="str">
        <f>Rydberg!B39</f>
        <v>Unified atomic mass unit</v>
      </c>
      <c r="C39" s="3" t="str">
        <f>Rydberg!C39</f>
        <v>kg</v>
      </c>
      <c r="D39" s="21">
        <f>Rydberg!D39</f>
        <v>1.6605390689199999E-27</v>
      </c>
      <c r="E39" s="8">
        <v>5</v>
      </c>
      <c r="F39" s="21">
        <f>D39/F$8</f>
        <v>4.5137505055249013E-19</v>
      </c>
      <c r="G39" s="37" t="str">
        <f t="shared" si="18"/>
        <v>1;00257</v>
      </c>
      <c r="H39" s="275">
        <f t="shared" si="19"/>
        <v>1.4257004612807656E-3</v>
      </c>
      <c r="I39" s="278"/>
      <c r="J39" s="38">
        <f t="shared" si="32"/>
        <v>-17</v>
      </c>
      <c r="K39" s="61">
        <f t="shared" ref="K39:K70" si="33">F39/POWER(12,J39)</f>
        <v>1.0014257004612808</v>
      </c>
      <c r="L39" s="39" t="str">
        <f>INDEX(powers!$H$2:$H$75,33+J39)</f>
        <v>unino di-atomic</v>
      </c>
      <c r="M39" s="40" t="str">
        <f t="shared" si="5"/>
        <v>1</v>
      </c>
      <c r="N39" s="24">
        <f t="shared" si="20"/>
        <v>1.7108405535369187E-2</v>
      </c>
      <c r="O39" s="41" t="str">
        <f t="shared" si="6"/>
        <v>0</v>
      </c>
      <c r="P39" s="24">
        <f t="shared" si="21"/>
        <v>0.20530086642443024</v>
      </c>
      <c r="Q39" s="41" t="str">
        <f t="shared" si="7"/>
        <v>0</v>
      </c>
      <c r="R39" s="24">
        <f t="shared" si="22"/>
        <v>2.4636103970931629</v>
      </c>
      <c r="S39" s="41" t="str">
        <f t="shared" si="8"/>
        <v>2</v>
      </c>
      <c r="T39" s="24">
        <f t="shared" si="23"/>
        <v>5.5633247651179545</v>
      </c>
      <c r="U39" s="41" t="str">
        <f t="shared" si="9"/>
        <v>5</v>
      </c>
      <c r="V39" s="24">
        <f t="shared" si="24"/>
        <v>6.7598971814154538</v>
      </c>
      <c r="W39" s="41" t="str">
        <f t="shared" si="10"/>
        <v>7</v>
      </c>
      <c r="X39" s="24">
        <f t="shared" si="25"/>
        <v>9.1187661769854458</v>
      </c>
      <c r="Y39" s="41" t="str">
        <f t="shared" si="11"/>
        <v/>
      </c>
      <c r="Z39" s="24">
        <f t="shared" si="26"/>
        <v>1.4251941238253494</v>
      </c>
      <c r="AA39" s="41" t="str">
        <f t="shared" si="12"/>
        <v/>
      </c>
      <c r="AB39" s="24">
        <f t="shared" si="27"/>
        <v>5.1023294859041926</v>
      </c>
      <c r="AC39" s="41" t="str">
        <f t="shared" si="13"/>
        <v/>
      </c>
      <c r="AD39" s="24">
        <f t="shared" si="28"/>
        <v>1.2279538308503106</v>
      </c>
      <c r="AE39" s="41" t="str">
        <f t="shared" si="14"/>
        <v/>
      </c>
      <c r="AF39" s="24">
        <f t="shared" si="29"/>
        <v>2.7354459702037275</v>
      </c>
      <c r="AG39" s="41" t="str">
        <f t="shared" si="15"/>
        <v/>
      </c>
      <c r="AH39" s="24">
        <f t="shared" si="30"/>
        <v>8.8253516424447298</v>
      </c>
      <c r="AI39" s="41" t="str">
        <f t="shared" si="16"/>
        <v/>
      </c>
      <c r="AJ39" s="24">
        <f t="shared" si="31"/>
        <v>9.9042197093367577</v>
      </c>
      <c r="AK39" s="41" t="str">
        <f t="shared" si="17"/>
        <v/>
      </c>
    </row>
    <row r="40" spans="1:37" ht="15" customHeight="1" x14ac:dyDescent="0.2">
      <c r="A40" s="581"/>
      <c r="B40" s="3" t="str">
        <f>Rydberg!B40</f>
        <v>Bohr Radius</v>
      </c>
      <c r="C40" s="3" t="str">
        <f>Rydberg!C40</f>
        <v>m</v>
      </c>
      <c r="D40" s="53">
        <f>Rydberg!D40</f>
        <v>5.2917721054102549E-11</v>
      </c>
      <c r="E40" s="8">
        <v>5</v>
      </c>
      <c r="F40" s="21">
        <f>D40/F$3</f>
        <v>5.534230232677335E+23</v>
      </c>
      <c r="G40" s="37" t="str">
        <f t="shared" si="18"/>
        <v>1;00432</v>
      </c>
      <c r="H40" s="275">
        <f t="shared" si="19"/>
        <v>2.4663638126571907E-3</v>
      </c>
      <c r="I40" s="278"/>
      <c r="J40" s="38">
        <f t="shared" si="32"/>
        <v>22</v>
      </c>
      <c r="K40" s="61">
        <f t="shared" si="33"/>
        <v>1.0024663638126572</v>
      </c>
      <c r="L40" s="39" t="str">
        <f>INDEX(powers!$H$2:$H$75,33+J40)</f>
        <v>dino ter-cosmic</v>
      </c>
      <c r="M40" s="40" t="str">
        <f t="shared" si="5"/>
        <v>1</v>
      </c>
      <c r="N40" s="24">
        <f t="shared" si="20"/>
        <v>2.9596365751886289E-2</v>
      </c>
      <c r="O40" s="41" t="str">
        <f t="shared" si="6"/>
        <v>0</v>
      </c>
      <c r="P40" s="24">
        <f t="shared" si="21"/>
        <v>0.35515638902263547</v>
      </c>
      <c r="Q40" s="41" t="str">
        <f t="shared" si="7"/>
        <v>0</v>
      </c>
      <c r="R40" s="24">
        <f t="shared" si="22"/>
        <v>4.2618766682716256</v>
      </c>
      <c r="S40" s="41" t="str">
        <f t="shared" si="8"/>
        <v>4</v>
      </c>
      <c r="T40" s="24">
        <f t="shared" si="23"/>
        <v>3.1425200192595071</v>
      </c>
      <c r="U40" s="41" t="str">
        <f t="shared" si="9"/>
        <v>3</v>
      </c>
      <c r="V40" s="24">
        <f t="shared" si="24"/>
        <v>1.710240231114085</v>
      </c>
      <c r="W40" s="41" t="str">
        <f t="shared" si="10"/>
        <v>2</v>
      </c>
      <c r="X40" s="24">
        <f t="shared" si="25"/>
        <v>8.5228827733690196</v>
      </c>
      <c r="Y40" s="41" t="str">
        <f t="shared" si="11"/>
        <v/>
      </c>
      <c r="Z40" s="24">
        <f t="shared" si="26"/>
        <v>6.2745932804282347</v>
      </c>
      <c r="AA40" s="41" t="str">
        <f t="shared" si="12"/>
        <v/>
      </c>
      <c r="AB40" s="24">
        <f t="shared" si="27"/>
        <v>3.2951193651388166</v>
      </c>
      <c r="AC40" s="41" t="str">
        <f t="shared" si="13"/>
        <v/>
      </c>
      <c r="AD40" s="24">
        <f t="shared" si="28"/>
        <v>3.5414323816657998</v>
      </c>
      <c r="AE40" s="41" t="str">
        <f t="shared" si="14"/>
        <v/>
      </c>
      <c r="AF40" s="24">
        <f t="shared" si="29"/>
        <v>6.4971885799895972</v>
      </c>
      <c r="AG40" s="41" t="str">
        <f t="shared" si="15"/>
        <v/>
      </c>
      <c r="AH40" s="24">
        <f t="shared" si="30"/>
        <v>5.9662629598751664</v>
      </c>
      <c r="AI40" s="41" t="str">
        <f t="shared" si="16"/>
        <v/>
      </c>
      <c r="AJ40" s="24">
        <f t="shared" si="31"/>
        <v>11.595155518501997</v>
      </c>
      <c r="AK40" s="41" t="str">
        <f t="shared" si="17"/>
        <v/>
      </c>
    </row>
    <row r="41" spans="1:37" ht="15" customHeight="1" x14ac:dyDescent="0.2">
      <c r="A41" s="581"/>
      <c r="B41" s="3" t="str">
        <f>Rydberg!B41</f>
        <v>Elementary electric charge</v>
      </c>
      <c r="C41" s="3" t="str">
        <f>Rydberg!C41</f>
        <v>C</v>
      </c>
      <c r="D41" s="21">
        <f>Rydberg!D41</f>
        <v>1.6021766339999999E-19</v>
      </c>
      <c r="E41" s="8">
        <v>10</v>
      </c>
      <c r="F41" s="21">
        <f>D41/F$12</f>
        <v>8.5424543108554088E-2</v>
      </c>
      <c r="G41" s="37" t="str">
        <f t="shared" si="18"/>
        <v>1;0374439E14</v>
      </c>
      <c r="H41" s="275">
        <f t="shared" si="19"/>
        <v>2.5094517302649111E-2</v>
      </c>
      <c r="I41" s="278"/>
      <c r="J41" s="38">
        <f t="shared" si="32"/>
        <v>-1</v>
      </c>
      <c r="K41" s="61">
        <f t="shared" si="33"/>
        <v>1.0250945173026491</v>
      </c>
      <c r="L41" s="39" t="str">
        <f>INDEX(powers!$H$2:$H$75,33+J41)</f>
        <v>unino</v>
      </c>
      <c r="M41" s="40" t="str">
        <f t="shared" si="5"/>
        <v>1</v>
      </c>
      <c r="N41" s="24">
        <f t="shared" si="20"/>
        <v>0.30113420763178933</v>
      </c>
      <c r="O41" s="41" t="str">
        <f t="shared" si="6"/>
        <v>0</v>
      </c>
      <c r="P41" s="24">
        <f t="shared" si="21"/>
        <v>3.613610491581472</v>
      </c>
      <c r="Q41" s="41" t="str">
        <f t="shared" si="7"/>
        <v>3</v>
      </c>
      <c r="R41" s="24">
        <f t="shared" si="22"/>
        <v>7.3633258989776635</v>
      </c>
      <c r="S41" s="41" t="str">
        <f t="shared" si="8"/>
        <v>7</v>
      </c>
      <c r="T41" s="24">
        <f t="shared" si="23"/>
        <v>4.3599107877319625</v>
      </c>
      <c r="U41" s="41" t="str">
        <f t="shared" si="9"/>
        <v>4</v>
      </c>
      <c r="V41" s="24">
        <f t="shared" si="24"/>
        <v>4.31892945278355</v>
      </c>
      <c r="W41" s="41" t="str">
        <f t="shared" si="10"/>
        <v>4</v>
      </c>
      <c r="X41" s="24">
        <f t="shared" si="25"/>
        <v>3.8271534334026001</v>
      </c>
      <c r="Y41" s="41" t="str">
        <f t="shared" si="11"/>
        <v>3</v>
      </c>
      <c r="Z41" s="24">
        <f t="shared" si="26"/>
        <v>9.9258412008312007</v>
      </c>
      <c r="AA41" s="41" t="str">
        <f t="shared" si="12"/>
        <v>9</v>
      </c>
      <c r="AB41" s="24">
        <f t="shared" si="27"/>
        <v>11.110094409974408</v>
      </c>
      <c r="AC41" s="41" t="str">
        <f t="shared" si="13"/>
        <v>E</v>
      </c>
      <c r="AD41" s="24">
        <f t="shared" si="28"/>
        <v>1.3211329196929</v>
      </c>
      <c r="AE41" s="41" t="str">
        <f t="shared" si="14"/>
        <v>1</v>
      </c>
      <c r="AF41" s="24">
        <f t="shared" si="29"/>
        <v>3.8535950363148004</v>
      </c>
      <c r="AG41" s="41" t="str">
        <f t="shared" si="15"/>
        <v>4</v>
      </c>
      <c r="AH41" s="24">
        <f t="shared" si="30"/>
        <v>10.243140435777605</v>
      </c>
      <c r="AI41" s="41" t="str">
        <f t="shared" si="16"/>
        <v/>
      </c>
      <c r="AJ41" s="24">
        <f t="shared" si="31"/>
        <v>2.917685229331255</v>
      </c>
      <c r="AK41" s="41" t="str">
        <f t="shared" si="17"/>
        <v/>
      </c>
    </row>
    <row r="42" spans="1:37" ht="15" customHeight="1" x14ac:dyDescent="0.2">
      <c r="A42" s="581"/>
      <c r="B42" s="3" t="str">
        <f>Rydberg!B42</f>
        <v>Electron mass</v>
      </c>
      <c r="C42" s="3" t="str">
        <f>Rydberg!C42</f>
        <v>kg</v>
      </c>
      <c r="D42" s="21">
        <f>Rydberg!D42</f>
        <v>9.1093837139983745E-31</v>
      </c>
      <c r="E42" s="8">
        <v>5</v>
      </c>
      <c r="F42" s="21">
        <f>D42/F$8</f>
        <v>2.4761528417890775E-22</v>
      </c>
      <c r="G42" s="37" t="str">
        <f t="shared" si="18"/>
        <v>0;E4848</v>
      </c>
      <c r="H42" s="275">
        <f t="shared" si="19"/>
        <v>-5.0702429996391185E-2</v>
      </c>
      <c r="I42" s="278"/>
      <c r="J42" s="38">
        <f>FLOOR(LOG(F42,12),1)+1</f>
        <v>-20</v>
      </c>
      <c r="K42" s="61">
        <f t="shared" si="33"/>
        <v>0.94929757000360881</v>
      </c>
      <c r="L42" s="39" t="str">
        <f>INDEX(powers!$H$2:$H$75,33+J42)</f>
        <v>di-atomic sub</v>
      </c>
      <c r="M42" s="40" t="str">
        <f t="shared" si="5"/>
        <v>0</v>
      </c>
      <c r="N42" s="24">
        <f t="shared" si="20"/>
        <v>11.391570840043306</v>
      </c>
      <c r="O42" s="41" t="str">
        <f t="shared" si="6"/>
        <v>E</v>
      </c>
      <c r="P42" s="24">
        <f t="shared" si="21"/>
        <v>4.6988500805196693</v>
      </c>
      <c r="Q42" s="41" t="str">
        <f t="shared" si="7"/>
        <v>4</v>
      </c>
      <c r="R42" s="24">
        <f t="shared" si="22"/>
        <v>8.3862009662360322</v>
      </c>
      <c r="S42" s="41" t="str">
        <f t="shared" si="8"/>
        <v>8</v>
      </c>
      <c r="T42" s="24">
        <f t="shared" si="23"/>
        <v>4.6344115948323861</v>
      </c>
      <c r="U42" s="41" t="str">
        <f t="shared" si="9"/>
        <v>4</v>
      </c>
      <c r="V42" s="24">
        <f t="shared" si="24"/>
        <v>7.6129391379886329</v>
      </c>
      <c r="W42" s="41" t="str">
        <f t="shared" si="10"/>
        <v>8</v>
      </c>
      <c r="X42" s="24">
        <f t="shared" si="25"/>
        <v>7.3552696558635944</v>
      </c>
      <c r="Y42" s="41" t="str">
        <f t="shared" si="11"/>
        <v/>
      </c>
      <c r="Z42" s="24">
        <f t="shared" si="26"/>
        <v>4.2632358703631326</v>
      </c>
      <c r="AA42" s="41" t="str">
        <f t="shared" si="12"/>
        <v/>
      </c>
      <c r="AB42" s="24">
        <f t="shared" si="27"/>
        <v>3.1588304443575907</v>
      </c>
      <c r="AC42" s="41" t="str">
        <f t="shared" si="13"/>
        <v/>
      </c>
      <c r="AD42" s="24">
        <f t="shared" si="28"/>
        <v>1.905965332291089</v>
      </c>
      <c r="AE42" s="41" t="str">
        <f t="shared" si="14"/>
        <v/>
      </c>
      <c r="AF42" s="24">
        <f t="shared" si="29"/>
        <v>10.871583987493068</v>
      </c>
      <c r="AG42" s="41" t="str">
        <f t="shared" si="15"/>
        <v/>
      </c>
      <c r="AH42" s="24">
        <f t="shared" si="30"/>
        <v>10.459007849916816</v>
      </c>
      <c r="AI42" s="41" t="str">
        <f t="shared" si="16"/>
        <v/>
      </c>
      <c r="AJ42" s="24">
        <f t="shared" si="31"/>
        <v>5.5080941990017891</v>
      </c>
      <c r="AK42" s="41" t="str">
        <f t="shared" si="17"/>
        <v/>
      </c>
    </row>
    <row r="43" spans="1:37" ht="15" customHeight="1" x14ac:dyDescent="0.2">
      <c r="A43" s="581"/>
      <c r="B43" s="3" t="str">
        <f>Rydberg!B43</f>
        <v>Proton mass</v>
      </c>
      <c r="C43" s="3" t="str">
        <f>Rydberg!C43</f>
        <v>kg</v>
      </c>
      <c r="D43" s="21">
        <f>Rydberg!D43</f>
        <v>1.6726219259579541E-27</v>
      </c>
      <c r="E43" s="8">
        <v>5</v>
      </c>
      <c r="F43" s="21">
        <f>D43/F$8</f>
        <v>4.5465946602238465E-19</v>
      </c>
      <c r="G43" s="37" t="str">
        <f t="shared" ref="G43" si="34">M43&amp;";"&amp;O43&amp;Q43&amp;S43&amp;U43&amp;W43&amp;Y43&amp;AA43&amp;AC43&amp;AE43&amp;AG43&amp;AI43&amp;AK43</f>
        <v>1;01308</v>
      </c>
      <c r="H43" s="275">
        <f t="shared" ref="H43" si="35">K43*POWER(12,I43)/ROUND(K43*POWER(12,I43),0)-1</f>
        <v>8.7125411019388643E-3</v>
      </c>
      <c r="I43" s="278"/>
      <c r="J43" s="38">
        <f t="shared" si="32"/>
        <v>-17</v>
      </c>
      <c r="K43" s="61">
        <f t="shared" ref="K43" si="36">F43/POWER(12,J43)</f>
        <v>1.0087125411019389</v>
      </c>
      <c r="L43" s="39" t="str">
        <f>INDEX(powers!$H$2:$H$75,33+J43)</f>
        <v>unino di-atomic</v>
      </c>
      <c r="M43" s="40" t="str">
        <f t="shared" ref="M43" si="37">IF($E43&gt;=M$31,MID($J$31,IF($E43&gt;M$31,INT(K43),ROUND(K43,0))+1,1),"")</f>
        <v>1</v>
      </c>
      <c r="N43" s="24">
        <f t="shared" ref="N43" si="38">(K43-INT(K43))*12</f>
        <v>0.10455049322326637</v>
      </c>
      <c r="O43" s="41" t="str">
        <f t="shared" ref="O43" si="39">IF($E43&gt;=O$31,MID($J$31,IF($E43&gt;O$31,INT(N43),ROUND(N43,0))+1,1),"")</f>
        <v>0</v>
      </c>
      <c r="P43" s="24">
        <f t="shared" ref="P43" si="40">(N43-INT(N43))*12</f>
        <v>1.2546059186791965</v>
      </c>
      <c r="Q43" s="41" t="str">
        <f t="shared" ref="Q43" si="41">IF($E43&gt;=Q$31,MID($J$31,IF($E43&gt;Q$31,INT(P43),ROUND(P43,0))+1,1),"")</f>
        <v>1</v>
      </c>
      <c r="R43" s="24">
        <f t="shared" ref="R43" si="42">(P43-INT(P43))*12</f>
        <v>3.0552710241503576</v>
      </c>
      <c r="S43" s="41" t="str">
        <f t="shared" ref="S43" si="43">IF($E43&gt;=S$31,MID($J$31,IF($E43&gt;S$31,INT(R43),ROUND(R43,0))+1,1),"")</f>
        <v>3</v>
      </c>
      <c r="T43" s="24">
        <f t="shared" ref="T43" si="44">(R43-INT(R43))*12</f>
        <v>0.66325228980429074</v>
      </c>
      <c r="U43" s="41" t="str">
        <f t="shared" ref="U43" si="45">IF($E43&gt;=U$31,MID($J$31,IF($E43&gt;U$31,INT(T43),ROUND(T43,0))+1,1),"")</f>
        <v>0</v>
      </c>
      <c r="V43" s="24">
        <f t="shared" ref="V43" si="46">(T43-INT(T43))*12</f>
        <v>7.9590274776514889</v>
      </c>
      <c r="W43" s="41" t="str">
        <f t="shared" ref="W43" si="47">IF($E43&gt;=W$31,MID($J$31,IF($E43&gt;W$31,INT(V43),ROUND(V43,0))+1,1),"")</f>
        <v>8</v>
      </c>
      <c r="X43" s="24">
        <f t="shared" ref="X43" si="48">(V43-INT(V43))*12</f>
        <v>11.508329731817867</v>
      </c>
      <c r="Y43" s="41" t="str">
        <f t="shared" ref="Y43" si="49">IF($E43&gt;=Y$31,MID($J$31,IF($E43&gt;Y$31,INT(X43),ROUND(X43,0))+1,1),"")</f>
        <v/>
      </c>
      <c r="Z43" s="24">
        <f t="shared" ref="Z43" si="50">(X43-INT(X43))*12</f>
        <v>6.0999567818143987</v>
      </c>
      <c r="AA43" s="41" t="str">
        <f t="shared" ref="AA43" si="51">IF($E43&gt;=AA$31,MID($J$31,IF($E43&gt;AA$31,INT(Z43),ROUND(Z43,0))+1,1),"")</f>
        <v/>
      </c>
      <c r="AB43" s="24">
        <f t="shared" ref="AB43" si="52">(Z43-INT(Z43))*12</f>
        <v>1.1994813817727845</v>
      </c>
      <c r="AC43" s="41" t="str">
        <f t="shared" ref="AC43" si="53">IF($E43&gt;=AC$31,MID($J$31,IF($E43&gt;AC$31,INT(AB43),ROUND(AB43,0))+1,1),"")</f>
        <v/>
      </c>
      <c r="AD43" s="24">
        <f t="shared" ref="AD43" si="54">(AB43-INT(AB43))*12</f>
        <v>2.3937765812734142</v>
      </c>
      <c r="AE43" s="41" t="str">
        <f t="shared" ref="AE43" si="55">IF($E43&gt;=AE$31,MID($J$31,IF($E43&gt;AE$31,INT(AD43),ROUND(AD43,0))+1,1),"")</f>
        <v/>
      </c>
      <c r="AF43" s="24">
        <f t="shared" ref="AF43" si="56">(AD43-INT(AD43))*12</f>
        <v>4.7253189752809703</v>
      </c>
      <c r="AG43" s="41" t="str">
        <f t="shared" ref="AG43" si="57">IF($E43&gt;=AG$31,MID($J$31,IF($E43&gt;AG$31,INT(AF43),ROUND(AF43,0))+1,1),"")</f>
        <v/>
      </c>
      <c r="AH43" s="24">
        <f t="shared" ref="AH43" si="58">(AF43-INT(AF43))*12</f>
        <v>8.703827703371644</v>
      </c>
      <c r="AI43" s="41" t="str">
        <f t="shared" ref="AI43" si="59">IF($E43&gt;=AI$31,MID($J$31,IF($E43&gt;AI$31,INT(AH43),ROUND(AH43,0))+1,1),"")</f>
        <v/>
      </c>
      <c r="AJ43" s="24">
        <f t="shared" ref="AJ43" si="60">(AH43-INT(AH43))*12</f>
        <v>8.4459324404597282</v>
      </c>
      <c r="AK43" s="41" t="str">
        <f t="shared" ref="AK43" si="61">IF($E43&gt;=AK$31,MID($J$31,IF($E43&gt;AK$31,INT(AJ43),ROUND(AJ43,0))+1,1),"")</f>
        <v/>
      </c>
    </row>
    <row r="44" spans="1:37" ht="15" customHeight="1" x14ac:dyDescent="0.2">
      <c r="A44" s="581"/>
      <c r="B44" s="3" t="str">
        <f>Rydberg!B44</f>
        <v>Newtonian constant of gravitation</v>
      </c>
      <c r="C44" s="3" t="str">
        <f>Rydberg!C44</f>
        <v>(m/s)^4/N</v>
      </c>
      <c r="D44" s="21">
        <f>Rydberg!D44</f>
        <v>6.6742999999999994E-11</v>
      </c>
      <c r="E44" s="8">
        <v>5</v>
      </c>
      <c r="F44" s="21">
        <f>D44/(POWER(F$3/F$4,4)/F$10)</f>
        <v>2.8571428571428577E-2</v>
      </c>
      <c r="G44" s="37" t="str">
        <f t="shared" si="18"/>
        <v>4;1455X</v>
      </c>
      <c r="H44" s="275">
        <f t="shared" si="19"/>
        <v>2.8571428571428914E-2</v>
      </c>
      <c r="I44" s="278"/>
      <c r="J44" s="38">
        <f t="shared" si="32"/>
        <v>-2</v>
      </c>
      <c r="K44" s="61">
        <f t="shared" si="33"/>
        <v>4.1142857142857157</v>
      </c>
      <c r="L44" s="39" t="str">
        <f>INDEX(powers!$H$2:$H$75,33+J44)</f>
        <v>dino</v>
      </c>
      <c r="M44" s="40" t="str">
        <f t="shared" si="5"/>
        <v>4</v>
      </c>
      <c r="N44" s="24">
        <f t="shared" si="20"/>
        <v>1.3714285714285879</v>
      </c>
      <c r="O44" s="41" t="str">
        <f t="shared" si="6"/>
        <v>1</v>
      </c>
      <c r="P44" s="24">
        <f t="shared" si="21"/>
        <v>4.4571428571430545</v>
      </c>
      <c r="Q44" s="41" t="str">
        <f t="shared" si="7"/>
        <v>4</v>
      </c>
      <c r="R44" s="24">
        <f t="shared" si="22"/>
        <v>5.4857142857166536</v>
      </c>
      <c r="S44" s="41" t="str">
        <f t="shared" si="8"/>
        <v>5</v>
      </c>
      <c r="T44" s="24">
        <f t="shared" si="23"/>
        <v>5.8285714285998438</v>
      </c>
      <c r="U44" s="41" t="str">
        <f t="shared" si="9"/>
        <v>5</v>
      </c>
      <c r="V44" s="24">
        <f t="shared" si="24"/>
        <v>9.9428571431981254</v>
      </c>
      <c r="W44" s="41" t="str">
        <f t="shared" si="10"/>
        <v>X</v>
      </c>
      <c r="X44" s="24">
        <f t="shared" si="25"/>
        <v>11.314285718377505</v>
      </c>
      <c r="Y44" s="41" t="str">
        <f t="shared" si="11"/>
        <v/>
      </c>
      <c r="Z44" s="24">
        <f t="shared" si="26"/>
        <v>3.7714286205300596</v>
      </c>
      <c r="AA44" s="41" t="str">
        <f t="shared" si="12"/>
        <v/>
      </c>
      <c r="AB44" s="24">
        <f t="shared" si="27"/>
        <v>9.2571434463607147</v>
      </c>
      <c r="AC44" s="41" t="str">
        <f t="shared" si="13"/>
        <v/>
      </c>
      <c r="AD44" s="24">
        <f t="shared" si="28"/>
        <v>3.0857213563285768</v>
      </c>
      <c r="AE44" s="41" t="str">
        <f t="shared" si="14"/>
        <v/>
      </c>
      <c r="AF44" s="24">
        <f t="shared" si="29"/>
        <v>1.0286562759429216</v>
      </c>
      <c r="AG44" s="41" t="str">
        <f t="shared" si="15"/>
        <v/>
      </c>
      <c r="AH44" s="24">
        <f t="shared" si="30"/>
        <v>0.34387531131505966</v>
      </c>
      <c r="AI44" s="41" t="str">
        <f t="shared" si="16"/>
        <v/>
      </c>
      <c r="AJ44" s="24">
        <f t="shared" si="31"/>
        <v>4.1265037357807159</v>
      </c>
      <c r="AK44" s="41" t="str">
        <f t="shared" si="17"/>
        <v/>
      </c>
    </row>
    <row r="45" spans="1:37" ht="15" customHeight="1" x14ac:dyDescent="0.2">
      <c r="A45" s="581"/>
      <c r="B45" s="3" t="str">
        <f>Rydberg!B45</f>
        <v>Planck force</v>
      </c>
      <c r="C45" s="3" t="str">
        <f>Rydberg!C45</f>
        <v>N</v>
      </c>
      <c r="D45" s="21">
        <f>Rydberg!D45</f>
        <v>1.2102555643382063E+44</v>
      </c>
      <c r="E45" s="8">
        <v>5</v>
      </c>
      <c r="F45" s="21">
        <f>D45/F$10</f>
        <v>34.999999999999993</v>
      </c>
      <c r="G45" s="37" t="str">
        <f t="shared" si="18"/>
        <v>2;E0000</v>
      </c>
      <c r="H45" s="276">
        <f t="shared" si="19"/>
        <v>3.4261482539932331E-13</v>
      </c>
      <c r="I45" s="284">
        <v>1</v>
      </c>
      <c r="J45" s="38">
        <f t="shared" si="32"/>
        <v>1</v>
      </c>
      <c r="K45" s="61">
        <f>F45/POWER(12,J45)+0.000000000001</f>
        <v>2.9166666666676662</v>
      </c>
      <c r="L45" s="39" t="str">
        <f>INDEX(powers!$H$2:$H$75,33+J45)</f>
        <v>dozen</v>
      </c>
      <c r="M45" s="40" t="str">
        <f t="shared" si="5"/>
        <v>2</v>
      </c>
      <c r="N45" s="24">
        <f t="shared" si="20"/>
        <v>11.000000000011994</v>
      </c>
      <c r="O45" s="41" t="str">
        <f t="shared" si="6"/>
        <v>E</v>
      </c>
      <c r="P45" s="24">
        <f t="shared" si="21"/>
        <v>1.4392753655556589E-10</v>
      </c>
      <c r="Q45" s="41" t="str">
        <f t="shared" si="7"/>
        <v>0</v>
      </c>
      <c r="R45" s="24">
        <f t="shared" si="22"/>
        <v>1.7271304386667907E-9</v>
      </c>
      <c r="S45" s="41" t="str">
        <f t="shared" si="8"/>
        <v>0</v>
      </c>
      <c r="T45" s="24">
        <f t="shared" si="23"/>
        <v>2.0725565264001489E-8</v>
      </c>
      <c r="U45" s="41" t="str">
        <f t="shared" si="9"/>
        <v>0</v>
      </c>
      <c r="V45" s="24">
        <f t="shared" si="24"/>
        <v>2.4870678316801786E-7</v>
      </c>
      <c r="W45" s="41" t="str">
        <f t="shared" si="10"/>
        <v>0</v>
      </c>
      <c r="X45" s="24">
        <f t="shared" si="25"/>
        <v>2.9844813980162144E-6</v>
      </c>
      <c r="Y45" s="41" t="str">
        <f t="shared" si="11"/>
        <v/>
      </c>
      <c r="Z45" s="24">
        <f t="shared" si="26"/>
        <v>3.5813776776194572E-5</v>
      </c>
      <c r="AA45" s="41" t="str">
        <f t="shared" si="12"/>
        <v/>
      </c>
      <c r="AB45" s="24">
        <f t="shared" si="27"/>
        <v>4.2976532131433487E-4</v>
      </c>
      <c r="AC45" s="41" t="str">
        <f t="shared" si="13"/>
        <v/>
      </c>
      <c r="AD45" s="24">
        <f t="shared" si="28"/>
        <v>5.1571838557720184E-3</v>
      </c>
      <c r="AE45" s="41" t="str">
        <f t="shared" si="14"/>
        <v/>
      </c>
      <c r="AF45" s="24">
        <f t="shared" si="29"/>
        <v>6.1886206269264221E-2</v>
      </c>
      <c r="AG45" s="41" t="str">
        <f t="shared" si="15"/>
        <v/>
      </c>
      <c r="AH45" s="24">
        <f t="shared" si="30"/>
        <v>0.74263447523117065</v>
      </c>
      <c r="AI45" s="41" t="str">
        <f t="shared" si="16"/>
        <v/>
      </c>
      <c r="AJ45" s="24">
        <f t="shared" si="31"/>
        <v>8.9116137027740479</v>
      </c>
      <c r="AK45" s="41" t="str">
        <f t="shared" si="17"/>
        <v/>
      </c>
    </row>
    <row r="46" spans="1:37" ht="15" customHeight="1" x14ac:dyDescent="0.2">
      <c r="A46" s="581"/>
      <c r="B46" s="3" t="str">
        <f>Rydberg!B46</f>
        <v>Gravitic meter</v>
      </c>
      <c r="C46" s="3" t="str">
        <f>Rydberg!C46</f>
        <v>m</v>
      </c>
      <c r="D46" s="21">
        <f>Rydberg!D46</f>
        <v>9.5618936743262592E-35</v>
      </c>
      <c r="E46" s="8">
        <v>5</v>
      </c>
      <c r="F46" s="21">
        <f>D46/F$3</f>
        <v>1</v>
      </c>
      <c r="G46" s="37" t="str">
        <f t="shared" si="18"/>
        <v>1;00000</v>
      </c>
      <c r="H46" s="275">
        <f t="shared" si="19"/>
        <v>0</v>
      </c>
      <c r="I46" s="278"/>
      <c r="J46" s="38">
        <f t="shared" si="32"/>
        <v>0</v>
      </c>
      <c r="K46" s="61">
        <f t="shared" si="33"/>
        <v>1</v>
      </c>
      <c r="L46" s="39" t="str">
        <f>INDEX(powers!$H$2:$H$75,33+J46)</f>
        <v xml:space="preserve"> </v>
      </c>
      <c r="M46" s="40" t="str">
        <f t="shared" si="5"/>
        <v>1</v>
      </c>
      <c r="N46" s="24">
        <f t="shared" si="20"/>
        <v>0</v>
      </c>
      <c r="O46" s="41" t="str">
        <f t="shared" si="6"/>
        <v>0</v>
      </c>
      <c r="P46" s="24">
        <f t="shared" si="21"/>
        <v>0</v>
      </c>
      <c r="Q46" s="41" t="str">
        <f t="shared" si="7"/>
        <v>0</v>
      </c>
      <c r="R46" s="24">
        <f t="shared" si="22"/>
        <v>0</v>
      </c>
      <c r="S46" s="41" t="str">
        <f t="shared" si="8"/>
        <v>0</v>
      </c>
      <c r="T46" s="24">
        <f t="shared" si="23"/>
        <v>0</v>
      </c>
      <c r="U46" s="41" t="str">
        <f t="shared" si="9"/>
        <v>0</v>
      </c>
      <c r="V46" s="24">
        <f t="shared" si="24"/>
        <v>0</v>
      </c>
      <c r="W46" s="41" t="str">
        <f t="shared" si="10"/>
        <v>0</v>
      </c>
      <c r="X46" s="24">
        <f t="shared" si="25"/>
        <v>0</v>
      </c>
      <c r="Y46" s="41" t="str">
        <f t="shared" si="11"/>
        <v/>
      </c>
      <c r="Z46" s="24">
        <f t="shared" si="26"/>
        <v>0</v>
      </c>
      <c r="AA46" s="41" t="str">
        <f t="shared" si="12"/>
        <v/>
      </c>
      <c r="AB46" s="24">
        <f t="shared" si="27"/>
        <v>0</v>
      </c>
      <c r="AC46" s="41" t="str">
        <f t="shared" si="13"/>
        <v/>
      </c>
      <c r="AD46" s="24">
        <f t="shared" si="28"/>
        <v>0</v>
      </c>
      <c r="AE46" s="41" t="str">
        <f t="shared" si="14"/>
        <v/>
      </c>
      <c r="AF46" s="24">
        <f t="shared" si="29"/>
        <v>0</v>
      </c>
      <c r="AG46" s="41" t="str">
        <f t="shared" si="15"/>
        <v/>
      </c>
      <c r="AH46" s="24">
        <f t="shared" si="30"/>
        <v>0</v>
      </c>
      <c r="AI46" s="41" t="str">
        <f t="shared" si="16"/>
        <v/>
      </c>
      <c r="AJ46" s="24">
        <f t="shared" si="31"/>
        <v>0</v>
      </c>
      <c r="AK46" s="41" t="str">
        <f t="shared" si="17"/>
        <v/>
      </c>
    </row>
    <row r="47" spans="1:37" ht="15" customHeight="1" x14ac:dyDescent="0.2">
      <c r="A47" s="581"/>
      <c r="B47" s="3" t="str">
        <f>Rydberg!B47</f>
        <v>Planck length</v>
      </c>
      <c r="C47" s="3" t="str">
        <f>Rydberg!C47</f>
        <v>m</v>
      </c>
      <c r="D47" s="21">
        <f>Rydberg!D47</f>
        <v>1.6162550244237053E-35</v>
      </c>
      <c r="E47" s="8">
        <v>5</v>
      </c>
      <c r="F47" s="21">
        <f>D47/F$3</f>
        <v>0.1690308509457033</v>
      </c>
      <c r="G47" s="37" t="str">
        <f t="shared" si="18"/>
        <v>2;04103</v>
      </c>
      <c r="H47" s="275">
        <f t="shared" si="19"/>
        <v>1.4185105674219933E-2</v>
      </c>
      <c r="I47" s="278"/>
      <c r="J47" s="38">
        <f t="shared" si="32"/>
        <v>-1</v>
      </c>
      <c r="K47" s="61">
        <f t="shared" si="33"/>
        <v>2.0283702113484399</v>
      </c>
      <c r="L47" s="39" t="str">
        <f>INDEX(powers!$H$2:$H$75,33+J47)</f>
        <v>unino</v>
      </c>
      <c r="M47" s="40" t="str">
        <f t="shared" si="5"/>
        <v>2</v>
      </c>
      <c r="N47" s="24">
        <f t="shared" si="20"/>
        <v>0.3404425361812784</v>
      </c>
      <c r="O47" s="41" t="str">
        <f t="shared" si="6"/>
        <v>0</v>
      </c>
      <c r="P47" s="24">
        <f t="shared" si="21"/>
        <v>4.0853104341753408</v>
      </c>
      <c r="Q47" s="41" t="str">
        <f t="shared" si="7"/>
        <v>4</v>
      </c>
      <c r="R47" s="24">
        <f t="shared" si="22"/>
        <v>1.0237252101040895</v>
      </c>
      <c r="S47" s="41" t="str">
        <f t="shared" si="8"/>
        <v>1</v>
      </c>
      <c r="T47" s="24">
        <f t="shared" si="23"/>
        <v>0.28470252124907347</v>
      </c>
      <c r="U47" s="41" t="str">
        <f t="shared" si="9"/>
        <v>0</v>
      </c>
      <c r="V47" s="24">
        <f t="shared" si="24"/>
        <v>3.4164302549888816</v>
      </c>
      <c r="W47" s="41" t="str">
        <f t="shared" si="10"/>
        <v>3</v>
      </c>
      <c r="X47" s="24">
        <f t="shared" si="25"/>
        <v>4.9971630598665797</v>
      </c>
      <c r="Y47" s="41" t="str">
        <f t="shared" si="11"/>
        <v/>
      </c>
      <c r="Z47" s="24">
        <f t="shared" si="26"/>
        <v>11.965956718398957</v>
      </c>
      <c r="AA47" s="41" t="str">
        <f t="shared" si="12"/>
        <v/>
      </c>
      <c r="AB47" s="24">
        <f t="shared" si="27"/>
        <v>11.591480620787479</v>
      </c>
      <c r="AC47" s="41" t="str">
        <f t="shared" si="13"/>
        <v/>
      </c>
      <c r="AD47" s="24">
        <f t="shared" si="28"/>
        <v>7.0977674494497478</v>
      </c>
      <c r="AE47" s="41" t="str">
        <f t="shared" si="14"/>
        <v/>
      </c>
      <c r="AF47" s="24">
        <f t="shared" si="29"/>
        <v>1.1732093933969736</v>
      </c>
      <c r="AG47" s="41" t="str">
        <f t="shared" si="15"/>
        <v/>
      </c>
      <c r="AH47" s="24">
        <f t="shared" si="30"/>
        <v>2.0785127207636833</v>
      </c>
      <c r="AI47" s="41" t="str">
        <f t="shared" si="16"/>
        <v/>
      </c>
      <c r="AJ47" s="24">
        <f t="shared" si="31"/>
        <v>0.94215264916419983</v>
      </c>
      <c r="AK47" s="41" t="str">
        <f t="shared" si="17"/>
        <v/>
      </c>
    </row>
    <row r="48" spans="1:37" ht="15" customHeight="1" x14ac:dyDescent="0.2">
      <c r="A48" s="581"/>
      <c r="B48" s="3" t="str">
        <f>Rydberg!B48</f>
        <v>Adjusted Planck length</v>
      </c>
      <c r="C48" s="3" t="str">
        <f>Rydberg!C48</f>
        <v>m</v>
      </c>
      <c r="D48" s="21">
        <f>Rydberg!D48</f>
        <v>1.8920265367777891E-34</v>
      </c>
      <c r="E48" s="8">
        <v>5</v>
      </c>
      <c r="F48" s="21">
        <f>D48/F$3</f>
        <v>1.9787153060045957</v>
      </c>
      <c r="G48" s="37" t="str">
        <f t="shared" si="18"/>
        <v>1;E8E28</v>
      </c>
      <c r="H48" s="275">
        <f t="shared" si="19"/>
        <v>-1.0642346997702168E-2</v>
      </c>
      <c r="I48" s="278"/>
      <c r="J48" s="38">
        <f t="shared" si="32"/>
        <v>0</v>
      </c>
      <c r="K48" s="61">
        <f t="shared" si="33"/>
        <v>1.9787153060045957</v>
      </c>
      <c r="L48" s="39" t="str">
        <f>INDEX(powers!$H$2:$H$75,33+J48)</f>
        <v xml:space="preserve"> </v>
      </c>
      <c r="M48" s="40" t="str">
        <f t="shared" si="5"/>
        <v>1</v>
      </c>
      <c r="N48" s="24">
        <f t="shared" si="20"/>
        <v>11.744583672055148</v>
      </c>
      <c r="O48" s="41" t="str">
        <f t="shared" si="6"/>
        <v>E</v>
      </c>
      <c r="P48" s="24">
        <f t="shared" si="21"/>
        <v>8.9350040646617757</v>
      </c>
      <c r="Q48" s="41" t="str">
        <f t="shared" si="7"/>
        <v>8</v>
      </c>
      <c r="R48" s="24">
        <f t="shared" si="22"/>
        <v>11.220048775941308</v>
      </c>
      <c r="S48" s="41" t="str">
        <f t="shared" si="8"/>
        <v>E</v>
      </c>
      <c r="T48" s="24">
        <f t="shared" si="23"/>
        <v>2.6405853112956947</v>
      </c>
      <c r="U48" s="41" t="str">
        <f t="shared" si="9"/>
        <v>2</v>
      </c>
      <c r="V48" s="24">
        <f t="shared" si="24"/>
        <v>7.6870237355483368</v>
      </c>
      <c r="W48" s="41" t="str">
        <f t="shared" si="10"/>
        <v>8</v>
      </c>
      <c r="X48" s="24">
        <f t="shared" si="25"/>
        <v>8.2442848265800421</v>
      </c>
      <c r="Y48" s="41" t="str">
        <f t="shared" si="11"/>
        <v/>
      </c>
      <c r="Z48" s="24">
        <f t="shared" si="26"/>
        <v>2.9314179189605056</v>
      </c>
      <c r="AA48" s="41" t="str">
        <f t="shared" si="12"/>
        <v/>
      </c>
      <c r="AB48" s="24">
        <f t="shared" si="27"/>
        <v>11.177015027526068</v>
      </c>
      <c r="AC48" s="41" t="str">
        <f t="shared" si="13"/>
        <v/>
      </c>
      <c r="AD48" s="24">
        <f t="shared" si="28"/>
        <v>2.1241803303128108</v>
      </c>
      <c r="AE48" s="41" t="str">
        <f t="shared" si="14"/>
        <v/>
      </c>
      <c r="AF48" s="24">
        <f t="shared" si="29"/>
        <v>1.4901639637537301</v>
      </c>
      <c r="AG48" s="41" t="str">
        <f t="shared" si="15"/>
        <v/>
      </c>
      <c r="AH48" s="24">
        <f t="shared" si="30"/>
        <v>5.8819675650447607</v>
      </c>
      <c r="AI48" s="41" t="str">
        <f t="shared" si="16"/>
        <v/>
      </c>
      <c r="AJ48" s="24">
        <f t="shared" si="31"/>
        <v>10.583610780537128</v>
      </c>
      <c r="AK48" s="41" t="str">
        <f t="shared" si="17"/>
        <v/>
      </c>
    </row>
    <row r="49" spans="1:37" ht="15" customHeight="1" x14ac:dyDescent="0.2">
      <c r="A49" s="581"/>
      <c r="B49" s="3" t="str">
        <f>Rydberg!B49</f>
        <v>Stefan-Boltzmann constant</v>
      </c>
      <c r="C49" s="64" t="str">
        <f>Rydberg!C49</f>
        <v>W/m^2/K^4</v>
      </c>
      <c r="D49" s="21">
        <f>Rydberg!D49</f>
        <v>5.6703744191844301E-8</v>
      </c>
      <c r="E49" s="8">
        <v>6</v>
      </c>
      <c r="F49" s="21">
        <f>D49/(F$9*POWER(F$3,-2)*POWER(F$6,-4))</f>
        <v>0.16449340668482268</v>
      </c>
      <c r="G49" s="37" t="str">
        <f t="shared" si="18"/>
        <v>1;E82E28</v>
      </c>
      <c r="H49" s="275">
        <f t="shared" si="19"/>
        <v>-1.3039559891063868E-2</v>
      </c>
      <c r="I49" s="278"/>
      <c r="J49" s="131">
        <f t="shared" si="32"/>
        <v>-1</v>
      </c>
      <c r="K49" s="61">
        <f t="shared" si="33"/>
        <v>1.9739208802178723</v>
      </c>
      <c r="L49" s="134" t="str">
        <f>INDEX(powers!$H$2:$H$75,33+J49)</f>
        <v>unino</v>
      </c>
      <c r="M49" s="40" t="str">
        <f t="shared" si="5"/>
        <v>1</v>
      </c>
      <c r="N49" s="24">
        <f t="shared" si="20"/>
        <v>11.687050562614466</v>
      </c>
      <c r="O49" s="41" t="str">
        <f t="shared" si="6"/>
        <v>E</v>
      </c>
      <c r="P49" s="24">
        <f t="shared" si="21"/>
        <v>8.2446067513735954</v>
      </c>
      <c r="Q49" s="41" t="str">
        <f t="shared" si="7"/>
        <v>8</v>
      </c>
      <c r="R49" s="24">
        <f t="shared" si="22"/>
        <v>2.9352810164831453</v>
      </c>
      <c r="S49" s="41" t="str">
        <f t="shared" si="8"/>
        <v>2</v>
      </c>
      <c r="T49" s="24">
        <f t="shared" si="23"/>
        <v>11.223372197797744</v>
      </c>
      <c r="U49" s="41" t="str">
        <f t="shared" si="9"/>
        <v>E</v>
      </c>
      <c r="V49" s="24">
        <f t="shared" si="24"/>
        <v>2.6804663735729264</v>
      </c>
      <c r="W49" s="41" t="str">
        <f t="shared" si="10"/>
        <v>2</v>
      </c>
      <c r="X49" s="24">
        <f t="shared" si="25"/>
        <v>8.1655964828751166</v>
      </c>
      <c r="Y49" s="41" t="str">
        <f t="shared" si="11"/>
        <v>8</v>
      </c>
      <c r="Z49" s="24">
        <f t="shared" si="26"/>
        <v>1.9871577945013996</v>
      </c>
      <c r="AA49" s="41" t="str">
        <f t="shared" si="12"/>
        <v/>
      </c>
      <c r="AB49" s="24">
        <f t="shared" si="27"/>
        <v>11.845893534016795</v>
      </c>
      <c r="AC49" s="41" t="str">
        <f t="shared" si="13"/>
        <v/>
      </c>
      <c r="AD49" s="24">
        <f t="shared" si="28"/>
        <v>10.150722408201545</v>
      </c>
      <c r="AE49" s="41" t="str">
        <f t="shared" si="14"/>
        <v/>
      </c>
      <c r="AF49" s="24">
        <f t="shared" si="29"/>
        <v>1.8086688984185457</v>
      </c>
      <c r="AG49" s="41" t="str">
        <f t="shared" si="15"/>
        <v/>
      </c>
      <c r="AH49" s="24">
        <f t="shared" si="30"/>
        <v>9.7040267810225487</v>
      </c>
      <c r="AI49" s="41" t="str">
        <f t="shared" si="16"/>
        <v/>
      </c>
      <c r="AJ49" s="24">
        <f t="shared" si="31"/>
        <v>8.4483213722705841</v>
      </c>
      <c r="AK49" s="41" t="str">
        <f t="shared" si="17"/>
        <v/>
      </c>
    </row>
    <row r="50" spans="1:37" ht="15" customHeight="1" x14ac:dyDescent="0.2">
      <c r="A50" s="581"/>
      <c r="B50" s="3" t="str">
        <f>Rydberg!B50</f>
        <v>Black-body radiation at the ice point</v>
      </c>
      <c r="C50" s="3" t="str">
        <f>Rydberg!C50</f>
        <v>W/m^2</v>
      </c>
      <c r="D50" s="21">
        <f>Rydberg!D50</f>
        <v>315.65782231107141</v>
      </c>
      <c r="E50" s="8">
        <v>4</v>
      </c>
      <c r="F50" s="21">
        <f>D50/(F$9*POWER(F$3,-2))</f>
        <v>2.7840346084695667E-117</v>
      </c>
      <c r="G50" s="37" t="str">
        <f t="shared" si="18"/>
        <v>0;EX92</v>
      </c>
      <c r="H50" s="275">
        <f t="shared" si="19"/>
        <v>-8.5993419140060201E-3</v>
      </c>
      <c r="I50" s="278"/>
      <c r="J50" s="38">
        <f>FLOOR(LOG(F50,12),1)+1</f>
        <v>-108</v>
      </c>
      <c r="K50" s="61">
        <f t="shared" si="33"/>
        <v>0.99140065808599398</v>
      </c>
      <c r="L50" s="39"/>
      <c r="M50" s="40" t="str">
        <f t="shared" si="5"/>
        <v>0</v>
      </c>
      <c r="N50" s="24">
        <f t="shared" si="20"/>
        <v>11.896807897031927</v>
      </c>
      <c r="O50" s="41" t="str">
        <f t="shared" si="6"/>
        <v>E</v>
      </c>
      <c r="P50" s="24">
        <f t="shared" si="21"/>
        <v>10.761694764383122</v>
      </c>
      <c r="Q50" s="41" t="str">
        <f t="shared" si="7"/>
        <v>X</v>
      </c>
      <c r="R50" s="24">
        <f t="shared" si="22"/>
        <v>9.1403371725974694</v>
      </c>
      <c r="S50" s="41" t="str">
        <f t="shared" si="8"/>
        <v>9</v>
      </c>
      <c r="T50" s="24">
        <f t="shared" si="23"/>
        <v>1.6840460711696323</v>
      </c>
      <c r="U50" s="41" t="str">
        <f t="shared" si="9"/>
        <v>2</v>
      </c>
      <c r="V50" s="24">
        <f t="shared" si="24"/>
        <v>8.2085528540355881</v>
      </c>
      <c r="W50" s="41" t="str">
        <f t="shared" si="10"/>
        <v/>
      </c>
      <c r="X50" s="24">
        <f t="shared" si="25"/>
        <v>2.5026342484270572</v>
      </c>
      <c r="Y50" s="41" t="str">
        <f t="shared" si="11"/>
        <v/>
      </c>
      <c r="Z50" s="24">
        <f t="shared" si="26"/>
        <v>6.0316109811246861</v>
      </c>
      <c r="AA50" s="41" t="str">
        <f t="shared" si="12"/>
        <v/>
      </c>
      <c r="AB50" s="24">
        <f t="shared" si="27"/>
        <v>0.37933177349623293</v>
      </c>
      <c r="AC50" s="41" t="str">
        <f t="shared" si="13"/>
        <v/>
      </c>
      <c r="AD50" s="24">
        <f t="shared" si="28"/>
        <v>4.5519812819547951</v>
      </c>
      <c r="AE50" s="41" t="str">
        <f t="shared" si="14"/>
        <v/>
      </c>
      <c r="AF50" s="24">
        <f t="shared" si="29"/>
        <v>6.6237753834575415</v>
      </c>
      <c r="AG50" s="41" t="str">
        <f t="shared" si="15"/>
        <v/>
      </c>
      <c r="AH50" s="24">
        <f t="shared" si="30"/>
        <v>7.4853046014904976</v>
      </c>
      <c r="AI50" s="41" t="str">
        <f t="shared" si="16"/>
        <v/>
      </c>
      <c r="AJ50" s="24">
        <f t="shared" si="31"/>
        <v>5.8236552178859711</v>
      </c>
      <c r="AK50" s="41" t="str">
        <f t="shared" si="17"/>
        <v/>
      </c>
    </row>
    <row r="51" spans="1:37" ht="15" customHeight="1" x14ac:dyDescent="0.2">
      <c r="A51" s="581"/>
      <c r="B51" s="3" t="str">
        <f>Rydberg!B51</f>
        <v>Temperature of the triple point of water</v>
      </c>
      <c r="C51" s="3" t="str">
        <f>Rydberg!C51</f>
        <v>K</v>
      </c>
      <c r="D51" s="21">
        <f>Rydberg!D51</f>
        <v>273.16000000000003</v>
      </c>
      <c r="E51" s="8">
        <v>4</v>
      </c>
      <c r="F51" s="21">
        <f>D51/F$6</f>
        <v>1.1406369415442552E-29</v>
      </c>
      <c r="G51" s="37" t="str">
        <f t="shared" si="18"/>
        <v>1;6977</v>
      </c>
      <c r="H51" s="275"/>
      <c r="I51" s="278"/>
      <c r="J51" s="131">
        <f t="shared" si="32"/>
        <v>-27</v>
      </c>
      <c r="K51" s="61">
        <f t="shared" si="33"/>
        <v>1.5668992625440903</v>
      </c>
      <c r="L51" s="134" t="str">
        <f>INDEX(powers!$H$2:$H$75,33+J51)</f>
        <v>terno ter-atomic</v>
      </c>
      <c r="M51" s="40" t="str">
        <f t="shared" si="5"/>
        <v>1</v>
      </c>
      <c r="N51" s="24">
        <f t="shared" si="20"/>
        <v>6.8027911505290835</v>
      </c>
      <c r="O51" s="41" t="str">
        <f t="shared" si="6"/>
        <v>6</v>
      </c>
      <c r="P51" s="24">
        <f t="shared" si="21"/>
        <v>9.6334938063490014</v>
      </c>
      <c r="Q51" s="41" t="str">
        <f t="shared" si="7"/>
        <v>9</v>
      </c>
      <c r="R51" s="24">
        <f t="shared" si="22"/>
        <v>7.6019256761880172</v>
      </c>
      <c r="S51" s="41" t="str">
        <f t="shared" si="8"/>
        <v>7</v>
      </c>
      <c r="T51" s="24">
        <f t="shared" si="23"/>
        <v>7.2231081142562061</v>
      </c>
      <c r="U51" s="41" t="str">
        <f t="shared" si="9"/>
        <v>7</v>
      </c>
      <c r="V51" s="24">
        <f t="shared" si="24"/>
        <v>2.6772973710744736</v>
      </c>
      <c r="W51" s="41" t="str">
        <f t="shared" si="10"/>
        <v/>
      </c>
      <c r="X51" s="24">
        <f t="shared" si="25"/>
        <v>8.1275684528936836</v>
      </c>
      <c r="Y51" s="41" t="str">
        <f t="shared" si="11"/>
        <v/>
      </c>
      <c r="Z51" s="24">
        <f t="shared" si="26"/>
        <v>1.5308214347242028</v>
      </c>
      <c r="AA51" s="41" t="str">
        <f t="shared" si="12"/>
        <v/>
      </c>
      <c r="AB51" s="24">
        <f t="shared" si="27"/>
        <v>6.3698572166904341</v>
      </c>
      <c r="AC51" s="41" t="str">
        <f t="shared" si="13"/>
        <v/>
      </c>
      <c r="AD51" s="24">
        <f t="shared" si="28"/>
        <v>4.4382866002852097</v>
      </c>
      <c r="AE51" s="41" t="str">
        <f t="shared" si="14"/>
        <v/>
      </c>
      <c r="AF51" s="24">
        <f t="shared" si="29"/>
        <v>5.2594392034225166</v>
      </c>
      <c r="AG51" s="41" t="str">
        <f t="shared" si="15"/>
        <v/>
      </c>
      <c r="AH51" s="24">
        <f t="shared" si="30"/>
        <v>3.113270441070199</v>
      </c>
      <c r="AI51" s="41" t="str">
        <f t="shared" si="16"/>
        <v/>
      </c>
      <c r="AJ51" s="24">
        <f t="shared" si="31"/>
        <v>1.3592452928423882</v>
      </c>
      <c r="AK51" s="41" t="str">
        <f t="shared" si="17"/>
        <v/>
      </c>
    </row>
    <row r="52" spans="1:37" ht="15" customHeight="1" x14ac:dyDescent="0.2">
      <c r="A52" s="581"/>
      <c r="B52" s="3" t="str">
        <f>Rydberg!B52</f>
        <v>Molar volume of an ideal gas</v>
      </c>
      <c r="C52" s="3" t="str">
        <f>Rydberg!C52</f>
        <v>m^3/mol</v>
      </c>
      <c r="D52" s="21">
        <f>Rydberg!D52</f>
        <v>2.2413969539999998E-2</v>
      </c>
      <c r="E52" s="8">
        <v>4</v>
      </c>
      <c r="F52" s="21">
        <f>D52/(POWER(F$3,3)/F$7)</f>
        <v>4.2573185253576753E+76</v>
      </c>
      <c r="G52" s="37" t="str">
        <f t="shared" si="18"/>
        <v>1;0252</v>
      </c>
      <c r="H52" s="275">
        <f>K52*POWER(12,I52)/ROUND(K52*POWER(12,I52),0)-1</f>
        <v>1.6875245635076697E-2</v>
      </c>
      <c r="I52" s="278"/>
      <c r="J52" s="38">
        <f t="shared" si="32"/>
        <v>71</v>
      </c>
      <c r="K52" s="61">
        <f t="shared" si="33"/>
        <v>1.0168752456350767</v>
      </c>
      <c r="L52" s="39"/>
      <c r="M52" s="40" t="str">
        <f t="shared" si="5"/>
        <v>1</v>
      </c>
      <c r="N52" s="24">
        <f t="shared" si="20"/>
        <v>0.20250294762092036</v>
      </c>
      <c r="O52" s="41" t="str">
        <f t="shared" si="6"/>
        <v>0</v>
      </c>
      <c r="P52" s="24">
        <f t="shared" si="21"/>
        <v>2.4300353714510443</v>
      </c>
      <c r="Q52" s="41" t="str">
        <f t="shared" si="7"/>
        <v>2</v>
      </c>
      <c r="R52" s="24">
        <f t="shared" si="22"/>
        <v>5.1604244574125318</v>
      </c>
      <c r="S52" s="41" t="str">
        <f t="shared" si="8"/>
        <v>5</v>
      </c>
      <c r="T52" s="24">
        <f t="shared" si="23"/>
        <v>1.925093488950381</v>
      </c>
      <c r="U52" s="41" t="str">
        <f t="shared" si="9"/>
        <v>2</v>
      </c>
      <c r="V52" s="24">
        <f t="shared" si="24"/>
        <v>11.101121867404572</v>
      </c>
      <c r="W52" s="41" t="str">
        <f t="shared" si="10"/>
        <v/>
      </c>
      <c r="X52" s="24">
        <f t="shared" si="25"/>
        <v>1.2134624088548662</v>
      </c>
      <c r="Y52" s="41" t="str">
        <f t="shared" si="11"/>
        <v/>
      </c>
      <c r="Z52" s="24">
        <f t="shared" si="26"/>
        <v>2.5615489062583947</v>
      </c>
      <c r="AA52" s="41" t="str">
        <f t="shared" si="12"/>
        <v/>
      </c>
      <c r="AB52" s="24">
        <f t="shared" si="27"/>
        <v>6.7385868751007365</v>
      </c>
      <c r="AC52" s="41" t="str">
        <f t="shared" si="13"/>
        <v/>
      </c>
      <c r="AD52" s="24">
        <f t="shared" si="28"/>
        <v>8.8630425012088381</v>
      </c>
      <c r="AE52" s="41" t="str">
        <f t="shared" si="14"/>
        <v/>
      </c>
      <c r="AF52" s="24">
        <f t="shared" si="29"/>
        <v>10.356510014506057</v>
      </c>
      <c r="AG52" s="41" t="str">
        <f t="shared" si="15"/>
        <v/>
      </c>
      <c r="AH52" s="24">
        <f t="shared" si="30"/>
        <v>4.2781201740726829</v>
      </c>
      <c r="AI52" s="41" t="str">
        <f t="shared" si="16"/>
        <v/>
      </c>
      <c r="AJ52" s="24">
        <f t="shared" si="31"/>
        <v>3.3374420888721943</v>
      </c>
      <c r="AK52" s="41" t="str">
        <f t="shared" si="17"/>
        <v/>
      </c>
    </row>
    <row r="53" spans="1:37" ht="15" customHeight="1" x14ac:dyDescent="0.2">
      <c r="A53" s="581"/>
      <c r="B53" s="67" t="str">
        <f>Rydberg!B53</f>
        <v>-log(Sqrt([H+][OH-])/(mol/m^3))</v>
      </c>
      <c r="C53" s="3" t="str">
        <f>Rydberg!C53</f>
        <v>log(12)</v>
      </c>
      <c r="D53" s="21">
        <f>Rydberg!D53</f>
        <v>1.0039920318408906E-4</v>
      </c>
      <c r="E53" s="8">
        <v>4</v>
      </c>
      <c r="F53" s="21">
        <f>-LOG(D$53/(F$7*POWER(F$3,-3)))/LOG(12)</f>
        <v>76.240100912095713</v>
      </c>
      <c r="G53" s="37" t="str">
        <f t="shared" si="18"/>
        <v>6;42X7</v>
      </c>
      <c r="H53" s="275"/>
      <c r="I53" s="278"/>
      <c r="J53" s="38">
        <f t="shared" si="32"/>
        <v>1</v>
      </c>
      <c r="K53" s="61">
        <f t="shared" si="33"/>
        <v>6.353341742674643</v>
      </c>
      <c r="L53" s="39" t="str">
        <f>INDEX(powers!$H$2:$H$75,33+J53)</f>
        <v>dozen</v>
      </c>
      <c r="M53" s="40" t="str">
        <f t="shared" si="5"/>
        <v>6</v>
      </c>
      <c r="N53" s="24">
        <f t="shared" si="20"/>
        <v>4.2401009120957163</v>
      </c>
      <c r="O53" s="41" t="str">
        <f t="shared" si="6"/>
        <v>4</v>
      </c>
      <c r="P53" s="24">
        <f t="shared" si="21"/>
        <v>2.8812109451485952</v>
      </c>
      <c r="Q53" s="41" t="str">
        <f t="shared" si="7"/>
        <v>2</v>
      </c>
      <c r="R53" s="24">
        <f t="shared" si="22"/>
        <v>10.574531341783143</v>
      </c>
      <c r="S53" s="41" t="str">
        <f t="shared" si="8"/>
        <v>X</v>
      </c>
      <c r="T53" s="24">
        <f t="shared" si="23"/>
        <v>6.894376101397711</v>
      </c>
      <c r="U53" s="41" t="str">
        <f t="shared" si="9"/>
        <v>7</v>
      </c>
      <c r="V53" s="24">
        <f t="shared" si="24"/>
        <v>10.732513216772531</v>
      </c>
      <c r="W53" s="41" t="str">
        <f t="shared" si="10"/>
        <v/>
      </c>
      <c r="X53" s="24">
        <f t="shared" si="25"/>
        <v>8.7901586012703774</v>
      </c>
      <c r="Y53" s="41" t="str">
        <f t="shared" si="11"/>
        <v/>
      </c>
      <c r="Z53" s="24">
        <f t="shared" si="26"/>
        <v>9.4819032152445288</v>
      </c>
      <c r="AA53" s="41" t="str">
        <f t="shared" si="12"/>
        <v/>
      </c>
      <c r="AB53" s="24">
        <f t="shared" si="27"/>
        <v>5.7828385829343461</v>
      </c>
      <c r="AC53" s="41" t="str">
        <f t="shared" si="13"/>
        <v/>
      </c>
      <c r="AD53" s="24">
        <f t="shared" si="28"/>
        <v>9.3940629952121526</v>
      </c>
      <c r="AE53" s="41" t="str">
        <f t="shared" si="14"/>
        <v/>
      </c>
      <c r="AF53" s="24">
        <f t="shared" si="29"/>
        <v>4.7287559425458312</v>
      </c>
      <c r="AG53" s="41" t="str">
        <f t="shared" si="15"/>
        <v/>
      </c>
      <c r="AH53" s="24">
        <f t="shared" si="30"/>
        <v>8.7450713105499744</v>
      </c>
      <c r="AI53" s="41" t="str">
        <f t="shared" si="16"/>
        <v/>
      </c>
      <c r="AJ53" s="24">
        <f t="shared" si="31"/>
        <v>8.9408557265996933</v>
      </c>
      <c r="AK53" s="41" t="str">
        <f t="shared" si="17"/>
        <v/>
      </c>
    </row>
    <row r="54" spans="1:37" ht="15" customHeight="1" x14ac:dyDescent="0.2">
      <c r="A54" s="581"/>
      <c r="B54" s="3" t="str">
        <f>Rydberg!B54</f>
        <v>Maximum density of water</v>
      </c>
      <c r="C54" s="3" t="str">
        <f>Rydberg!C54</f>
        <v>kg/m^3</v>
      </c>
      <c r="D54" s="21">
        <f>Rydberg!D54</f>
        <v>999.97199999999998</v>
      </c>
      <c r="E54" s="8">
        <v>4</v>
      </c>
      <c r="F54" s="21">
        <f>D54/(F$8*POWER(F$3,-3))</f>
        <v>2.3763369558366158E-91</v>
      </c>
      <c r="G54" s="37" t="str">
        <f t="shared" si="18"/>
        <v>1;0935</v>
      </c>
      <c r="H54" s="294">
        <f t="shared" ref="H54:H63" si="62">K54*POWER(12,I54)/ROUND(K54*POWER(12,I54),0)-1</f>
        <v>6.4468195618150981E-2</v>
      </c>
      <c r="I54" s="295"/>
      <c r="J54" s="38">
        <f t="shared" si="32"/>
        <v>-84</v>
      </c>
      <c r="K54" s="61">
        <f t="shared" si="33"/>
        <v>1.064468195618151</v>
      </c>
      <c r="L54" s="39"/>
      <c r="M54" s="40" t="str">
        <f t="shared" si="5"/>
        <v>1</v>
      </c>
      <c r="N54" s="24">
        <f t="shared" si="20"/>
        <v>0.77361834741781177</v>
      </c>
      <c r="O54" s="41" t="str">
        <f t="shared" si="6"/>
        <v>0</v>
      </c>
      <c r="P54" s="24">
        <f t="shared" si="21"/>
        <v>9.2834201690137412</v>
      </c>
      <c r="Q54" s="41" t="str">
        <f t="shared" si="7"/>
        <v>9</v>
      </c>
      <c r="R54" s="24">
        <f t="shared" si="22"/>
        <v>3.4010420281648948</v>
      </c>
      <c r="S54" s="41" t="str">
        <f t="shared" si="8"/>
        <v>3</v>
      </c>
      <c r="T54" s="24">
        <f t="shared" si="23"/>
        <v>4.8125043379787371</v>
      </c>
      <c r="U54" s="41" t="str">
        <f t="shared" si="9"/>
        <v>5</v>
      </c>
      <c r="V54" s="24">
        <f t="shared" si="24"/>
        <v>9.7500520557448453</v>
      </c>
      <c r="W54" s="41" t="str">
        <f t="shared" si="10"/>
        <v/>
      </c>
      <c r="X54" s="24">
        <f t="shared" si="25"/>
        <v>9.0006246689381442</v>
      </c>
      <c r="Y54" s="41" t="str">
        <f t="shared" si="11"/>
        <v/>
      </c>
      <c r="Z54" s="24">
        <f t="shared" si="26"/>
        <v>7.4960272577300202E-3</v>
      </c>
      <c r="AA54" s="41" t="str">
        <f t="shared" si="12"/>
        <v/>
      </c>
      <c r="AB54" s="24">
        <f t="shared" si="27"/>
        <v>8.9952327092760243E-2</v>
      </c>
      <c r="AC54" s="41" t="str">
        <f t="shared" si="13"/>
        <v/>
      </c>
      <c r="AD54" s="24">
        <f t="shared" si="28"/>
        <v>1.0794279251131229</v>
      </c>
      <c r="AE54" s="41" t="str">
        <f t="shared" si="14"/>
        <v/>
      </c>
      <c r="AF54" s="24">
        <f t="shared" si="29"/>
        <v>0.95313510135747492</v>
      </c>
      <c r="AG54" s="41" t="str">
        <f t="shared" si="15"/>
        <v/>
      </c>
      <c r="AH54" s="24">
        <f t="shared" si="30"/>
        <v>11.437621216289699</v>
      </c>
      <c r="AI54" s="41" t="str">
        <f t="shared" si="16"/>
        <v/>
      </c>
      <c r="AJ54" s="24">
        <f t="shared" si="31"/>
        <v>5.2514545954763889</v>
      </c>
      <c r="AK54" s="41" t="str">
        <f t="shared" si="17"/>
        <v/>
      </c>
    </row>
    <row r="55" spans="1:37" ht="15" customHeight="1" x14ac:dyDescent="0.2">
      <c r="A55" s="581"/>
      <c r="B55" s="3" t="str">
        <f>Rydberg!B55</f>
        <v>Density of ice at the ice point</v>
      </c>
      <c r="C55" s="3" t="str">
        <f>Rydberg!C55</f>
        <v>kg/m^3</v>
      </c>
      <c r="D55" s="21">
        <f>Rydberg!D55</f>
        <v>916.8</v>
      </c>
      <c r="E55" s="8">
        <v>4</v>
      </c>
      <c r="F55" s="21">
        <f>D55/(F$8*POWER(F$3,-3))</f>
        <v>2.178686724339291E-91</v>
      </c>
      <c r="G55" s="37" t="str">
        <f t="shared" si="18"/>
        <v>0;E865</v>
      </c>
      <c r="H55" s="275">
        <f t="shared" si="62"/>
        <v>-2.4068232167779979E-2</v>
      </c>
      <c r="I55" s="278"/>
      <c r="J55" s="38">
        <f>FLOOR(LOG(F55,12),1)+1</f>
        <v>-84</v>
      </c>
      <c r="K55" s="61">
        <f t="shared" si="33"/>
        <v>0.97593176783222002</v>
      </c>
      <c r="L55" s="39"/>
      <c r="M55" s="40" t="str">
        <f t="shared" si="5"/>
        <v>0</v>
      </c>
      <c r="N55" s="24">
        <f t="shared" si="20"/>
        <v>11.71118121398664</v>
      </c>
      <c r="O55" s="41" t="str">
        <f t="shared" si="6"/>
        <v>E</v>
      </c>
      <c r="P55" s="24">
        <f t="shared" si="21"/>
        <v>8.5341745678396776</v>
      </c>
      <c r="Q55" s="41" t="str">
        <f t="shared" si="7"/>
        <v>8</v>
      </c>
      <c r="R55" s="24">
        <f t="shared" si="22"/>
        <v>6.4100948140761318</v>
      </c>
      <c r="S55" s="41" t="str">
        <f t="shared" si="8"/>
        <v>6</v>
      </c>
      <c r="T55" s="24">
        <f t="shared" si="23"/>
        <v>4.9211377689135816</v>
      </c>
      <c r="U55" s="41" t="str">
        <f t="shared" si="9"/>
        <v>5</v>
      </c>
      <c r="V55" s="24">
        <f t="shared" si="24"/>
        <v>11.053653226962979</v>
      </c>
      <c r="W55" s="41" t="str">
        <f t="shared" si="10"/>
        <v/>
      </c>
      <c r="X55" s="24">
        <f t="shared" si="25"/>
        <v>0.64383872355574567</v>
      </c>
      <c r="Y55" s="41" t="str">
        <f t="shared" si="11"/>
        <v/>
      </c>
      <c r="Z55" s="24">
        <f t="shared" si="26"/>
        <v>7.7260646826689481</v>
      </c>
      <c r="AA55" s="41" t="str">
        <f t="shared" si="12"/>
        <v/>
      </c>
      <c r="AB55" s="24">
        <f t="shared" si="27"/>
        <v>8.712776192027377</v>
      </c>
      <c r="AC55" s="41" t="str">
        <f t="shared" si="13"/>
        <v/>
      </c>
      <c r="AD55" s="24">
        <f t="shared" si="28"/>
        <v>8.5533143043285236</v>
      </c>
      <c r="AE55" s="41" t="str">
        <f t="shared" si="14"/>
        <v/>
      </c>
      <c r="AF55" s="24">
        <f t="shared" si="29"/>
        <v>6.6397716519422829</v>
      </c>
      <c r="AG55" s="41" t="str">
        <f t="shared" si="15"/>
        <v/>
      </c>
      <c r="AH55" s="24">
        <f t="shared" si="30"/>
        <v>7.677259823307395</v>
      </c>
      <c r="AI55" s="41" t="str">
        <f t="shared" si="16"/>
        <v/>
      </c>
      <c r="AJ55" s="24">
        <f t="shared" si="31"/>
        <v>8.1271178796887398</v>
      </c>
      <c r="AK55" s="41" t="str">
        <f t="shared" si="17"/>
        <v/>
      </c>
    </row>
    <row r="56" spans="1:37" ht="15" customHeight="1" x14ac:dyDescent="0.2">
      <c r="A56" s="581"/>
      <c r="B56" s="3" t="str">
        <f>Rydberg!B56</f>
        <v>Specific heat of water</v>
      </c>
      <c r="C56" s="3" t="str">
        <f>Rydberg!C56</f>
        <v>J/kg/K</v>
      </c>
      <c r="D56" s="21">
        <f>Rydberg!D56</f>
        <v>4184</v>
      </c>
      <c r="E56" s="8">
        <v>4</v>
      </c>
      <c r="F56" s="21">
        <f>D56/(F$5/F$8/F$6)</f>
        <v>1.1148589923434661E+18</v>
      </c>
      <c r="G56" s="37" t="str">
        <f t="shared" si="18"/>
        <v>6;043E</v>
      </c>
      <c r="H56" s="294">
        <f t="shared" si="62"/>
        <v>5.0062302098601297E-3</v>
      </c>
      <c r="I56" s="295"/>
      <c r="J56" s="131">
        <f t="shared" si="32"/>
        <v>16</v>
      </c>
      <c r="K56" s="61">
        <f t="shared" si="33"/>
        <v>6.0300373812591612</v>
      </c>
      <c r="L56" s="134" t="str">
        <f>INDEX(powers!$H$2:$H$75,33+J56)</f>
        <v>di-cosmic</v>
      </c>
      <c r="M56" s="40" t="str">
        <f t="shared" si="5"/>
        <v>6</v>
      </c>
      <c r="N56" s="24">
        <f t="shared" si="20"/>
        <v>0.36044857510993467</v>
      </c>
      <c r="O56" s="41" t="str">
        <f t="shared" si="6"/>
        <v>0</v>
      </c>
      <c r="P56" s="24">
        <f t="shared" si="21"/>
        <v>4.325382901319216</v>
      </c>
      <c r="Q56" s="41" t="str">
        <f t="shared" si="7"/>
        <v>4</v>
      </c>
      <c r="R56" s="24">
        <f t="shared" si="22"/>
        <v>3.9045948158305919</v>
      </c>
      <c r="S56" s="41" t="str">
        <f t="shared" si="8"/>
        <v>3</v>
      </c>
      <c r="T56" s="24">
        <f t="shared" si="23"/>
        <v>10.855137789967102</v>
      </c>
      <c r="U56" s="41" t="str">
        <f t="shared" si="9"/>
        <v>E</v>
      </c>
      <c r="V56" s="24">
        <f t="shared" si="24"/>
        <v>10.261653479605229</v>
      </c>
      <c r="W56" s="41" t="str">
        <f t="shared" si="10"/>
        <v/>
      </c>
      <c r="X56" s="24">
        <f t="shared" si="25"/>
        <v>3.1398417552627507</v>
      </c>
      <c r="Y56" s="41" t="str">
        <f t="shared" si="11"/>
        <v/>
      </c>
      <c r="Z56" s="24">
        <f t="shared" si="26"/>
        <v>1.678101063153008</v>
      </c>
      <c r="AA56" s="41" t="str">
        <f t="shared" si="12"/>
        <v/>
      </c>
      <c r="AB56" s="24">
        <f t="shared" si="27"/>
        <v>8.137212757836096</v>
      </c>
      <c r="AC56" s="41" t="str">
        <f t="shared" si="13"/>
        <v/>
      </c>
      <c r="AD56" s="24">
        <f t="shared" si="28"/>
        <v>1.6465530940331519</v>
      </c>
      <c r="AE56" s="41" t="str">
        <f t="shared" si="14"/>
        <v/>
      </c>
      <c r="AF56" s="24">
        <f t="shared" si="29"/>
        <v>7.7586371283978224</v>
      </c>
      <c r="AG56" s="41" t="str">
        <f t="shared" si="15"/>
        <v/>
      </c>
      <c r="AH56" s="24">
        <f t="shared" si="30"/>
        <v>9.1036455407738686</v>
      </c>
      <c r="AI56" s="41" t="str">
        <f t="shared" si="16"/>
        <v/>
      </c>
      <c r="AJ56" s="24">
        <f t="shared" si="31"/>
        <v>1.2437464892864227</v>
      </c>
      <c r="AK56" s="41" t="str">
        <f t="shared" si="17"/>
        <v/>
      </c>
    </row>
    <row r="57" spans="1:37" ht="15" customHeight="1" x14ac:dyDescent="0.2">
      <c r="A57" s="581"/>
      <c r="B57" s="3" t="str">
        <f>Rydberg!B57</f>
        <v>Surface tension of water at 25℃</v>
      </c>
      <c r="C57" s="3" t="str">
        <f>Rydberg!C57</f>
        <v>N/m</v>
      </c>
      <c r="D57" s="21">
        <f>Rydberg!D57</f>
        <v>7.1970000000000006E-2</v>
      </c>
      <c r="E57" s="8">
        <v>4</v>
      </c>
      <c r="F57" s="21">
        <f>D$57/(F$10/F$3)</f>
        <v>1.9901525579115872E-78</v>
      </c>
      <c r="G57" s="37" t="str">
        <f t="shared" si="18"/>
        <v>0;EEE9</v>
      </c>
      <c r="H57" s="275">
        <f t="shared" si="62"/>
        <v>-1.4715990533098466E-4</v>
      </c>
      <c r="I57" s="278"/>
      <c r="J57" s="38">
        <f>FLOOR(LOG(F57,12),1)+1</f>
        <v>-72</v>
      </c>
      <c r="K57" s="61">
        <f t="shared" si="33"/>
        <v>0.99985284009466902</v>
      </c>
      <c r="L57" s="39"/>
      <c r="M57" s="40" t="str">
        <f t="shared" si="5"/>
        <v>0</v>
      </c>
      <c r="N57" s="24">
        <f t="shared" si="20"/>
        <v>11.998234081136028</v>
      </c>
      <c r="O57" s="41" t="str">
        <f t="shared" si="6"/>
        <v>E</v>
      </c>
      <c r="P57" s="24">
        <f t="shared" si="21"/>
        <v>11.978808973632333</v>
      </c>
      <c r="Q57" s="41" t="str">
        <f t="shared" si="7"/>
        <v>E</v>
      </c>
      <c r="R57" s="24">
        <f t="shared" si="22"/>
        <v>11.745707683587995</v>
      </c>
      <c r="S57" s="41" t="str">
        <f t="shared" si="8"/>
        <v>E</v>
      </c>
      <c r="T57" s="24">
        <f t="shared" si="23"/>
        <v>8.9484922030559346</v>
      </c>
      <c r="U57" s="41" t="str">
        <f t="shared" si="9"/>
        <v>9</v>
      </c>
      <c r="V57" s="24">
        <f t="shared" si="24"/>
        <v>11.381906436671215</v>
      </c>
      <c r="W57" s="41" t="str">
        <f t="shared" si="10"/>
        <v/>
      </c>
      <c r="X57" s="24">
        <f t="shared" si="25"/>
        <v>4.5828772400545859</v>
      </c>
      <c r="Y57" s="41" t="str">
        <f t="shared" si="11"/>
        <v/>
      </c>
      <c r="Z57" s="24">
        <f t="shared" si="26"/>
        <v>6.9945268806550303</v>
      </c>
      <c r="AA57" s="41" t="str">
        <f t="shared" si="12"/>
        <v/>
      </c>
      <c r="AB57" s="24">
        <f t="shared" si="27"/>
        <v>11.934322567860363</v>
      </c>
      <c r="AC57" s="41" t="str">
        <f t="shared" si="13"/>
        <v/>
      </c>
      <c r="AD57" s="24">
        <f t="shared" si="28"/>
        <v>11.211870814324357</v>
      </c>
      <c r="AE57" s="41" t="str">
        <f t="shared" si="14"/>
        <v/>
      </c>
      <c r="AF57" s="24">
        <f t="shared" si="29"/>
        <v>2.5424497718922794</v>
      </c>
      <c r="AG57" s="41" t="str">
        <f t="shared" si="15"/>
        <v/>
      </c>
      <c r="AH57" s="24">
        <f t="shared" si="30"/>
        <v>6.5093972627073526</v>
      </c>
      <c r="AI57" s="41" t="str">
        <f t="shared" si="16"/>
        <v/>
      </c>
      <c r="AJ57" s="24">
        <f t="shared" si="31"/>
        <v>6.1127671524882317</v>
      </c>
      <c r="AK57" s="41" t="str">
        <f t="shared" si="17"/>
        <v/>
      </c>
    </row>
    <row r="58" spans="1:37" ht="15" customHeight="1" x14ac:dyDescent="0.2">
      <c r="A58" s="581"/>
      <c r="B58" s="5" t="str">
        <f>Rydberg!B58</f>
        <v>photon energy at 540THz</v>
      </c>
      <c r="C58" s="3" t="str">
        <f>Rydberg!C58</f>
        <v>J</v>
      </c>
      <c r="D58" s="21">
        <f>Rydberg!D36*540000000000000*(2*PI())</f>
        <v>3.5780778809999999E-19</v>
      </c>
      <c r="E58" s="8">
        <v>4</v>
      </c>
      <c r="F58" s="21">
        <f>D58/F$5</f>
        <v>1.0821733519194699E-27</v>
      </c>
      <c r="G58" s="37" t="str">
        <f t="shared" si="18"/>
        <v>1;047E</v>
      </c>
      <c r="H58" s="275">
        <f t="shared" si="62"/>
        <v>3.2352435261480794E-2</v>
      </c>
      <c r="I58" s="278"/>
      <c r="J58" s="38">
        <f t="shared" si="32"/>
        <v>-25</v>
      </c>
      <c r="K58" s="61">
        <f t="shared" si="33"/>
        <v>1.0323524352614808</v>
      </c>
      <c r="L58" s="39" t="str">
        <f>INDEX(powers!$H$2:$H$75,33+J58)</f>
        <v>unino ter-atomic</v>
      </c>
      <c r="M58" s="40" t="str">
        <f t="shared" si="5"/>
        <v>1</v>
      </c>
      <c r="N58" s="24">
        <f t="shared" si="20"/>
        <v>0.38822922313776953</v>
      </c>
      <c r="O58" s="41" t="str">
        <f t="shared" si="6"/>
        <v>0</v>
      </c>
      <c r="P58" s="24">
        <f t="shared" si="21"/>
        <v>4.6587506776532344</v>
      </c>
      <c r="Q58" s="41" t="str">
        <f t="shared" si="7"/>
        <v>4</v>
      </c>
      <c r="R58" s="24">
        <f t="shared" si="22"/>
        <v>7.9050081318388123</v>
      </c>
      <c r="S58" s="41" t="str">
        <f t="shared" si="8"/>
        <v>7</v>
      </c>
      <c r="T58" s="24">
        <f t="shared" si="23"/>
        <v>10.860097582065748</v>
      </c>
      <c r="U58" s="41" t="str">
        <f t="shared" si="9"/>
        <v>E</v>
      </c>
      <c r="V58" s="24">
        <f t="shared" si="24"/>
        <v>10.321170984788978</v>
      </c>
      <c r="W58" s="41" t="str">
        <f t="shared" si="10"/>
        <v/>
      </c>
      <c r="X58" s="24">
        <f t="shared" si="25"/>
        <v>3.8540518174677345</v>
      </c>
      <c r="Y58" s="41" t="str">
        <f t="shared" si="11"/>
        <v/>
      </c>
      <c r="Z58" s="24">
        <f t="shared" si="26"/>
        <v>10.248621809612814</v>
      </c>
      <c r="AA58" s="41" t="str">
        <f t="shared" si="12"/>
        <v/>
      </c>
      <c r="AB58" s="24">
        <f t="shared" si="27"/>
        <v>2.9834617153537693</v>
      </c>
      <c r="AC58" s="41" t="str">
        <f t="shared" si="13"/>
        <v/>
      </c>
      <c r="AD58" s="24">
        <f t="shared" si="28"/>
        <v>11.801540584245231</v>
      </c>
      <c r="AE58" s="41" t="str">
        <f t="shared" si="14"/>
        <v/>
      </c>
      <c r="AF58" s="24">
        <f t="shared" si="29"/>
        <v>9.618487010942772</v>
      </c>
      <c r="AG58" s="41" t="str">
        <f t="shared" si="15"/>
        <v/>
      </c>
      <c r="AH58" s="24">
        <f t="shared" si="30"/>
        <v>7.4218441313132644</v>
      </c>
      <c r="AI58" s="41" t="str">
        <f t="shared" si="16"/>
        <v/>
      </c>
      <c r="AJ58" s="24">
        <f t="shared" si="31"/>
        <v>5.0621295757591724</v>
      </c>
      <c r="AK58" s="41" t="str">
        <f t="shared" si="17"/>
        <v/>
      </c>
    </row>
    <row r="59" spans="1:37" ht="15" customHeight="1" x14ac:dyDescent="0.2">
      <c r="A59" s="581"/>
      <c r="B59" s="224" t="str">
        <f>Rydberg!B59</f>
        <v>(according to the definition of candela)</v>
      </c>
      <c r="C59" s="3" t="str">
        <f>Rydberg!C59</f>
        <v>eΩA</v>
      </c>
      <c r="D59" s="21">
        <f>D58/D41</f>
        <v>2.2332605563388839</v>
      </c>
      <c r="E59" s="8">
        <v>4</v>
      </c>
      <c r="F59" s="21">
        <f>D59/F$17</f>
        <v>1.266817840270281E-26</v>
      </c>
      <c r="G59" s="37" t="str">
        <f t="shared" si="18"/>
        <v>1;0103</v>
      </c>
      <c r="H59" s="275">
        <f t="shared" si="62"/>
        <v>7.0802428249612248E-3</v>
      </c>
      <c r="I59" s="278"/>
      <c r="J59" s="38">
        <f t="shared" si="32"/>
        <v>-24</v>
      </c>
      <c r="K59" s="61">
        <f t="shared" si="33"/>
        <v>1.0070802428249612</v>
      </c>
      <c r="L59" s="254">
        <f>540/K59</f>
        <v>536.20354867179776</v>
      </c>
      <c r="M59" s="40" t="str">
        <f t="shared" si="5"/>
        <v>1</v>
      </c>
      <c r="N59" s="24">
        <f t="shared" si="20"/>
        <v>8.4962913899534698E-2</v>
      </c>
      <c r="O59" s="41" t="str">
        <f t="shared" si="6"/>
        <v>0</v>
      </c>
      <c r="P59" s="24">
        <f t="shared" si="21"/>
        <v>1.0195549667944164</v>
      </c>
      <c r="Q59" s="41" t="str">
        <f t="shared" si="7"/>
        <v>1</v>
      </c>
      <c r="R59" s="24">
        <f t="shared" si="22"/>
        <v>0.23465960153299648</v>
      </c>
      <c r="S59" s="41" t="str">
        <f t="shared" si="8"/>
        <v>0</v>
      </c>
      <c r="T59" s="24">
        <f t="shared" si="23"/>
        <v>2.8159152183959577</v>
      </c>
      <c r="U59" s="41" t="str">
        <f t="shared" si="9"/>
        <v>3</v>
      </c>
      <c r="V59" s="24">
        <f t="shared" si="24"/>
        <v>9.7909826207514925</v>
      </c>
      <c r="W59" s="41" t="str">
        <f t="shared" si="10"/>
        <v/>
      </c>
      <c r="X59" s="24">
        <f t="shared" si="25"/>
        <v>9.4917914490179101</v>
      </c>
      <c r="Y59" s="41" t="str">
        <f t="shared" si="11"/>
        <v/>
      </c>
      <c r="Z59" s="24">
        <f t="shared" si="26"/>
        <v>5.9014973882149206</v>
      </c>
      <c r="AA59" s="41" t="str">
        <f t="shared" si="12"/>
        <v/>
      </c>
      <c r="AB59" s="24">
        <f t="shared" si="27"/>
        <v>10.817968658579048</v>
      </c>
      <c r="AC59" s="41" t="str">
        <f t="shared" si="13"/>
        <v/>
      </c>
      <c r="AD59" s="24">
        <f t="shared" si="28"/>
        <v>9.8156239029485732</v>
      </c>
      <c r="AE59" s="41" t="str">
        <f t="shared" si="14"/>
        <v/>
      </c>
      <c r="AF59" s="24">
        <f t="shared" si="29"/>
        <v>9.7874868353828788</v>
      </c>
      <c r="AG59" s="41" t="str">
        <f t="shared" si="15"/>
        <v/>
      </c>
      <c r="AH59" s="24">
        <f t="shared" si="30"/>
        <v>9.4498420245945454</v>
      </c>
      <c r="AI59" s="41" t="str">
        <f t="shared" si="16"/>
        <v/>
      </c>
      <c r="AJ59" s="24">
        <f t="shared" si="31"/>
        <v>5.3981042951345444</v>
      </c>
      <c r="AK59" s="41" t="str">
        <f t="shared" si="17"/>
        <v/>
      </c>
    </row>
    <row r="60" spans="1:37" ht="15" customHeight="1" x14ac:dyDescent="0.2">
      <c r="A60" s="581"/>
      <c r="B60" s="267">
        <f>Rydberg!B60</f>
        <v>1.024</v>
      </c>
      <c r="C60" s="3" t="str">
        <f>Rydberg!C60</f>
        <v>P/m</v>
      </c>
      <c r="D60" s="21">
        <f>D54*D63*B60</f>
        <v>10041.728423731198</v>
      </c>
      <c r="E60" s="8">
        <v>4</v>
      </c>
      <c r="F60" s="21">
        <f>D60/(F11/F3)</f>
        <v>2.5388156019337013E-141</v>
      </c>
      <c r="G60" s="37" t="str">
        <f t="shared" si="18"/>
        <v>5;EX56</v>
      </c>
      <c r="H60" s="275">
        <f t="shared" si="62"/>
        <v>-1.7871864092767753E-3</v>
      </c>
      <c r="I60" s="278"/>
      <c r="J60" s="38">
        <f t="shared" si="32"/>
        <v>-131</v>
      </c>
      <c r="K60" s="61">
        <f t="shared" si="33"/>
        <v>5.9892768815443391</v>
      </c>
      <c r="L60" s="39"/>
      <c r="M60" s="40" t="str">
        <f t="shared" si="5"/>
        <v>5</v>
      </c>
      <c r="N60" s="24">
        <f t="shared" si="20"/>
        <v>11.87132257853207</v>
      </c>
      <c r="O60" s="41" t="str">
        <f t="shared" si="6"/>
        <v>E</v>
      </c>
      <c r="P60" s="24">
        <f t="shared" si="21"/>
        <v>10.455870942384834</v>
      </c>
      <c r="Q60" s="41" t="str">
        <f t="shared" si="7"/>
        <v>X</v>
      </c>
      <c r="R60" s="24">
        <f t="shared" si="22"/>
        <v>5.47045130861801</v>
      </c>
      <c r="S60" s="41" t="str">
        <f t="shared" si="8"/>
        <v>5</v>
      </c>
      <c r="T60" s="24">
        <f t="shared" si="23"/>
        <v>5.6454157034161199</v>
      </c>
      <c r="U60" s="41" t="str">
        <f t="shared" si="9"/>
        <v>6</v>
      </c>
      <c r="V60" s="24">
        <f t="shared" si="24"/>
        <v>7.7449884409934384</v>
      </c>
      <c r="W60" s="41" t="str">
        <f t="shared" si="10"/>
        <v/>
      </c>
      <c r="X60" s="24">
        <f t="shared" si="25"/>
        <v>8.939861291921261</v>
      </c>
      <c r="Y60" s="41" t="str">
        <f t="shared" si="11"/>
        <v/>
      </c>
      <c r="Z60" s="24">
        <f t="shared" si="26"/>
        <v>11.278335503055132</v>
      </c>
      <c r="AA60" s="41" t="str">
        <f t="shared" si="12"/>
        <v/>
      </c>
      <c r="AB60" s="24">
        <f t="shared" si="27"/>
        <v>3.3400260366615839</v>
      </c>
      <c r="AC60" s="41" t="str">
        <f t="shared" si="13"/>
        <v/>
      </c>
      <c r="AD60" s="24">
        <f t="shared" si="28"/>
        <v>4.0803124399390072</v>
      </c>
      <c r="AE60" s="41" t="str">
        <f t="shared" si="14"/>
        <v/>
      </c>
      <c r="AF60" s="24">
        <f t="shared" si="29"/>
        <v>0.96374927926808596</v>
      </c>
      <c r="AG60" s="41" t="str">
        <f t="shared" si="15"/>
        <v/>
      </c>
      <c r="AH60" s="24">
        <f t="shared" si="30"/>
        <v>11.564991351217031</v>
      </c>
      <c r="AI60" s="41" t="str">
        <f t="shared" si="16"/>
        <v/>
      </c>
      <c r="AJ60" s="24">
        <f t="shared" si="31"/>
        <v>6.7798962146043777</v>
      </c>
      <c r="AK60" s="41" t="str">
        <f t="shared" si="17"/>
        <v/>
      </c>
    </row>
    <row r="61" spans="1:37" ht="15" customHeight="1" x14ac:dyDescent="0.2">
      <c r="A61" s="581"/>
      <c r="B61" s="3" t="str">
        <f>Rydberg!B61</f>
        <v>Sea depth at standard atmosphere</v>
      </c>
      <c r="C61" s="3" t="str">
        <f>Rydberg!C61</f>
        <v>m</v>
      </c>
      <c r="D61" s="21">
        <f>D62/D60</f>
        <v>10.090394374791382</v>
      </c>
      <c r="E61" s="8">
        <v>4</v>
      </c>
      <c r="F61" s="21">
        <f>D61/F$3</f>
        <v>1.055271551688987E+35</v>
      </c>
      <c r="G61" s="37" t="str">
        <f t="shared" si="18"/>
        <v>3;1068</v>
      </c>
      <c r="H61" s="276">
        <f t="shared" si="62"/>
        <v>1.2531119823779857E-3</v>
      </c>
      <c r="I61" s="284">
        <v>1</v>
      </c>
      <c r="J61" s="38">
        <f t="shared" si="32"/>
        <v>32</v>
      </c>
      <c r="K61" s="61">
        <f t="shared" si="33"/>
        <v>3.0871970952789987</v>
      </c>
      <c r="L61" s="39" t="str">
        <f>INDEX(powers!$H$2:$H$75,33+J61)</f>
        <v>tetra-cosmic</v>
      </c>
      <c r="M61" s="40" t="str">
        <f t="shared" si="5"/>
        <v>3</v>
      </c>
      <c r="N61" s="24">
        <f t="shared" si="20"/>
        <v>1.0463651433479839</v>
      </c>
      <c r="O61" s="41" t="str">
        <f t="shared" si="6"/>
        <v>1</v>
      </c>
      <c r="P61" s="24">
        <f t="shared" si="21"/>
        <v>0.556381720175807</v>
      </c>
      <c r="Q61" s="41" t="str">
        <f t="shared" si="7"/>
        <v>0</v>
      </c>
      <c r="R61" s="24">
        <f t="shared" si="22"/>
        <v>6.676580642109684</v>
      </c>
      <c r="S61" s="41" t="str">
        <f t="shared" si="8"/>
        <v>6</v>
      </c>
      <c r="T61" s="24">
        <f t="shared" si="23"/>
        <v>8.1189677053162086</v>
      </c>
      <c r="U61" s="41" t="str">
        <f t="shared" si="9"/>
        <v>8</v>
      </c>
      <c r="V61" s="24">
        <f t="shared" si="24"/>
        <v>1.4276124637945031</v>
      </c>
      <c r="W61" s="41" t="str">
        <f t="shared" si="10"/>
        <v/>
      </c>
      <c r="X61" s="24">
        <f t="shared" si="25"/>
        <v>5.1313495655340375</v>
      </c>
      <c r="Y61" s="41" t="str">
        <f t="shared" si="11"/>
        <v/>
      </c>
      <c r="Z61" s="24">
        <f t="shared" si="26"/>
        <v>1.5761947864084505</v>
      </c>
      <c r="AA61" s="41" t="str">
        <f t="shared" si="12"/>
        <v/>
      </c>
      <c r="AB61" s="24">
        <f t="shared" si="27"/>
        <v>6.9143374369014055</v>
      </c>
      <c r="AC61" s="41" t="str">
        <f t="shared" si="13"/>
        <v/>
      </c>
      <c r="AD61" s="24">
        <f t="shared" si="28"/>
        <v>10.972049242816865</v>
      </c>
      <c r="AE61" s="41" t="str">
        <f t="shared" si="14"/>
        <v/>
      </c>
      <c r="AF61" s="24">
        <f t="shared" si="29"/>
        <v>11.664590913802385</v>
      </c>
      <c r="AG61" s="41" t="str">
        <f t="shared" si="15"/>
        <v/>
      </c>
      <c r="AH61" s="24">
        <f t="shared" si="30"/>
        <v>7.975090965628624</v>
      </c>
      <c r="AI61" s="41" t="str">
        <f t="shared" si="16"/>
        <v/>
      </c>
      <c r="AJ61" s="24">
        <f t="shared" si="31"/>
        <v>11.701091587543488</v>
      </c>
      <c r="AK61" s="41" t="str">
        <f t="shared" si="17"/>
        <v/>
      </c>
    </row>
    <row r="62" spans="1:37" ht="15" customHeight="1" x14ac:dyDescent="0.2">
      <c r="A62" s="581"/>
      <c r="B62" s="3" t="str">
        <f>Rydberg!B62</f>
        <v>Standard atmosphere</v>
      </c>
      <c r="C62" s="3" t="str">
        <f>Rydberg!C62</f>
        <v>P</v>
      </c>
      <c r="D62" s="21">
        <f>Rydberg!D62</f>
        <v>101325</v>
      </c>
      <c r="E62" s="8">
        <v>4</v>
      </c>
      <c r="F62" s="21">
        <f>D62/F$11</f>
        <v>2.6791398797047865E-106</v>
      </c>
      <c r="G62" s="37" t="str">
        <f t="shared" si="18"/>
        <v>1;65X7</v>
      </c>
      <c r="H62" s="276">
        <f t="shared" si="62"/>
        <v>-5.3631397160303074E-4</v>
      </c>
      <c r="I62" s="284">
        <v>2</v>
      </c>
      <c r="J62" s="38">
        <f t="shared" si="32"/>
        <v>-98</v>
      </c>
      <c r="K62" s="61">
        <f t="shared" si="33"/>
        <v>1.5408398492937787</v>
      </c>
      <c r="L62" s="39"/>
      <c r="M62" s="40" t="str">
        <f t="shared" si="5"/>
        <v>1</v>
      </c>
      <c r="N62" s="24">
        <f t="shared" si="20"/>
        <v>6.4900781915253445</v>
      </c>
      <c r="O62" s="41" t="str">
        <f t="shared" si="6"/>
        <v>6</v>
      </c>
      <c r="P62" s="24">
        <f t="shared" si="21"/>
        <v>5.8809382983041338</v>
      </c>
      <c r="Q62" s="41" t="str">
        <f t="shared" si="7"/>
        <v>5</v>
      </c>
      <c r="R62" s="24">
        <f t="shared" si="22"/>
        <v>10.571259579649606</v>
      </c>
      <c r="S62" s="41" t="str">
        <f t="shared" si="8"/>
        <v>X</v>
      </c>
      <c r="T62" s="24">
        <f t="shared" si="23"/>
        <v>6.8551149557952726</v>
      </c>
      <c r="U62" s="41" t="str">
        <f t="shared" si="9"/>
        <v>7</v>
      </c>
      <c r="V62" s="24">
        <f t="shared" si="24"/>
        <v>10.261379469543272</v>
      </c>
      <c r="W62" s="41" t="str">
        <f t="shared" si="10"/>
        <v/>
      </c>
      <c r="X62" s="24">
        <f t="shared" si="25"/>
        <v>3.1365536345192595</v>
      </c>
      <c r="Y62" s="41" t="str">
        <f t="shared" si="11"/>
        <v/>
      </c>
      <c r="Z62" s="24">
        <f t="shared" si="26"/>
        <v>1.638643614231114</v>
      </c>
      <c r="AA62" s="41" t="str">
        <f t="shared" si="12"/>
        <v/>
      </c>
      <c r="AB62" s="24">
        <f t="shared" si="27"/>
        <v>7.6637233707733685</v>
      </c>
      <c r="AC62" s="41" t="str">
        <f t="shared" si="13"/>
        <v/>
      </c>
      <c r="AD62" s="24">
        <f t="shared" si="28"/>
        <v>7.9646804492804222</v>
      </c>
      <c r="AE62" s="41" t="str">
        <f t="shared" si="14"/>
        <v/>
      </c>
      <c r="AF62" s="24">
        <f t="shared" si="29"/>
        <v>11.576165391365066</v>
      </c>
      <c r="AG62" s="41" t="str">
        <f t="shared" si="15"/>
        <v/>
      </c>
      <c r="AH62" s="24">
        <f t="shared" si="30"/>
        <v>6.913984696380794</v>
      </c>
      <c r="AI62" s="41" t="str">
        <f t="shared" si="16"/>
        <v/>
      </c>
      <c r="AJ62" s="24">
        <f t="shared" si="31"/>
        <v>10.967816356569529</v>
      </c>
      <c r="AK62" s="41" t="str">
        <f t="shared" si="17"/>
        <v/>
      </c>
    </row>
    <row r="63" spans="1:37" ht="15" customHeight="1" x14ac:dyDescent="0.2">
      <c r="A63" s="581"/>
      <c r="B63" s="3" t="str">
        <f>Rydberg!B63</f>
        <v>Standard gravitational acceleration</v>
      </c>
      <c r="C63" s="3" t="str">
        <f>Rydberg!C63</f>
        <v>m/s^2</v>
      </c>
      <c r="D63" s="21">
        <f>Rydberg!D63</f>
        <v>9.8066499999999994</v>
      </c>
      <c r="E63" s="8">
        <v>4</v>
      </c>
      <c r="F63" s="21">
        <f>D63/(F$3/F$4/F$4)</f>
        <v>1.0433335664682751E-50</v>
      </c>
      <c r="G63" s="37" t="str">
        <f t="shared" si="18"/>
        <v>5;5E2X</v>
      </c>
      <c r="H63" s="296">
        <f t="shared" si="62"/>
        <v>9.8934327715936909E-2</v>
      </c>
      <c r="I63" s="297">
        <v>0</v>
      </c>
      <c r="J63" s="38">
        <f t="shared" si="32"/>
        <v>-47</v>
      </c>
      <c r="K63" s="61">
        <f t="shared" si="33"/>
        <v>5.4946716385796845</v>
      </c>
      <c r="L63" s="39"/>
      <c r="M63" s="40" t="str">
        <f t="shared" si="5"/>
        <v>5</v>
      </c>
      <c r="N63" s="24">
        <f t="shared" si="20"/>
        <v>5.9360596629562146</v>
      </c>
      <c r="O63" s="41" t="str">
        <f t="shared" si="6"/>
        <v>5</v>
      </c>
      <c r="P63" s="24">
        <f t="shared" si="21"/>
        <v>11.232715955474575</v>
      </c>
      <c r="Q63" s="41" t="str">
        <f t="shared" si="7"/>
        <v>E</v>
      </c>
      <c r="R63" s="24">
        <f t="shared" si="22"/>
        <v>2.7925914656948976</v>
      </c>
      <c r="S63" s="41" t="str">
        <f t="shared" si="8"/>
        <v>2</v>
      </c>
      <c r="T63" s="24">
        <f t="shared" si="23"/>
        <v>9.5110975883387709</v>
      </c>
      <c r="U63" s="41" t="str">
        <f t="shared" si="9"/>
        <v>X</v>
      </c>
      <c r="V63" s="24">
        <f t="shared" si="24"/>
        <v>6.1331710600652514</v>
      </c>
      <c r="W63" s="41" t="str">
        <f t="shared" si="10"/>
        <v/>
      </c>
      <c r="X63" s="24">
        <f t="shared" si="25"/>
        <v>1.5980527207830164</v>
      </c>
      <c r="Y63" s="41" t="str">
        <f t="shared" si="11"/>
        <v/>
      </c>
      <c r="Z63" s="24">
        <f t="shared" si="26"/>
        <v>7.1766326493961969</v>
      </c>
      <c r="AA63" s="41" t="str">
        <f t="shared" si="12"/>
        <v/>
      </c>
      <c r="AB63" s="24">
        <f t="shared" si="27"/>
        <v>2.1195917927543633</v>
      </c>
      <c r="AC63" s="41" t="str">
        <f t="shared" si="13"/>
        <v/>
      </c>
      <c r="AD63" s="24">
        <f t="shared" si="28"/>
        <v>1.4351015130523592</v>
      </c>
      <c r="AE63" s="41" t="str">
        <f t="shared" si="14"/>
        <v/>
      </c>
      <c r="AF63" s="24">
        <f t="shared" si="29"/>
        <v>5.2212181566283107</v>
      </c>
      <c r="AG63" s="41" t="str">
        <f t="shared" si="15"/>
        <v/>
      </c>
      <c r="AH63" s="24">
        <f t="shared" si="30"/>
        <v>2.6546178795397282</v>
      </c>
      <c r="AI63" s="41" t="str">
        <f t="shared" si="16"/>
        <v/>
      </c>
      <c r="AJ63" s="24">
        <f t="shared" si="31"/>
        <v>7.855414554476738</v>
      </c>
      <c r="AK63" s="41" t="str">
        <f t="shared" si="17"/>
        <v/>
      </c>
    </row>
    <row r="64" spans="1:37" ht="15" customHeight="1" x14ac:dyDescent="0.2">
      <c r="A64" s="581"/>
      <c r="B64" s="3" t="str">
        <f>Rydberg!B64</f>
        <v>Gravitational radius of the Earth</v>
      </c>
      <c r="C64" s="3" t="str">
        <f>Rydberg!C64</f>
        <v>m</v>
      </c>
      <c r="D64" s="21">
        <f>Rydberg!D64</f>
        <v>4.4350280391176706E-3</v>
      </c>
      <c r="E64" s="8">
        <v>4</v>
      </c>
      <c r="F64" s="21">
        <f>D64/F$3</f>
        <v>4.6382319132304799E+31</v>
      </c>
      <c r="G64" s="37" t="str">
        <f t="shared" si="18"/>
        <v>2;4179</v>
      </c>
      <c r="H64" s="275"/>
      <c r="I64" s="278"/>
      <c r="J64" s="38">
        <f t="shared" si="32"/>
        <v>29</v>
      </c>
      <c r="K64" s="61">
        <f t="shared" si="33"/>
        <v>2.3447488111941408</v>
      </c>
      <c r="L64" s="39" t="str">
        <f>INDEX(powers!$H$2:$H$75,33+J64)</f>
        <v>terno tetra-cosmic</v>
      </c>
      <c r="M64" s="40" t="str">
        <f t="shared" si="5"/>
        <v>2</v>
      </c>
      <c r="N64" s="24">
        <f t="shared" si="20"/>
        <v>4.1369857343296896</v>
      </c>
      <c r="O64" s="41" t="str">
        <f t="shared" si="6"/>
        <v>4</v>
      </c>
      <c r="P64" s="24">
        <f t="shared" si="21"/>
        <v>1.6438288119562756</v>
      </c>
      <c r="Q64" s="41" t="str">
        <f t="shared" si="7"/>
        <v>1</v>
      </c>
      <c r="R64" s="24">
        <f t="shared" si="22"/>
        <v>7.7259457434753074</v>
      </c>
      <c r="S64" s="41" t="str">
        <f t="shared" si="8"/>
        <v>7</v>
      </c>
      <c r="T64" s="24">
        <f t="shared" si="23"/>
        <v>8.7113489217036886</v>
      </c>
      <c r="U64" s="41" t="str">
        <f t="shared" si="9"/>
        <v>9</v>
      </c>
      <c r="V64" s="24">
        <f t="shared" si="24"/>
        <v>8.5361870604442629</v>
      </c>
      <c r="W64" s="41" t="str">
        <f t="shared" si="10"/>
        <v/>
      </c>
      <c r="X64" s="24">
        <f t="shared" si="25"/>
        <v>6.4342447253311548</v>
      </c>
      <c r="Y64" s="41" t="str">
        <f t="shared" si="11"/>
        <v/>
      </c>
      <c r="Z64" s="24">
        <f t="shared" si="26"/>
        <v>5.2109367039738572</v>
      </c>
      <c r="AA64" s="41" t="str">
        <f t="shared" si="12"/>
        <v/>
      </c>
      <c r="AB64" s="24">
        <f t="shared" si="27"/>
        <v>2.5312404476862866</v>
      </c>
      <c r="AC64" s="41" t="str">
        <f t="shared" si="13"/>
        <v/>
      </c>
      <c r="AD64" s="24">
        <f t="shared" si="28"/>
        <v>6.3748853722354397</v>
      </c>
      <c r="AE64" s="41" t="str">
        <f t="shared" si="14"/>
        <v/>
      </c>
      <c r="AF64" s="24">
        <f t="shared" si="29"/>
        <v>4.4986244668252766</v>
      </c>
      <c r="AG64" s="41" t="str">
        <f t="shared" si="15"/>
        <v/>
      </c>
      <c r="AH64" s="24">
        <f t="shared" si="30"/>
        <v>5.9834936019033194</v>
      </c>
      <c r="AI64" s="41" t="str">
        <f t="shared" si="16"/>
        <v/>
      </c>
      <c r="AJ64" s="24">
        <f t="shared" si="31"/>
        <v>11.801923222839832</v>
      </c>
      <c r="AK64" s="41" t="str">
        <f t="shared" si="17"/>
        <v/>
      </c>
    </row>
    <row r="65" spans="1:37" ht="15" customHeight="1" x14ac:dyDescent="0.2">
      <c r="A65" s="581"/>
      <c r="B65" s="3" t="str">
        <f>Rydberg!B65</f>
        <v>Equatorial radius of the Earth</v>
      </c>
      <c r="C65" s="3" t="str">
        <f>Rydberg!C65</f>
        <v>m</v>
      </c>
      <c r="D65" s="21">
        <f>Rydberg!D65</f>
        <v>6378137</v>
      </c>
      <c r="E65" s="8">
        <v>4</v>
      </c>
      <c r="F65" s="21">
        <f>D65/F$3</f>
        <v>6.6703701350762093E+40</v>
      </c>
      <c r="G65" s="37" t="str">
        <f t="shared" si="18"/>
        <v>7;X136</v>
      </c>
      <c r="H65" s="275"/>
      <c r="I65" s="278"/>
      <c r="J65" s="38">
        <f t="shared" si="32"/>
        <v>37</v>
      </c>
      <c r="K65" s="61">
        <f t="shared" si="33"/>
        <v>7.8423068214190161</v>
      </c>
      <c r="L65" s="39" t="str">
        <f>INDEX(powers!$H$2:$H$75,33+J65)</f>
        <v>terno penta-cosmic</v>
      </c>
      <c r="M65" s="40" t="str">
        <f t="shared" si="5"/>
        <v>7</v>
      </c>
      <c r="N65" s="24">
        <f t="shared" si="20"/>
        <v>10.107681857028194</v>
      </c>
      <c r="O65" s="41" t="str">
        <f t="shared" si="6"/>
        <v>X</v>
      </c>
      <c r="P65" s="24">
        <f t="shared" si="21"/>
        <v>1.2921822843383239</v>
      </c>
      <c r="Q65" s="41" t="str">
        <f t="shared" si="7"/>
        <v>1</v>
      </c>
      <c r="R65" s="24">
        <f t="shared" si="22"/>
        <v>3.5061874120598873</v>
      </c>
      <c r="S65" s="41" t="str">
        <f t="shared" si="8"/>
        <v>3</v>
      </c>
      <c r="T65" s="24">
        <f t="shared" si="23"/>
        <v>6.0742489447186472</v>
      </c>
      <c r="U65" s="41" t="str">
        <f t="shared" si="9"/>
        <v>6</v>
      </c>
      <c r="V65" s="24">
        <f t="shared" si="24"/>
        <v>0.89098733662376617</v>
      </c>
      <c r="W65" s="41" t="str">
        <f t="shared" si="10"/>
        <v/>
      </c>
      <c r="X65" s="24">
        <f t="shared" si="25"/>
        <v>10.691848039485194</v>
      </c>
      <c r="Y65" s="41" t="str">
        <f t="shared" si="11"/>
        <v/>
      </c>
      <c r="Z65" s="24">
        <f t="shared" si="26"/>
        <v>8.3021764738223283</v>
      </c>
      <c r="AA65" s="41" t="str">
        <f t="shared" si="12"/>
        <v/>
      </c>
      <c r="AB65" s="24">
        <f t="shared" si="27"/>
        <v>3.6261176858679391</v>
      </c>
      <c r="AC65" s="41" t="str">
        <f t="shared" si="13"/>
        <v/>
      </c>
      <c r="AD65" s="24">
        <f t="shared" si="28"/>
        <v>7.5134122304152697</v>
      </c>
      <c r="AE65" s="41" t="str">
        <f t="shared" si="14"/>
        <v/>
      </c>
      <c r="AF65" s="24">
        <f t="shared" si="29"/>
        <v>6.1609467649832368</v>
      </c>
      <c r="AG65" s="41" t="str">
        <f t="shared" si="15"/>
        <v/>
      </c>
      <c r="AH65" s="24">
        <f t="shared" si="30"/>
        <v>1.9313611797988415</v>
      </c>
      <c r="AI65" s="41" t="str">
        <f t="shared" si="16"/>
        <v/>
      </c>
      <c r="AJ65" s="24">
        <f t="shared" si="31"/>
        <v>11.176334157586098</v>
      </c>
      <c r="AK65" s="41" t="str">
        <f t="shared" si="17"/>
        <v/>
      </c>
    </row>
    <row r="66" spans="1:37" ht="15" customHeight="1" x14ac:dyDescent="0.2">
      <c r="A66" s="581"/>
      <c r="B66" s="3" t="str">
        <f>Rydberg!B66</f>
        <v>Meridian length of the Earth / 4</v>
      </c>
      <c r="C66" s="3" t="str">
        <f>Rydberg!C66</f>
        <v>m</v>
      </c>
      <c r="D66" s="21">
        <f>Rydberg!D66</f>
        <v>10001965.75</v>
      </c>
      <c r="E66" s="8">
        <v>4</v>
      </c>
      <c r="F66" s="21">
        <f>D66/F$3</f>
        <v>1.0460235274164716E+41</v>
      </c>
      <c r="G66" s="37" t="str">
        <f t="shared" si="18"/>
        <v>1;036E</v>
      </c>
      <c r="H66" s="275">
        <f t="shared" ref="H66" si="63">K66*POWER(12,I66)/ROUND(K66*POWER(12,I66),0)-1</f>
        <v>2.4835363743681116E-2</v>
      </c>
      <c r="I66" s="278"/>
      <c r="J66" s="38">
        <f t="shared" si="32"/>
        <v>38</v>
      </c>
      <c r="K66" s="61">
        <f t="shared" si="33"/>
        <v>1.0248353637436811</v>
      </c>
      <c r="L66" s="39" t="str">
        <f>INDEX(powers!$H$2:$H$75,33+J66)</f>
        <v>dino penta-cosmic</v>
      </c>
      <c r="M66" s="40" t="str">
        <f t="shared" si="5"/>
        <v>1</v>
      </c>
      <c r="N66" s="24">
        <f t="shared" si="20"/>
        <v>0.29802436492417339</v>
      </c>
      <c r="O66" s="41" t="str">
        <f t="shared" si="6"/>
        <v>0</v>
      </c>
      <c r="P66" s="24">
        <f t="shared" si="21"/>
        <v>3.5762923790900807</v>
      </c>
      <c r="Q66" s="41" t="str">
        <f t="shared" si="7"/>
        <v>3</v>
      </c>
      <c r="R66" s="24">
        <f t="shared" si="22"/>
        <v>6.9155085490809682</v>
      </c>
      <c r="S66" s="41" t="str">
        <f t="shared" si="8"/>
        <v>6</v>
      </c>
      <c r="T66" s="24">
        <f t="shared" si="23"/>
        <v>10.986102588971619</v>
      </c>
      <c r="U66" s="41" t="str">
        <f t="shared" si="9"/>
        <v>E</v>
      </c>
      <c r="V66" s="24">
        <f t="shared" si="24"/>
        <v>11.833231067659426</v>
      </c>
      <c r="W66" s="41" t="str">
        <f t="shared" si="10"/>
        <v/>
      </c>
      <c r="X66" s="24">
        <f t="shared" si="25"/>
        <v>9.9987728119131134</v>
      </c>
      <c r="Y66" s="41" t="str">
        <f t="shared" si="11"/>
        <v/>
      </c>
      <c r="Z66" s="24">
        <f t="shared" si="26"/>
        <v>11.985273742957361</v>
      </c>
      <c r="AA66" s="41" t="str">
        <f t="shared" si="12"/>
        <v/>
      </c>
      <c r="AB66" s="24">
        <f t="shared" si="27"/>
        <v>11.82328491548833</v>
      </c>
      <c r="AC66" s="41" t="str">
        <f t="shared" si="13"/>
        <v/>
      </c>
      <c r="AD66" s="24">
        <f t="shared" si="28"/>
        <v>9.8794189858599566</v>
      </c>
      <c r="AE66" s="41" t="str">
        <f t="shared" si="14"/>
        <v/>
      </c>
      <c r="AF66" s="24">
        <f t="shared" si="29"/>
        <v>10.553027830319479</v>
      </c>
      <c r="AG66" s="41" t="str">
        <f t="shared" si="15"/>
        <v/>
      </c>
      <c r="AH66" s="24">
        <f t="shared" si="30"/>
        <v>6.6363339638337493</v>
      </c>
      <c r="AI66" s="41" t="str">
        <f t="shared" si="16"/>
        <v/>
      </c>
      <c r="AJ66" s="24">
        <f t="shared" si="31"/>
        <v>7.6360075660049915</v>
      </c>
      <c r="AK66" s="41" t="str">
        <f t="shared" si="17"/>
        <v/>
      </c>
    </row>
    <row r="67" spans="1:37" ht="15" customHeight="1" x14ac:dyDescent="0.2">
      <c r="A67" s="581"/>
      <c r="B67" s="3" t="str">
        <f>Rydberg!B67</f>
        <v>Gravitational radius of the Sun</v>
      </c>
      <c r="C67" s="3" t="str">
        <f>Rydberg!C67</f>
        <v>m</v>
      </c>
      <c r="D67" s="21">
        <f>Rydberg!D67</f>
        <v>1476.6250385063113</v>
      </c>
      <c r="E67" s="8">
        <v>4</v>
      </c>
      <c r="F67" s="21">
        <f>D67/F$3</f>
        <v>1.5442809644192743E+37</v>
      </c>
      <c r="G67" s="37" t="str">
        <f t="shared" si="18"/>
        <v>3;1794</v>
      </c>
      <c r="H67" s="275"/>
      <c r="I67" s="278"/>
      <c r="J67" s="38">
        <f t="shared" si="32"/>
        <v>34</v>
      </c>
      <c r="K67" s="61">
        <f t="shared" si="33"/>
        <v>3.1373570912330435</v>
      </c>
      <c r="L67" s="39" t="str">
        <f>INDEX(powers!$H$2:$H$75,33+J67)</f>
        <v>gross tetra-cosmic</v>
      </c>
      <c r="M67" s="40" t="str">
        <f t="shared" si="5"/>
        <v>3</v>
      </c>
      <c r="N67" s="24">
        <f t="shared" si="20"/>
        <v>1.6482850947965222</v>
      </c>
      <c r="O67" s="41" t="str">
        <f t="shared" si="6"/>
        <v>1</v>
      </c>
      <c r="P67" s="24">
        <f t="shared" si="21"/>
        <v>7.7794211375582663</v>
      </c>
      <c r="Q67" s="41" t="str">
        <f t="shared" si="7"/>
        <v>7</v>
      </c>
      <c r="R67" s="24">
        <f t="shared" si="22"/>
        <v>9.353053650699195</v>
      </c>
      <c r="S67" s="41" t="str">
        <f t="shared" si="8"/>
        <v>9</v>
      </c>
      <c r="T67" s="24">
        <f t="shared" si="23"/>
        <v>4.2366438083903404</v>
      </c>
      <c r="U67" s="41" t="str">
        <f t="shared" si="9"/>
        <v>4</v>
      </c>
      <c r="V67" s="24">
        <f t="shared" si="24"/>
        <v>2.8397257006840846</v>
      </c>
      <c r="W67" s="41" t="str">
        <f t="shared" si="10"/>
        <v/>
      </c>
      <c r="X67" s="24">
        <f t="shared" si="25"/>
        <v>10.076708408209015</v>
      </c>
      <c r="Y67" s="41" t="str">
        <f t="shared" si="11"/>
        <v/>
      </c>
      <c r="Z67" s="24">
        <f t="shared" si="26"/>
        <v>0.9205008985081804</v>
      </c>
      <c r="AA67" s="41" t="str">
        <f t="shared" si="12"/>
        <v/>
      </c>
      <c r="AB67" s="24">
        <f t="shared" si="27"/>
        <v>11.046010782098165</v>
      </c>
      <c r="AC67" s="41" t="str">
        <f t="shared" si="13"/>
        <v/>
      </c>
      <c r="AD67" s="24">
        <f t="shared" si="28"/>
        <v>0.55212938517797738</v>
      </c>
      <c r="AE67" s="41" t="str">
        <f t="shared" si="14"/>
        <v/>
      </c>
      <c r="AF67" s="24">
        <f t="shared" si="29"/>
        <v>6.6255526221357286</v>
      </c>
      <c r="AG67" s="41" t="str">
        <f t="shared" si="15"/>
        <v/>
      </c>
      <c r="AH67" s="24">
        <f t="shared" si="30"/>
        <v>7.5066314656287432</v>
      </c>
      <c r="AI67" s="41" t="str">
        <f t="shared" si="16"/>
        <v/>
      </c>
      <c r="AJ67" s="24">
        <f t="shared" si="31"/>
        <v>6.0795775875449181</v>
      </c>
      <c r="AK67" s="41" t="str">
        <f t="shared" si="17"/>
        <v/>
      </c>
    </row>
    <row r="68" spans="1:37" ht="15" customHeight="1" x14ac:dyDescent="0.2">
      <c r="A68" s="581"/>
      <c r="B68" s="5" t="str">
        <f>Rydberg!B68</f>
        <v>Astronomical unit</v>
      </c>
      <c r="C68" s="5" t="str">
        <f>Rydberg!C68</f>
        <v>m</v>
      </c>
      <c r="D68" s="21">
        <f>Rydberg!D68</f>
        <v>149597870000</v>
      </c>
      <c r="E68" s="30">
        <v>4</v>
      </c>
      <c r="F68" s="29">
        <f>D68/F$3</f>
        <v>1.5645213709254178E+45</v>
      </c>
      <c r="G68" s="37" t="str">
        <f t="shared" si="18"/>
        <v>8;X544</v>
      </c>
      <c r="H68" s="275"/>
      <c r="I68" s="281"/>
      <c r="J68" s="43">
        <f t="shared" si="32"/>
        <v>41</v>
      </c>
      <c r="K68" s="62">
        <f t="shared" si="33"/>
        <v>8.8705472164361314</v>
      </c>
      <c r="L68" s="39" t="str">
        <f>INDEX(powers!$H$2:$H$75,33+J68)</f>
        <v>dozen penta-cosmic</v>
      </c>
      <c r="M68" s="40" t="str">
        <f t="shared" si="5"/>
        <v>8</v>
      </c>
      <c r="N68" s="24">
        <f t="shared" si="20"/>
        <v>10.446566597233577</v>
      </c>
      <c r="O68" s="41" t="str">
        <f t="shared" si="6"/>
        <v>X</v>
      </c>
      <c r="P68" s="24">
        <f t="shared" si="21"/>
        <v>5.3587991668029247</v>
      </c>
      <c r="Q68" s="41" t="str">
        <f t="shared" si="7"/>
        <v>5</v>
      </c>
      <c r="R68" s="24">
        <f t="shared" si="22"/>
        <v>4.3055900016350961</v>
      </c>
      <c r="S68" s="41" t="str">
        <f t="shared" si="8"/>
        <v>4</v>
      </c>
      <c r="T68" s="24">
        <f t="shared" si="23"/>
        <v>3.667080019621153</v>
      </c>
      <c r="U68" s="41" t="str">
        <f t="shared" si="9"/>
        <v>4</v>
      </c>
      <c r="V68" s="24">
        <f t="shared" si="24"/>
        <v>8.0049602354538365</v>
      </c>
      <c r="W68" s="41" t="str">
        <f t="shared" si="10"/>
        <v/>
      </c>
      <c r="X68" s="24">
        <f t="shared" si="25"/>
        <v>5.9522825446038041E-2</v>
      </c>
      <c r="Y68" s="41" t="str">
        <f t="shared" si="11"/>
        <v/>
      </c>
      <c r="Z68" s="24">
        <f t="shared" si="26"/>
        <v>0.7142739053524565</v>
      </c>
      <c r="AA68" s="41" t="str">
        <f t="shared" si="12"/>
        <v/>
      </c>
      <c r="AB68" s="24">
        <f t="shared" si="27"/>
        <v>8.5712868642294779</v>
      </c>
      <c r="AC68" s="41" t="str">
        <f t="shared" si="13"/>
        <v/>
      </c>
      <c r="AD68" s="24">
        <f t="shared" si="28"/>
        <v>6.8554423707537353</v>
      </c>
      <c r="AE68" s="41" t="str">
        <f t="shared" si="14"/>
        <v/>
      </c>
      <c r="AF68" s="24">
        <f t="shared" si="29"/>
        <v>10.265308449044824</v>
      </c>
      <c r="AG68" s="41" t="str">
        <f t="shared" si="15"/>
        <v/>
      </c>
      <c r="AH68" s="24">
        <f t="shared" si="30"/>
        <v>3.1837013885378838</v>
      </c>
      <c r="AI68" s="41" t="str">
        <f t="shared" si="16"/>
        <v/>
      </c>
      <c r="AJ68" s="24">
        <f t="shared" si="31"/>
        <v>2.2044166624546051</v>
      </c>
      <c r="AK68" s="41" t="str">
        <f t="shared" si="17"/>
        <v/>
      </c>
    </row>
    <row r="69" spans="1:37" ht="15" customHeight="1" x14ac:dyDescent="0.2">
      <c r="A69" s="581"/>
      <c r="B69" s="5" t="str">
        <f>Rydberg!B69</f>
        <v>Astronomical unit / c0</v>
      </c>
      <c r="C69" s="5" t="str">
        <f>Rydberg!C69</f>
        <v>s</v>
      </c>
      <c r="D69" s="29">
        <f>Rydberg!D69</f>
        <v>499.00478150120773</v>
      </c>
      <c r="E69" s="30">
        <v>4</v>
      </c>
      <c r="F69" s="29">
        <f>D69/F$4</f>
        <v>1.5645213709254178E+45</v>
      </c>
      <c r="G69" s="37" t="str">
        <f t="shared" si="18"/>
        <v>8;X544</v>
      </c>
      <c r="H69" s="275"/>
      <c r="I69" s="281"/>
      <c r="J69" s="43">
        <f t="shared" si="32"/>
        <v>41</v>
      </c>
      <c r="K69" s="62">
        <f t="shared" si="33"/>
        <v>8.8705472164361314</v>
      </c>
      <c r="L69" s="39" t="str">
        <f>INDEX(powers!$H$2:$H$75,33+J69)</f>
        <v>dozen penta-cosmic</v>
      </c>
      <c r="M69" s="40" t="str">
        <f t="shared" si="5"/>
        <v>8</v>
      </c>
      <c r="N69" s="24">
        <f t="shared" si="20"/>
        <v>10.446566597233577</v>
      </c>
      <c r="O69" s="41" t="str">
        <f t="shared" si="6"/>
        <v>X</v>
      </c>
      <c r="P69" s="24">
        <f t="shared" si="21"/>
        <v>5.3587991668029247</v>
      </c>
      <c r="Q69" s="41" t="str">
        <f t="shared" si="7"/>
        <v>5</v>
      </c>
      <c r="R69" s="24">
        <f t="shared" si="22"/>
        <v>4.3055900016350961</v>
      </c>
      <c r="S69" s="41" t="str">
        <f t="shared" si="8"/>
        <v>4</v>
      </c>
      <c r="T69" s="24">
        <f t="shared" si="23"/>
        <v>3.667080019621153</v>
      </c>
      <c r="U69" s="41" t="str">
        <f t="shared" si="9"/>
        <v>4</v>
      </c>
      <c r="V69" s="24">
        <f t="shared" si="24"/>
        <v>8.0049602354538365</v>
      </c>
      <c r="W69" s="41" t="str">
        <f t="shared" si="10"/>
        <v/>
      </c>
      <c r="X69" s="24">
        <f t="shared" si="25"/>
        <v>5.9522825446038041E-2</v>
      </c>
      <c r="Y69" s="41" t="str">
        <f t="shared" si="11"/>
        <v/>
      </c>
      <c r="Z69" s="24">
        <f t="shared" si="26"/>
        <v>0.7142739053524565</v>
      </c>
      <c r="AA69" s="41" t="str">
        <f t="shared" si="12"/>
        <v/>
      </c>
      <c r="AB69" s="24">
        <f t="shared" si="27"/>
        <v>8.5712868642294779</v>
      </c>
      <c r="AC69" s="41" t="str">
        <f t="shared" si="13"/>
        <v/>
      </c>
      <c r="AD69" s="24">
        <f t="shared" si="28"/>
        <v>6.8554423707537353</v>
      </c>
      <c r="AE69" s="41" t="str">
        <f t="shared" si="14"/>
        <v/>
      </c>
      <c r="AF69" s="24">
        <f t="shared" si="29"/>
        <v>10.265308449044824</v>
      </c>
      <c r="AG69" s="41" t="str">
        <f t="shared" si="15"/>
        <v/>
      </c>
      <c r="AH69" s="24">
        <f t="shared" si="30"/>
        <v>3.1837013885378838</v>
      </c>
      <c r="AI69" s="41" t="str">
        <f t="shared" si="16"/>
        <v/>
      </c>
      <c r="AJ69" s="24">
        <f t="shared" si="31"/>
        <v>2.2044166624546051</v>
      </c>
      <c r="AK69" s="41" t="str">
        <f t="shared" si="17"/>
        <v/>
      </c>
    </row>
    <row r="70" spans="1:37" ht="15" customHeight="1" thickBot="1" x14ac:dyDescent="0.25">
      <c r="A70" s="582"/>
      <c r="B70" s="5" t="str">
        <f>Rydberg!B70</f>
        <v>Astronomical unit / c0 / (12^(-3)day)</v>
      </c>
      <c r="C70" s="5" t="str">
        <f>Rydberg!C70</f>
        <v>-</v>
      </c>
      <c r="D70" s="29">
        <f>Rydberg!D70</f>
        <v>9.9800956300241541</v>
      </c>
      <c r="E70" s="30">
        <v>9</v>
      </c>
      <c r="F70" s="29">
        <f>D70</f>
        <v>9.9800956300241541</v>
      </c>
      <c r="G70" s="37" t="str">
        <f t="shared" si="18"/>
        <v>9;E91731X53</v>
      </c>
      <c r="H70" s="275"/>
      <c r="I70" s="281"/>
      <c r="J70" s="43">
        <f t="shared" si="32"/>
        <v>0</v>
      </c>
      <c r="K70" s="62">
        <f t="shared" si="33"/>
        <v>9.9800956300241541</v>
      </c>
      <c r="L70" s="44" t="str">
        <f>INDEX(powers!$H$2:$H$75,33+J70)</f>
        <v xml:space="preserve"> </v>
      </c>
      <c r="M70" s="40" t="str">
        <f t="shared" si="5"/>
        <v>9</v>
      </c>
      <c r="N70" s="24">
        <f t="shared" si="20"/>
        <v>11.761147560289849</v>
      </c>
      <c r="O70" s="41" t="str">
        <f t="shared" si="6"/>
        <v>E</v>
      </c>
      <c r="P70" s="24">
        <f t="shared" si="21"/>
        <v>9.1337707234781931</v>
      </c>
      <c r="Q70" s="41" t="str">
        <f t="shared" si="7"/>
        <v>9</v>
      </c>
      <c r="R70" s="24">
        <f t="shared" si="22"/>
        <v>1.6052486817383169</v>
      </c>
      <c r="S70" s="41" t="str">
        <f t="shared" si="8"/>
        <v>1</v>
      </c>
      <c r="T70" s="24">
        <f t="shared" si="23"/>
        <v>7.262984180859803</v>
      </c>
      <c r="U70" s="41" t="str">
        <f t="shared" si="9"/>
        <v>7</v>
      </c>
      <c r="V70" s="24">
        <f t="shared" si="24"/>
        <v>3.1558101703176362</v>
      </c>
      <c r="W70" s="41" t="str">
        <f t="shared" si="10"/>
        <v>3</v>
      </c>
      <c r="X70" s="24">
        <f t="shared" si="25"/>
        <v>1.8697220438116346</v>
      </c>
      <c r="Y70" s="41" t="str">
        <f t="shared" si="11"/>
        <v>1</v>
      </c>
      <c r="Z70" s="24">
        <f t="shared" si="26"/>
        <v>10.436664525739616</v>
      </c>
      <c r="AA70" s="41" t="str">
        <f t="shared" si="12"/>
        <v>X</v>
      </c>
      <c r="AB70" s="24">
        <f t="shared" si="27"/>
        <v>5.2399743088753894</v>
      </c>
      <c r="AC70" s="41" t="str">
        <f t="shared" si="13"/>
        <v>5</v>
      </c>
      <c r="AD70" s="24">
        <f t="shared" si="28"/>
        <v>2.8796917065046728</v>
      </c>
      <c r="AE70" s="41" t="str">
        <f t="shared" si="14"/>
        <v>3</v>
      </c>
      <c r="AF70" s="24">
        <f t="shared" si="29"/>
        <v>10.556300478056073</v>
      </c>
      <c r="AG70" s="41" t="str">
        <f t="shared" si="15"/>
        <v/>
      </c>
      <c r="AH70" s="24">
        <f t="shared" si="30"/>
        <v>6.6756057366728783</v>
      </c>
      <c r="AI70" s="41" t="str">
        <f t="shared" si="16"/>
        <v/>
      </c>
      <c r="AJ70" s="24">
        <f t="shared" si="31"/>
        <v>8.1072688400745392</v>
      </c>
      <c r="AK70" s="41" t="str">
        <f t="shared" si="17"/>
        <v/>
      </c>
    </row>
    <row r="71" spans="1:37" ht="12" customHeight="1" x14ac:dyDescent="0.2">
      <c r="A71" s="577"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8"/>
      <c r="B72" s="8" t="s">
        <v>40</v>
      </c>
      <c r="C72" s="8"/>
      <c r="D72" s="21"/>
      <c r="E72" s="8">
        <v>9</v>
      </c>
      <c r="F72" s="21">
        <f>$D$32</f>
        <v>7.2973525643E-3</v>
      </c>
      <c r="G72" s="37" t="str">
        <f t="shared" ref="G72:G73" si="64">M72&amp;";"&amp;O72&amp;Q72&amp;S72&amp;U72&amp;W72&amp;Y72&amp;AA72&amp;AC72&amp;AE72&amp;AG72&amp;AI72&amp;AK72</f>
        <v>1;073994047</v>
      </c>
      <c r="H72" s="37"/>
      <c r="I72" s="285"/>
      <c r="J72" s="38">
        <v>-2</v>
      </c>
      <c r="K72" s="61">
        <f t="shared" ref="K72:K88" si="65">F72/POWER(12,J72)</f>
        <v>1.0508187692592001</v>
      </c>
      <c r="L72" s="39" t="str">
        <f>INDEX(powers!$H$2:$H$75,33+J72)</f>
        <v>dino</v>
      </c>
      <c r="M72" s="40" t="str">
        <f t="shared" ref="M72:M88" si="66">IF($E72&gt;=M$31,MID($J$31,IF($E72&gt;M$31,INT(K72),ROUND(K72,0))+1,1),"")</f>
        <v>1</v>
      </c>
      <c r="N72" s="24">
        <f>(K72-INT(K72))*12</f>
        <v>0.60982523111040177</v>
      </c>
      <c r="O72" s="41" t="str">
        <f t="shared" ref="O72:O88" si="67">IF($E72&gt;=O$31,MID($J$31,IF($E72&gt;O$31,INT(N72),ROUND(N72,0))+1,1),"")</f>
        <v>0</v>
      </c>
      <c r="P72" s="24">
        <f>(N72-INT(N72))*12</f>
        <v>7.3179027733248212</v>
      </c>
      <c r="Q72" s="41" t="str">
        <f t="shared" ref="Q72:Q88" si="68">IF($E72&gt;=Q$31,MID($J$31,IF($E72&gt;Q$31,INT(P72),ROUND(P72,0))+1,1),"")</f>
        <v>7</v>
      </c>
      <c r="R72" s="24">
        <f>(P72-INT(P72))*12</f>
        <v>3.8148332798978544</v>
      </c>
      <c r="S72" s="41" t="str">
        <f t="shared" ref="S72:S88" si="69">IF($E72&gt;=S$31,MID($J$31,IF($E72&gt;S$31,INT(R72),ROUND(R72,0))+1,1),"")</f>
        <v>3</v>
      </c>
      <c r="T72" s="24">
        <f>(R72-INT(R72))*12</f>
        <v>9.7779993587742524</v>
      </c>
      <c r="U72" s="41" t="str">
        <f t="shared" ref="U72:U88" si="70">IF($E72&gt;=U$31,MID($J$31,IF($E72&gt;U$31,INT(T72),ROUND(T72,0))+1,1),"")</f>
        <v>9</v>
      </c>
      <c r="V72" s="24">
        <f>(T72-INT(T72))*12</f>
        <v>9.335992305291029</v>
      </c>
      <c r="W72" s="41" t="str">
        <f t="shared" ref="W72:W88" si="71">IF($E72&gt;=W$31,MID($J$31,IF($E72&gt;W$31,INT(V72),ROUND(V72,0))+1,1),"")</f>
        <v>9</v>
      </c>
      <c r="X72" s="24">
        <f>(V72-INT(V72))*12</f>
        <v>4.0319076634923476</v>
      </c>
      <c r="Y72" s="41" t="str">
        <f t="shared" ref="Y72:Y88" si="72">IF($E72&gt;=Y$31,MID($J$31,IF($E72&gt;Y$31,INT(X72),ROUND(X72,0))+1,1),"")</f>
        <v>4</v>
      </c>
      <c r="Z72" s="24">
        <f>(X72-INT(X72))*12</f>
        <v>0.38289196190817165</v>
      </c>
      <c r="AA72" s="41" t="str">
        <f t="shared" ref="AA72:AA88" si="73">IF($E72&gt;=AA$31,MID($J$31,IF($E72&gt;AA$31,INT(Z72),ROUND(Z72,0))+1,1),"")</f>
        <v>0</v>
      </c>
      <c r="AB72" s="24">
        <f>(Z72-INT(Z72))*12</f>
        <v>4.5947035428980598</v>
      </c>
      <c r="AC72" s="41" t="str">
        <f t="shared" ref="AC72:AC88" si="74">IF($E72&gt;=AC$31,MID($J$31,IF($E72&gt;AC$31,INT(AB72),ROUND(AB72,0))+1,1),"")</f>
        <v>4</v>
      </c>
      <c r="AD72" s="24">
        <f>(AB72-INT(AB72))*12</f>
        <v>7.1364425147767179</v>
      </c>
      <c r="AE72" s="41" t="str">
        <f t="shared" ref="AE72:AE88" si="75">IF($E72&gt;=AE$31,MID($J$31,IF($E72&gt;AE$31,INT(AD72),ROUND(AD72,0))+1,1),"")</f>
        <v>7</v>
      </c>
      <c r="AF72" s="24">
        <f>(AD72-INT(AD72))*12</f>
        <v>1.6373101773206145</v>
      </c>
      <c r="AG72" s="41" t="str">
        <f t="shared" ref="AG72:AG88" si="76">IF($E72&gt;=AG$31,MID($J$31,IF($E72&gt;AG$31,INT(AF72),ROUND(AF72,0))+1,1),"")</f>
        <v/>
      </c>
      <c r="AH72" s="24">
        <f>(AF72-INT(AF72))*12</f>
        <v>7.6477221278473735</v>
      </c>
      <c r="AI72" s="41" t="str">
        <f t="shared" ref="AI72:AI88" si="77">IF($E72&gt;=AI$31,MID($J$31,IF($E72&gt;AI$31,INT(AH72),ROUND(AH72,0))+1,1),"")</f>
        <v/>
      </c>
      <c r="AJ72" s="24">
        <f>(AH72-INT(AH72))*12</f>
        <v>7.7726655341684818</v>
      </c>
      <c r="AK72" s="41" t="str">
        <f t="shared" ref="AK72:AK88" si="78">IF($E72&gt;=AK$31,MID($J$31,IF($E72&gt;AK$31,INT(AJ72),ROUND(AJ72,0))+1,1),"")</f>
        <v/>
      </c>
    </row>
    <row r="73" spans="1:37" ht="13.5" customHeight="1" x14ac:dyDescent="0.2">
      <c r="A73" s="578"/>
      <c r="B73" s="30" t="s">
        <v>34</v>
      </c>
      <c r="C73" s="30"/>
      <c r="D73" s="29"/>
      <c r="E73" s="8">
        <v>9</v>
      </c>
      <c r="F73" s="21">
        <f>1/$D$32</f>
        <v>137.03599917759013</v>
      </c>
      <c r="G73" s="37" t="str">
        <f t="shared" si="64"/>
        <v>0;E5052258</v>
      </c>
      <c r="H73" s="37"/>
      <c r="I73" s="285"/>
      <c r="J73" s="38">
        <v>2</v>
      </c>
      <c r="K73" s="61">
        <f t="shared" si="65"/>
        <v>0.95163888317770917</v>
      </c>
      <c r="L73" s="39" t="str">
        <f>INDEX(powers!$H$2:$H$75,33+J73)</f>
        <v>gross</v>
      </c>
      <c r="M73" s="40" t="str">
        <f t="shared" si="66"/>
        <v>0</v>
      </c>
      <c r="N73" s="24">
        <f t="shared" ref="N73:N88" si="79">(K73-INT(K73))*12</f>
        <v>11.41966659813251</v>
      </c>
      <c r="O73" s="41" t="str">
        <f t="shared" si="67"/>
        <v>E</v>
      </c>
      <c r="P73" s="24">
        <f t="shared" ref="P73:P88" si="80">(N73-INT(N73))*12</f>
        <v>5.0359991775901207</v>
      </c>
      <c r="Q73" s="41" t="str">
        <f t="shared" si="68"/>
        <v>5</v>
      </c>
      <c r="R73" s="24">
        <f t="shared" ref="R73:R88" si="81">(P73-INT(P73))*12</f>
        <v>0.43199013108144868</v>
      </c>
      <c r="S73" s="41" t="str">
        <f t="shared" si="69"/>
        <v>0</v>
      </c>
      <c r="T73" s="24">
        <f t="shared" ref="T73:T88" si="82">(R73-INT(R73))*12</f>
        <v>5.1838815729773842</v>
      </c>
      <c r="U73" s="41" t="str">
        <f t="shared" si="70"/>
        <v>5</v>
      </c>
      <c r="V73" s="24">
        <f t="shared" ref="V73:V88" si="83">(T73-INT(T73))*12</f>
        <v>2.20657887572861</v>
      </c>
      <c r="W73" s="41" t="str">
        <f t="shared" si="71"/>
        <v>2</v>
      </c>
      <c r="X73" s="24">
        <f t="shared" ref="X73:X88" si="84">(V73-INT(V73))*12</f>
        <v>2.47894650874332</v>
      </c>
      <c r="Y73" s="41" t="str">
        <f t="shared" si="72"/>
        <v>2</v>
      </c>
      <c r="Z73" s="24">
        <f t="shared" ref="Z73:Z88" si="85">(X73-INT(X73))*12</f>
        <v>5.7473581049198401</v>
      </c>
      <c r="AA73" s="41" t="str">
        <f t="shared" si="73"/>
        <v>5</v>
      </c>
      <c r="AB73" s="24">
        <f t="shared" ref="AB73:AB88" si="86">(Z73-INT(Z73))*12</f>
        <v>8.9682972590380814</v>
      </c>
      <c r="AC73" s="41" t="str">
        <f t="shared" si="74"/>
        <v>8</v>
      </c>
      <c r="AD73" s="24">
        <f t="shared" ref="AD73:AD88" si="87">(AB73-INT(AB73))*12</f>
        <v>11.619567108456977</v>
      </c>
      <c r="AE73" s="41" t="str">
        <f t="shared" si="75"/>
        <v/>
      </c>
      <c r="AF73" s="24">
        <f t="shared" ref="AF73:AF88" si="88">(AD73-INT(AD73))*12</f>
        <v>7.4348053014837205</v>
      </c>
      <c r="AG73" s="41" t="str">
        <f t="shared" si="76"/>
        <v/>
      </c>
      <c r="AH73" s="24">
        <f t="shared" ref="AH73:AH88" si="89">(AF73-INT(AF73))*12</f>
        <v>5.2176636178046465</v>
      </c>
      <c r="AI73" s="41" t="str">
        <f t="shared" si="77"/>
        <v/>
      </c>
      <c r="AJ73" s="24">
        <f t="shared" ref="AJ73:AJ88" si="90">(AH73-INT(AH73))*12</f>
        <v>2.6119634136557579</v>
      </c>
      <c r="AK73" s="41" t="str">
        <f t="shared" si="78"/>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65"/>
        <v>137.03599917759013</v>
      </c>
      <c r="L74" s="39" t="str">
        <f>INDEX(powers!$H$2:$H$75,33+J74)</f>
        <v xml:space="preserve"> </v>
      </c>
      <c r="M74" s="40" t="str">
        <f t="shared" si="66"/>
        <v/>
      </c>
      <c r="N74" s="24">
        <f t="shared" si="79"/>
        <v>0.43199013108153395</v>
      </c>
      <c r="O74" s="41" t="str">
        <f t="shared" si="67"/>
        <v>0</v>
      </c>
      <c r="P74" s="24">
        <f t="shared" si="80"/>
        <v>5.1838815729784073</v>
      </c>
      <c r="Q74" s="41" t="str">
        <f t="shared" si="68"/>
        <v>5</v>
      </c>
      <c r="R74" s="24">
        <f t="shared" si="81"/>
        <v>2.2065788757408882</v>
      </c>
      <c r="S74" s="41" t="str">
        <f t="shared" si="69"/>
        <v>2</v>
      </c>
      <c r="T74" s="24">
        <f t="shared" si="82"/>
        <v>2.4789465088906582</v>
      </c>
      <c r="U74" s="41" t="str">
        <f t="shared" si="70"/>
        <v>2</v>
      </c>
      <c r="V74" s="24">
        <f t="shared" si="83"/>
        <v>5.7473581066878978</v>
      </c>
      <c r="W74" s="41" t="str">
        <f t="shared" si="71"/>
        <v>5</v>
      </c>
      <c r="X74" s="24">
        <f t="shared" si="84"/>
        <v>8.9682972802547738</v>
      </c>
      <c r="Y74" s="41" t="str">
        <f t="shared" si="72"/>
        <v>8</v>
      </c>
      <c r="Z74" s="24">
        <f t="shared" si="85"/>
        <v>11.619567363057286</v>
      </c>
      <c r="AA74" s="41" t="str">
        <f t="shared" si="73"/>
        <v>E</v>
      </c>
      <c r="AB74" s="24">
        <f t="shared" si="86"/>
        <v>7.4348083566874266</v>
      </c>
      <c r="AC74" s="41" t="str">
        <f t="shared" si="74"/>
        <v>7</v>
      </c>
      <c r="AD74" s="24">
        <f t="shared" si="87"/>
        <v>5.2177002802491188</v>
      </c>
      <c r="AE74" s="41" t="str">
        <f t="shared" si="75"/>
        <v>5</v>
      </c>
      <c r="AF74" s="24">
        <f t="shared" si="88"/>
        <v>2.6124033629894257</v>
      </c>
      <c r="AG74" s="41" t="str">
        <f t="shared" si="76"/>
        <v/>
      </c>
      <c r="AH74" s="24">
        <f t="shared" si="89"/>
        <v>7.3488403558731079</v>
      </c>
      <c r="AI74" s="41" t="str">
        <f t="shared" si="77"/>
        <v/>
      </c>
      <c r="AJ74" s="24">
        <f t="shared" si="90"/>
        <v>4.1860842704772949</v>
      </c>
      <c r="AK74" s="41" t="str">
        <f t="shared" si="78"/>
        <v/>
      </c>
    </row>
    <row r="75" spans="1:37" ht="13.5" customHeight="1" x14ac:dyDescent="0.2">
      <c r="A75" s="578"/>
      <c r="B75" s="8" t="s">
        <v>39</v>
      </c>
      <c r="C75" s="8"/>
      <c r="D75" s="21"/>
      <c r="E75" s="8">
        <v>9</v>
      </c>
      <c r="F75" s="21">
        <f t="shared" ref="F75" si="91">SQRT($D$32)</f>
        <v>8.5424543102670447E-2</v>
      </c>
      <c r="G75" s="37" t="str">
        <f t="shared" ref="G75:G78" si="92">M75&amp;";"&amp;O75&amp;Q75&amp;S75&amp;U75&amp;W75&amp;Y75&amp;AA75&amp;AC75&amp;AE75&amp;AG75&amp;AI75&amp;AK75</f>
        <v>1;0374439E1</v>
      </c>
      <c r="H75" s="37"/>
      <c r="I75" s="285"/>
      <c r="J75" s="38">
        <v>-1</v>
      </c>
      <c r="K75" s="61">
        <f t="shared" si="65"/>
        <v>1.0250945172320454</v>
      </c>
      <c r="L75" s="39" t="str">
        <f>INDEX(powers!$H$2:$H$75,33+J75)</f>
        <v>unino</v>
      </c>
      <c r="M75" s="40" t="str">
        <f t="shared" si="66"/>
        <v>1</v>
      </c>
      <c r="N75" s="24">
        <f t="shared" si="79"/>
        <v>0.30113420678454439</v>
      </c>
      <c r="O75" s="41" t="str">
        <f t="shared" si="67"/>
        <v>0</v>
      </c>
      <c r="P75" s="24">
        <f t="shared" si="80"/>
        <v>3.6136104814145327</v>
      </c>
      <c r="Q75" s="41" t="str">
        <f t="shared" si="68"/>
        <v>3</v>
      </c>
      <c r="R75" s="24">
        <f t="shared" si="81"/>
        <v>7.3633257769743921</v>
      </c>
      <c r="S75" s="41" t="str">
        <f t="shared" si="69"/>
        <v>7</v>
      </c>
      <c r="T75" s="24">
        <f t="shared" si="82"/>
        <v>4.3599093236927047</v>
      </c>
      <c r="U75" s="41" t="str">
        <f t="shared" si="70"/>
        <v>4</v>
      </c>
      <c r="V75" s="24">
        <f t="shared" si="83"/>
        <v>4.3189118843124561</v>
      </c>
      <c r="W75" s="41" t="str">
        <f t="shared" si="71"/>
        <v>4</v>
      </c>
      <c r="X75" s="24">
        <f t="shared" si="84"/>
        <v>3.8269426117494731</v>
      </c>
      <c r="Y75" s="41" t="str">
        <f t="shared" si="72"/>
        <v>3</v>
      </c>
      <c r="Z75" s="24">
        <f t="shared" si="85"/>
        <v>9.9233113409936777</v>
      </c>
      <c r="AA75" s="41" t="str">
        <f t="shared" si="73"/>
        <v>9</v>
      </c>
      <c r="AB75" s="24">
        <f t="shared" si="86"/>
        <v>11.079736091924133</v>
      </c>
      <c r="AC75" s="41" t="str">
        <f t="shared" si="74"/>
        <v>E</v>
      </c>
      <c r="AD75" s="24">
        <f t="shared" si="87"/>
        <v>0.95683310308959335</v>
      </c>
      <c r="AE75" s="41" t="str">
        <f t="shared" si="75"/>
        <v>1</v>
      </c>
      <c r="AF75" s="24">
        <f t="shared" si="88"/>
        <v>11.48199723707512</v>
      </c>
      <c r="AG75" s="41" t="str">
        <f t="shared" si="76"/>
        <v/>
      </c>
      <c r="AH75" s="24">
        <f t="shared" si="89"/>
        <v>5.7839668449014425</v>
      </c>
      <c r="AI75" s="41" t="str">
        <f t="shared" si="77"/>
        <v/>
      </c>
      <c r="AJ75" s="24">
        <f t="shared" si="90"/>
        <v>9.4076021388173103</v>
      </c>
      <c r="AK75" s="41" t="str">
        <f t="shared" si="78"/>
        <v/>
      </c>
    </row>
    <row r="76" spans="1:37" ht="13.5" customHeight="1" x14ac:dyDescent="0.2">
      <c r="A76" s="578"/>
      <c r="B76" s="8" t="s">
        <v>35</v>
      </c>
      <c r="C76" s="8"/>
      <c r="D76" s="21"/>
      <c r="E76" s="8">
        <v>9</v>
      </c>
      <c r="F76" s="21">
        <f>1/SQRT($D$32)</f>
        <v>11.706237618363557</v>
      </c>
      <c r="G76" s="37" t="str">
        <f t="shared" si="92"/>
        <v>0;E85846629</v>
      </c>
      <c r="H76" s="37"/>
      <c r="I76" s="285"/>
      <c r="J76" s="38">
        <v>1</v>
      </c>
      <c r="K76" s="61">
        <f t="shared" si="65"/>
        <v>0.97551980153029649</v>
      </c>
      <c r="L76" s="39" t="str">
        <f>INDEX(powers!$H$2:$H$75,33+J76)</f>
        <v>dozen</v>
      </c>
      <c r="M76" s="40" t="str">
        <f t="shared" si="66"/>
        <v>0</v>
      </c>
      <c r="N76" s="24">
        <f t="shared" si="79"/>
        <v>11.706237618363557</v>
      </c>
      <c r="O76" s="41" t="str">
        <f t="shared" si="67"/>
        <v>E</v>
      </c>
      <c r="P76" s="24">
        <f t="shared" si="80"/>
        <v>8.4748514203626897</v>
      </c>
      <c r="Q76" s="41" t="str">
        <f t="shared" si="68"/>
        <v>8</v>
      </c>
      <c r="R76" s="24">
        <f t="shared" si="81"/>
        <v>5.6982170443522762</v>
      </c>
      <c r="S76" s="41" t="str">
        <f t="shared" si="69"/>
        <v>5</v>
      </c>
      <c r="T76" s="24">
        <f t="shared" si="82"/>
        <v>8.3786045322273139</v>
      </c>
      <c r="U76" s="41" t="str">
        <f t="shared" si="70"/>
        <v>8</v>
      </c>
      <c r="V76" s="24">
        <f t="shared" si="83"/>
        <v>4.5432543867277673</v>
      </c>
      <c r="W76" s="41" t="str">
        <f t="shared" si="71"/>
        <v>4</v>
      </c>
      <c r="X76" s="24">
        <f t="shared" si="84"/>
        <v>6.5190526407332072</v>
      </c>
      <c r="Y76" s="41" t="str">
        <f t="shared" si="72"/>
        <v>6</v>
      </c>
      <c r="Z76" s="24">
        <f t="shared" si="85"/>
        <v>6.2286316887984867</v>
      </c>
      <c r="AA76" s="41" t="str">
        <f t="shared" si="73"/>
        <v>6</v>
      </c>
      <c r="AB76" s="24">
        <f t="shared" si="86"/>
        <v>2.7435802655818406</v>
      </c>
      <c r="AC76" s="41" t="str">
        <f t="shared" si="74"/>
        <v>2</v>
      </c>
      <c r="AD76" s="24">
        <f t="shared" si="87"/>
        <v>8.9229631869820878</v>
      </c>
      <c r="AE76" s="41" t="str">
        <f t="shared" si="75"/>
        <v>9</v>
      </c>
      <c r="AF76" s="24">
        <f t="shared" si="88"/>
        <v>11.075558243785053</v>
      </c>
      <c r="AG76" s="41" t="str">
        <f t="shared" si="76"/>
        <v/>
      </c>
      <c r="AH76" s="24">
        <f t="shared" si="89"/>
        <v>0.9066989254206419</v>
      </c>
      <c r="AI76" s="41" t="str">
        <f t="shared" si="77"/>
        <v/>
      </c>
      <c r="AJ76" s="24">
        <f t="shared" si="90"/>
        <v>10.880387105047703</v>
      </c>
      <c r="AK76" s="41" t="str">
        <f t="shared" si="78"/>
        <v/>
      </c>
    </row>
    <row r="77" spans="1:37" ht="13.5" customHeight="1" x14ac:dyDescent="0.2">
      <c r="A77" s="578"/>
      <c r="B77" s="8" t="s">
        <v>36</v>
      </c>
      <c r="C77" s="8"/>
      <c r="D77" s="21"/>
      <c r="E77" s="8">
        <v>12</v>
      </c>
      <c r="F77" s="21">
        <f>4*PI()</f>
        <v>12.566370614359172</v>
      </c>
      <c r="G77" s="37" t="str">
        <f t="shared" si="92"/>
        <v>1;0696831713E1</v>
      </c>
      <c r="H77" s="37"/>
      <c r="I77" s="285"/>
      <c r="J77" s="38">
        <v>1</v>
      </c>
      <c r="K77" s="61">
        <f t="shared" si="65"/>
        <v>1.0471975511965976</v>
      </c>
      <c r="L77" s="39" t="str">
        <f>INDEX(powers!$H$2:$H$75,33+J77)</f>
        <v>dozen</v>
      </c>
      <c r="M77" s="40" t="str">
        <f t="shared" si="66"/>
        <v>1</v>
      </c>
      <c r="N77" s="24">
        <f t="shared" si="79"/>
        <v>0.56637061435917158</v>
      </c>
      <c r="O77" s="41" t="str">
        <f t="shared" si="67"/>
        <v>0</v>
      </c>
      <c r="P77" s="24">
        <f t="shared" si="80"/>
        <v>6.7964473723100589</v>
      </c>
      <c r="Q77" s="41" t="str">
        <f t="shared" si="68"/>
        <v>6</v>
      </c>
      <c r="R77" s="24">
        <f t="shared" si="81"/>
        <v>9.5573684677207069</v>
      </c>
      <c r="S77" s="41" t="str">
        <f t="shared" si="69"/>
        <v>9</v>
      </c>
      <c r="T77" s="24">
        <f t="shared" si="82"/>
        <v>6.688421612648483</v>
      </c>
      <c r="U77" s="41" t="str">
        <f t="shared" si="70"/>
        <v>6</v>
      </c>
      <c r="V77" s="24">
        <f t="shared" si="83"/>
        <v>8.2610593517817961</v>
      </c>
      <c r="W77" s="41" t="str">
        <f t="shared" si="71"/>
        <v>8</v>
      </c>
      <c r="X77" s="24">
        <f t="shared" si="84"/>
        <v>3.1327122213815528</v>
      </c>
      <c r="Y77" s="41" t="str">
        <f t="shared" si="72"/>
        <v>3</v>
      </c>
      <c r="Z77" s="24">
        <f t="shared" si="85"/>
        <v>1.5925466565786337</v>
      </c>
      <c r="AA77" s="41" t="str">
        <f t="shared" si="73"/>
        <v>1</v>
      </c>
      <c r="AB77" s="24">
        <f t="shared" si="86"/>
        <v>7.1105598789436044</v>
      </c>
      <c r="AC77" s="41" t="str">
        <f t="shared" si="74"/>
        <v>7</v>
      </c>
      <c r="AD77" s="24">
        <f t="shared" si="87"/>
        <v>1.326718547323253</v>
      </c>
      <c r="AE77" s="41" t="str">
        <f t="shared" si="75"/>
        <v>1</v>
      </c>
      <c r="AF77" s="24">
        <f t="shared" si="88"/>
        <v>3.9206225678790361</v>
      </c>
      <c r="AG77" s="41" t="str">
        <f t="shared" si="76"/>
        <v>3</v>
      </c>
      <c r="AH77" s="24">
        <f t="shared" si="89"/>
        <v>11.047470814548433</v>
      </c>
      <c r="AI77" s="41" t="str">
        <f t="shared" si="77"/>
        <v>E</v>
      </c>
      <c r="AJ77" s="24">
        <f t="shared" si="90"/>
        <v>0.56964977458119392</v>
      </c>
      <c r="AK77" s="41" t="str">
        <f t="shared" si="78"/>
        <v>1</v>
      </c>
    </row>
    <row r="78" spans="1:37" ht="13.5" customHeight="1" x14ac:dyDescent="0.2">
      <c r="A78" s="578"/>
      <c r="B78" s="30" t="s">
        <v>37</v>
      </c>
      <c r="C78" s="30"/>
      <c r="D78" s="29"/>
      <c r="E78" s="8">
        <v>12</v>
      </c>
      <c r="F78" s="21">
        <f>1/(4*PI())</f>
        <v>7.9577471545947673E-2</v>
      </c>
      <c r="G78" s="37" t="str">
        <f t="shared" si="92"/>
        <v>0;E5615082189E</v>
      </c>
      <c r="H78" s="37"/>
      <c r="I78" s="285"/>
      <c r="J78" s="38">
        <v>-1</v>
      </c>
      <c r="K78" s="61">
        <f t="shared" si="65"/>
        <v>0.95492965855137213</v>
      </c>
      <c r="L78" s="39" t="str">
        <f>INDEX(powers!$H$2:$H$75,33+J78)</f>
        <v>unino</v>
      </c>
      <c r="M78" s="40" t="str">
        <f t="shared" si="66"/>
        <v>0</v>
      </c>
      <c r="N78" s="24">
        <f t="shared" si="79"/>
        <v>11.459155902616466</v>
      </c>
      <c r="O78" s="41" t="str">
        <f t="shared" si="67"/>
        <v>E</v>
      </c>
      <c r="P78" s="24">
        <f t="shared" si="80"/>
        <v>5.5098708313975919</v>
      </c>
      <c r="Q78" s="41" t="str">
        <f t="shared" si="68"/>
        <v>5</v>
      </c>
      <c r="R78" s="24">
        <f t="shared" si="81"/>
        <v>6.1184499767711031</v>
      </c>
      <c r="S78" s="41" t="str">
        <f t="shared" si="69"/>
        <v>6</v>
      </c>
      <c r="T78" s="24">
        <f t="shared" si="82"/>
        <v>1.4213997212532377</v>
      </c>
      <c r="U78" s="41" t="str">
        <f t="shared" si="70"/>
        <v>1</v>
      </c>
      <c r="V78" s="24">
        <f t="shared" si="83"/>
        <v>5.0567966550388519</v>
      </c>
      <c r="W78" s="41" t="str">
        <f t="shared" si="71"/>
        <v>5</v>
      </c>
      <c r="X78" s="24">
        <f t="shared" si="84"/>
        <v>0.68155986046622274</v>
      </c>
      <c r="Y78" s="41" t="str">
        <f t="shared" si="72"/>
        <v>0</v>
      </c>
      <c r="Z78" s="24">
        <f t="shared" si="85"/>
        <v>8.1787183255946729</v>
      </c>
      <c r="AA78" s="41" t="str">
        <f t="shared" si="73"/>
        <v>8</v>
      </c>
      <c r="AB78" s="24">
        <f t="shared" si="86"/>
        <v>2.1446199071360752</v>
      </c>
      <c r="AC78" s="41" t="str">
        <f t="shared" si="74"/>
        <v>2</v>
      </c>
      <c r="AD78" s="24">
        <f t="shared" si="87"/>
        <v>1.7354388856329024</v>
      </c>
      <c r="AE78" s="41" t="str">
        <f t="shared" si="75"/>
        <v>1</v>
      </c>
      <c r="AF78" s="24">
        <f t="shared" si="88"/>
        <v>8.8252666275948286</v>
      </c>
      <c r="AG78" s="41" t="str">
        <f t="shared" si="76"/>
        <v>8</v>
      </c>
      <c r="AH78" s="24">
        <f t="shared" si="89"/>
        <v>9.9031995311379433</v>
      </c>
      <c r="AI78" s="41" t="str">
        <f t="shared" si="77"/>
        <v>9</v>
      </c>
      <c r="AJ78" s="24">
        <f t="shared" si="90"/>
        <v>10.838394373655319</v>
      </c>
      <c r="AK78" s="41" t="str">
        <f t="shared" si="78"/>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65"/>
        <v>137.50987083139759</v>
      </c>
      <c r="L79" s="39" t="str">
        <f>INDEX(powers!$H$2:$H$75,33+J79)</f>
        <v>terno</v>
      </c>
      <c r="M79" s="40" t="str">
        <f t="shared" si="66"/>
        <v/>
      </c>
      <c r="N79" s="24">
        <f t="shared" si="79"/>
        <v>6.1184499767711031</v>
      </c>
      <c r="O79" s="41" t="str">
        <f t="shared" si="67"/>
        <v>6</v>
      </c>
      <c r="P79" s="24">
        <f t="shared" si="80"/>
        <v>1.4213997212532377</v>
      </c>
      <c r="Q79" s="41" t="str">
        <f t="shared" si="68"/>
        <v>1</v>
      </c>
      <c r="R79" s="24">
        <f t="shared" si="81"/>
        <v>5.0567966550388519</v>
      </c>
      <c r="S79" s="41" t="str">
        <f t="shared" si="69"/>
        <v>5</v>
      </c>
      <c r="T79" s="24">
        <f t="shared" si="82"/>
        <v>0.68155986046622274</v>
      </c>
      <c r="U79" s="41" t="str">
        <f t="shared" si="70"/>
        <v>0</v>
      </c>
      <c r="V79" s="24">
        <f t="shared" si="83"/>
        <v>8.1787183255946729</v>
      </c>
      <c r="W79" s="41" t="str">
        <f t="shared" si="71"/>
        <v>8</v>
      </c>
      <c r="X79" s="24">
        <f t="shared" si="84"/>
        <v>2.1446199071360752</v>
      </c>
      <c r="Y79" s="41" t="str">
        <f t="shared" si="72"/>
        <v>2</v>
      </c>
      <c r="Z79" s="24">
        <f t="shared" si="85"/>
        <v>1.7354388856329024</v>
      </c>
      <c r="AA79" s="41" t="str">
        <f t="shared" si="73"/>
        <v>1</v>
      </c>
      <c r="AB79" s="24">
        <f t="shared" si="86"/>
        <v>8.8252666275948286</v>
      </c>
      <c r="AC79" s="41" t="str">
        <f t="shared" si="74"/>
        <v>8</v>
      </c>
      <c r="AD79" s="24">
        <f t="shared" si="87"/>
        <v>9.9031995311379433</v>
      </c>
      <c r="AE79" s="41" t="str">
        <f t="shared" si="75"/>
        <v>X</v>
      </c>
      <c r="AF79" s="24">
        <f t="shared" si="88"/>
        <v>10.838394373655319</v>
      </c>
      <c r="AG79" s="41" t="str">
        <f t="shared" si="76"/>
        <v/>
      </c>
      <c r="AH79" s="24">
        <f t="shared" si="89"/>
        <v>10.060732483863831</v>
      </c>
      <c r="AI79" s="41" t="str">
        <f t="shared" si="77"/>
        <v/>
      </c>
      <c r="AJ79" s="24">
        <f t="shared" si="90"/>
        <v>0.7287898063659668</v>
      </c>
      <c r="AK79" s="41" t="str">
        <f t="shared" si="78"/>
        <v/>
      </c>
    </row>
    <row r="80" spans="1:37" ht="13.5" customHeight="1" x14ac:dyDescent="0.2">
      <c r="A80" s="578"/>
      <c r="B80" s="8" t="s">
        <v>32</v>
      </c>
      <c r="C80" s="8"/>
      <c r="D80" s="21"/>
      <c r="E80" s="8">
        <v>9</v>
      </c>
      <c r="F80" s="21">
        <f>4*PI()/$D$32</f>
        <v>1722.0451531746162</v>
      </c>
      <c r="G80" s="37" t="str">
        <f t="shared" ref="G80:G88" si="93">M80&amp;";"&amp;O80&amp;Q80&amp;S80&amp;U80&amp;W80&amp;Y80&amp;AA80&amp;AC80&amp;AE80&amp;AG80&amp;AI80&amp;AK80</f>
        <v>0;EE6066037</v>
      </c>
      <c r="H80" s="37"/>
      <c r="I80" s="285"/>
      <c r="J80" s="38">
        <v>3</v>
      </c>
      <c r="K80" s="61">
        <f t="shared" si="65"/>
        <v>0.99655390808716215</v>
      </c>
      <c r="L80" s="39" t="str">
        <f>INDEX(powers!$H$2:$H$75,33+J80)</f>
        <v>doz gross</v>
      </c>
      <c r="M80" s="40" t="str">
        <f t="shared" si="66"/>
        <v>0</v>
      </c>
      <c r="N80" s="24">
        <f t="shared" si="79"/>
        <v>11.958646897045945</v>
      </c>
      <c r="O80" s="41" t="str">
        <f t="shared" si="67"/>
        <v>E</v>
      </c>
      <c r="P80" s="24">
        <f t="shared" si="80"/>
        <v>11.50376276455134</v>
      </c>
      <c r="Q80" s="41" t="str">
        <f t="shared" si="68"/>
        <v>E</v>
      </c>
      <c r="R80" s="24">
        <f t="shared" si="81"/>
        <v>6.0451531746160754</v>
      </c>
      <c r="S80" s="41" t="str">
        <f t="shared" si="69"/>
        <v>6</v>
      </c>
      <c r="T80" s="24">
        <f t="shared" si="82"/>
        <v>0.54183809539290451</v>
      </c>
      <c r="U80" s="41" t="str">
        <f t="shared" si="70"/>
        <v>0</v>
      </c>
      <c r="V80" s="24">
        <f t="shared" si="83"/>
        <v>6.5020571447148541</v>
      </c>
      <c r="W80" s="41" t="str">
        <f t="shared" si="71"/>
        <v>6</v>
      </c>
      <c r="X80" s="24">
        <f t="shared" si="84"/>
        <v>6.0246857365782489</v>
      </c>
      <c r="Y80" s="41" t="str">
        <f t="shared" si="72"/>
        <v>6</v>
      </c>
      <c r="Z80" s="24">
        <f t="shared" si="85"/>
        <v>0.29622883893898688</v>
      </c>
      <c r="AA80" s="41" t="str">
        <f t="shared" si="73"/>
        <v>0</v>
      </c>
      <c r="AB80" s="24">
        <f t="shared" si="86"/>
        <v>3.5547460672678426</v>
      </c>
      <c r="AC80" s="41" t="str">
        <f t="shared" si="74"/>
        <v>3</v>
      </c>
      <c r="AD80" s="24">
        <f t="shared" si="87"/>
        <v>6.6569528072141111</v>
      </c>
      <c r="AE80" s="41" t="str">
        <f t="shared" si="75"/>
        <v>7</v>
      </c>
      <c r="AF80" s="24">
        <f t="shared" si="88"/>
        <v>7.8834336865693331</v>
      </c>
      <c r="AG80" s="41" t="str">
        <f t="shared" si="76"/>
        <v/>
      </c>
      <c r="AH80" s="24">
        <f t="shared" si="89"/>
        <v>10.601204238831997</v>
      </c>
      <c r="AI80" s="41" t="str">
        <f t="shared" si="77"/>
        <v/>
      </c>
      <c r="AJ80" s="24">
        <f t="shared" si="90"/>
        <v>7.214450865983963</v>
      </c>
      <c r="AK80" s="41" t="str">
        <f t="shared" si="78"/>
        <v/>
      </c>
    </row>
    <row r="81" spans="1:37" ht="13.5" customHeight="1" x14ac:dyDescent="0.2">
      <c r="A81" s="578"/>
      <c r="B81" s="8" t="s">
        <v>38</v>
      </c>
      <c r="C81" s="8"/>
      <c r="D81" s="21"/>
      <c r="E81" s="8">
        <v>9</v>
      </c>
      <c r="F81" s="21">
        <f>$D$32/(4*PI())</f>
        <v>5.8070486604633147E-4</v>
      </c>
      <c r="G81" s="37" t="str">
        <f t="shared" si="93"/>
        <v>1;005E85684</v>
      </c>
      <c r="H81" s="37"/>
      <c r="I81" s="285"/>
      <c r="J81" s="38">
        <v>-3</v>
      </c>
      <c r="K81" s="61">
        <f t="shared" si="65"/>
        <v>1.0034580085280609</v>
      </c>
      <c r="L81" s="39" t="str">
        <f>INDEX(powers!$H$2:$H$75,33+J81)</f>
        <v>terno</v>
      </c>
      <c r="M81" s="40" t="str">
        <f t="shared" si="66"/>
        <v>1</v>
      </c>
      <c r="N81" s="24">
        <f t="shared" si="79"/>
        <v>4.1496102336730623E-2</v>
      </c>
      <c r="O81" s="41" t="str">
        <f t="shared" si="67"/>
        <v>0</v>
      </c>
      <c r="P81" s="24">
        <f t="shared" si="80"/>
        <v>0.49795322804076747</v>
      </c>
      <c r="Q81" s="41" t="str">
        <f t="shared" si="68"/>
        <v>0</v>
      </c>
      <c r="R81" s="24">
        <f t="shared" si="81"/>
        <v>5.9754387364892096</v>
      </c>
      <c r="S81" s="41" t="str">
        <f t="shared" si="69"/>
        <v>5</v>
      </c>
      <c r="T81" s="24">
        <f t="shared" si="82"/>
        <v>11.705264837870516</v>
      </c>
      <c r="U81" s="41" t="str">
        <f t="shared" si="70"/>
        <v>E</v>
      </c>
      <c r="V81" s="24">
        <f t="shared" si="83"/>
        <v>8.463178054446189</v>
      </c>
      <c r="W81" s="41" t="str">
        <f t="shared" si="71"/>
        <v>8</v>
      </c>
      <c r="X81" s="24">
        <f t="shared" si="84"/>
        <v>5.5581366533542678</v>
      </c>
      <c r="Y81" s="41" t="str">
        <f t="shared" si="72"/>
        <v>5</v>
      </c>
      <c r="Z81" s="24">
        <f t="shared" si="85"/>
        <v>6.6976398402512132</v>
      </c>
      <c r="AA81" s="41" t="str">
        <f t="shared" si="73"/>
        <v>6</v>
      </c>
      <c r="AB81" s="24">
        <f t="shared" si="86"/>
        <v>8.3716780830145581</v>
      </c>
      <c r="AC81" s="41" t="str">
        <f t="shared" si="74"/>
        <v>8</v>
      </c>
      <c r="AD81" s="24">
        <f t="shared" si="87"/>
        <v>4.4601369961746968</v>
      </c>
      <c r="AE81" s="41" t="str">
        <f t="shared" si="75"/>
        <v>4</v>
      </c>
      <c r="AF81" s="24">
        <f t="shared" si="88"/>
        <v>5.521643954096362</v>
      </c>
      <c r="AG81" s="41" t="str">
        <f t="shared" si="76"/>
        <v/>
      </c>
      <c r="AH81" s="24">
        <f t="shared" si="89"/>
        <v>6.2597274491563439</v>
      </c>
      <c r="AI81" s="41" t="str">
        <f t="shared" si="77"/>
        <v/>
      </c>
      <c r="AJ81" s="24">
        <f t="shared" si="90"/>
        <v>3.1167293898761272</v>
      </c>
      <c r="AK81" s="41" t="str">
        <f t="shared" si="78"/>
        <v/>
      </c>
    </row>
    <row r="82" spans="1:37" ht="13.5" customHeight="1" x14ac:dyDescent="0.2">
      <c r="A82" s="578"/>
      <c r="B82" s="8" t="s">
        <v>33</v>
      </c>
      <c r="C82" s="8"/>
      <c r="D82" s="21"/>
      <c r="E82" s="8">
        <v>9</v>
      </c>
      <c r="F82" s="21">
        <f>4*PI()/($D$32*$D$32)</f>
        <v>235982.17819420979</v>
      </c>
      <c r="G82" s="37" t="str">
        <f t="shared" si="93"/>
        <v>0;E4692217E</v>
      </c>
      <c r="H82" s="37"/>
      <c r="I82" s="285"/>
      <c r="J82" s="38">
        <v>5</v>
      </c>
      <c r="K82" s="61">
        <f t="shared" si="65"/>
        <v>0.94835944811844852</v>
      </c>
      <c r="L82" s="39" t="str">
        <f>INDEX(powers!$H$2:$H$75,33+J82)</f>
        <v>terno cosmic</v>
      </c>
      <c r="M82" s="40" t="str">
        <f t="shared" si="66"/>
        <v>0</v>
      </c>
      <c r="N82" s="24">
        <f t="shared" si="79"/>
        <v>11.380313377421382</v>
      </c>
      <c r="O82" s="41" t="str">
        <f t="shared" si="67"/>
        <v>E</v>
      </c>
      <c r="P82" s="24">
        <f t="shared" si="80"/>
        <v>4.5637605290565872</v>
      </c>
      <c r="Q82" s="41" t="str">
        <f t="shared" si="68"/>
        <v>4</v>
      </c>
      <c r="R82" s="24">
        <f t="shared" si="81"/>
        <v>6.7651263486790469</v>
      </c>
      <c r="S82" s="41" t="str">
        <f t="shared" si="69"/>
        <v>6</v>
      </c>
      <c r="T82" s="24">
        <f t="shared" si="82"/>
        <v>9.1815161841485633</v>
      </c>
      <c r="U82" s="41" t="str">
        <f t="shared" si="70"/>
        <v>9</v>
      </c>
      <c r="V82" s="24">
        <f t="shared" si="83"/>
        <v>2.1781942097827596</v>
      </c>
      <c r="W82" s="41" t="str">
        <f t="shared" si="71"/>
        <v>2</v>
      </c>
      <c r="X82" s="24">
        <f t="shared" si="84"/>
        <v>2.1383305173931149</v>
      </c>
      <c r="Y82" s="41" t="str">
        <f t="shared" si="72"/>
        <v>2</v>
      </c>
      <c r="Z82" s="24">
        <f t="shared" si="85"/>
        <v>1.6599662087173783</v>
      </c>
      <c r="AA82" s="41" t="str">
        <f t="shared" si="73"/>
        <v>1</v>
      </c>
      <c r="AB82" s="24">
        <f t="shared" si="86"/>
        <v>7.9195945046085399</v>
      </c>
      <c r="AC82" s="41" t="str">
        <f t="shared" si="74"/>
        <v>7</v>
      </c>
      <c r="AD82" s="24">
        <f t="shared" si="87"/>
        <v>11.035134055302478</v>
      </c>
      <c r="AE82" s="41" t="str">
        <f t="shared" si="75"/>
        <v>E</v>
      </c>
      <c r="AF82" s="24">
        <f t="shared" si="88"/>
        <v>0.42160866362974048</v>
      </c>
      <c r="AG82" s="41" t="str">
        <f t="shared" si="76"/>
        <v/>
      </c>
      <c r="AH82" s="24">
        <f t="shared" si="89"/>
        <v>5.0593039635568857</v>
      </c>
      <c r="AI82" s="41" t="str">
        <f t="shared" si="77"/>
        <v/>
      </c>
      <c r="AJ82" s="24">
        <f t="shared" si="90"/>
        <v>0.71164756268262863</v>
      </c>
      <c r="AK82" s="41" t="str">
        <f t="shared" si="78"/>
        <v/>
      </c>
    </row>
    <row r="83" spans="1:37" ht="14.25" customHeight="1" x14ac:dyDescent="0.2">
      <c r="A83" s="578"/>
      <c r="B83" s="30" t="s">
        <v>41</v>
      </c>
      <c r="C83" s="30"/>
      <c r="D83" s="29"/>
      <c r="E83" s="30">
        <v>9</v>
      </c>
      <c r="F83" s="29">
        <f>($D$32*$D$32)/(4*PI())</f>
        <v>4.2376081433446851E-6</v>
      </c>
      <c r="G83" s="108" t="str">
        <f t="shared" si="93"/>
        <v>1;07X1163X5</v>
      </c>
      <c r="H83" s="108"/>
      <c r="I83" s="286"/>
      <c r="J83" s="43">
        <v>-5</v>
      </c>
      <c r="K83" s="62">
        <f t="shared" si="65"/>
        <v>1.0544525095247446</v>
      </c>
      <c r="L83" s="44" t="str">
        <f>INDEX(powers!$H$2:$H$75,33+J83)</f>
        <v>doz gross atomic</v>
      </c>
      <c r="M83" s="40" t="str">
        <f t="shared" si="66"/>
        <v>1</v>
      </c>
      <c r="N83" s="24">
        <f t="shared" si="79"/>
        <v>0.65343011429693476</v>
      </c>
      <c r="O83" s="41" t="str">
        <f t="shared" si="67"/>
        <v>0</v>
      </c>
      <c r="P83" s="24">
        <f t="shared" si="80"/>
        <v>7.8411613715632171</v>
      </c>
      <c r="Q83" s="41" t="str">
        <f t="shared" si="68"/>
        <v>7</v>
      </c>
      <c r="R83" s="24">
        <f t="shared" si="81"/>
        <v>10.093936458758606</v>
      </c>
      <c r="S83" s="41" t="str">
        <f t="shared" si="69"/>
        <v>X</v>
      </c>
      <c r="T83" s="24">
        <f t="shared" si="82"/>
        <v>1.1272375051032668</v>
      </c>
      <c r="U83" s="41" t="str">
        <f t="shared" si="70"/>
        <v>1</v>
      </c>
      <c r="V83" s="24">
        <f t="shared" si="83"/>
        <v>1.5268500612392018</v>
      </c>
      <c r="W83" s="41" t="str">
        <f t="shared" si="71"/>
        <v>1</v>
      </c>
      <c r="X83" s="24">
        <f t="shared" si="84"/>
        <v>6.322200734870421</v>
      </c>
      <c r="Y83" s="41" t="str">
        <f t="shared" si="72"/>
        <v>6</v>
      </c>
      <c r="Z83" s="24">
        <f t="shared" si="85"/>
        <v>3.866408818445052</v>
      </c>
      <c r="AA83" s="41" t="str">
        <f t="shared" si="73"/>
        <v>3</v>
      </c>
      <c r="AB83" s="24">
        <f t="shared" si="86"/>
        <v>10.396905821340624</v>
      </c>
      <c r="AC83" s="41" t="str">
        <f t="shared" si="74"/>
        <v>X</v>
      </c>
      <c r="AD83" s="24">
        <f t="shared" si="87"/>
        <v>4.7628698560874909</v>
      </c>
      <c r="AE83" s="41" t="str">
        <f t="shared" si="75"/>
        <v>5</v>
      </c>
      <c r="AF83" s="24">
        <f t="shared" si="88"/>
        <v>9.154438273049891</v>
      </c>
      <c r="AG83" s="41" t="str">
        <f t="shared" si="76"/>
        <v/>
      </c>
      <c r="AH83" s="24">
        <f t="shared" si="89"/>
        <v>1.8532592765986919</v>
      </c>
      <c r="AI83" s="41" t="str">
        <f t="shared" si="77"/>
        <v/>
      </c>
      <c r="AJ83" s="24">
        <f t="shared" si="90"/>
        <v>10.239111319184303</v>
      </c>
      <c r="AK83" s="41" t="str">
        <f t="shared" si="78"/>
        <v/>
      </c>
    </row>
    <row r="84" spans="1:37" ht="14.25" customHeight="1" x14ac:dyDescent="0.2">
      <c r="A84" s="578"/>
      <c r="B84" s="30" t="s">
        <v>1220</v>
      </c>
      <c r="C84" s="30"/>
      <c r="D84" s="29"/>
      <c r="E84" s="30">
        <v>11</v>
      </c>
      <c r="F84" s="29">
        <v>1836.15267245</v>
      </c>
      <c r="G84" s="108" t="str">
        <f t="shared" si="93"/>
        <v>1;09019E9995E</v>
      </c>
      <c r="H84" s="108"/>
      <c r="I84" s="286"/>
      <c r="J84" s="43">
        <v>3</v>
      </c>
      <c r="K84" s="62">
        <f t="shared" si="65"/>
        <v>1.0625883521122685</v>
      </c>
      <c r="L84" s="44" t="str">
        <f>INDEX(powers!$H$2:$H$75,33+J84)</f>
        <v>doz gross</v>
      </c>
      <c r="M84" s="40" t="str">
        <f t="shared" si="66"/>
        <v>1</v>
      </c>
      <c r="N84" s="24">
        <f t="shared" si="79"/>
        <v>0.7510602253472225</v>
      </c>
      <c r="O84" s="41" t="str">
        <f t="shared" si="67"/>
        <v>0</v>
      </c>
      <c r="P84" s="24">
        <f t="shared" si="80"/>
        <v>9.01272270416667</v>
      </c>
      <c r="Q84" s="41" t="str">
        <f t="shared" si="68"/>
        <v>9</v>
      </c>
      <c r="R84" s="24">
        <f t="shared" si="81"/>
        <v>0.15267245000003982</v>
      </c>
      <c r="S84" s="41" t="str">
        <f t="shared" si="69"/>
        <v>0</v>
      </c>
      <c r="T84" s="24">
        <f t="shared" si="82"/>
        <v>1.8320694000004778</v>
      </c>
      <c r="U84" s="41" t="str">
        <f t="shared" si="70"/>
        <v>1</v>
      </c>
      <c r="V84" s="24">
        <f t="shared" si="83"/>
        <v>9.9848328000057336</v>
      </c>
      <c r="W84" s="41" t="str">
        <f t="shared" si="71"/>
        <v>9</v>
      </c>
      <c r="X84" s="24">
        <f t="shared" si="84"/>
        <v>11.817993600068803</v>
      </c>
      <c r="Y84" s="41" t="str">
        <f t="shared" si="72"/>
        <v>E</v>
      </c>
      <c r="Z84" s="24">
        <f t="shared" si="85"/>
        <v>9.8159232008256367</v>
      </c>
      <c r="AA84" s="41" t="str">
        <f t="shared" si="73"/>
        <v>9</v>
      </c>
      <c r="AB84" s="24">
        <f t="shared" si="86"/>
        <v>9.7910784099076409</v>
      </c>
      <c r="AC84" s="41" t="str">
        <f t="shared" si="74"/>
        <v>9</v>
      </c>
      <c r="AD84" s="24">
        <f t="shared" si="87"/>
        <v>9.4929409188916907</v>
      </c>
      <c r="AE84" s="41" t="str">
        <f t="shared" si="75"/>
        <v>9</v>
      </c>
      <c r="AF84" s="24">
        <f t="shared" si="88"/>
        <v>5.9152910267002881</v>
      </c>
      <c r="AG84" s="41" t="str">
        <f t="shared" si="76"/>
        <v>5</v>
      </c>
      <c r="AH84" s="24">
        <f t="shared" si="89"/>
        <v>10.983492320403457</v>
      </c>
      <c r="AI84" s="41" t="str">
        <f t="shared" si="77"/>
        <v>E</v>
      </c>
      <c r="AJ84" s="24">
        <f t="shared" si="90"/>
        <v>11.80190784484148</v>
      </c>
      <c r="AK84" s="41" t="str">
        <f t="shared" si="78"/>
        <v/>
      </c>
    </row>
    <row r="85" spans="1:37" ht="14.25" customHeight="1" x14ac:dyDescent="0.2">
      <c r="A85" s="578"/>
      <c r="B85" s="30" t="s">
        <v>1221</v>
      </c>
      <c r="C85" s="30"/>
      <c r="D85" s="29"/>
      <c r="E85" s="30">
        <v>11</v>
      </c>
      <c r="F85" s="29">
        <f>POWER(F84,9)*POWER(F72,-11)</f>
        <v>7.5920748287008189E+52</v>
      </c>
      <c r="G85" s="108" t="str">
        <f t="shared" si="93"/>
        <v>1;001XXX1088</v>
      </c>
      <c r="H85" s="108"/>
      <c r="I85" s="286"/>
      <c r="J85" s="43">
        <v>49</v>
      </c>
      <c r="K85" s="62">
        <f t="shared" si="65"/>
        <v>1.0011045231309914</v>
      </c>
      <c r="L85" s="44" t="str">
        <f>Rydberg!L85</f>
        <v>sexty-cosmic dirac</v>
      </c>
      <c r="M85" s="40" t="str">
        <f t="shared" si="66"/>
        <v>1</v>
      </c>
      <c r="N85" s="24">
        <f t="shared" si="79"/>
        <v>1.32542775718969E-2</v>
      </c>
      <c r="O85" s="41" t="str">
        <f t="shared" si="67"/>
        <v>0</v>
      </c>
      <c r="P85" s="24">
        <f t="shared" si="80"/>
        <v>0.1590513308627628</v>
      </c>
      <c r="Q85" s="41" t="str">
        <f t="shared" si="68"/>
        <v>0</v>
      </c>
      <c r="R85" s="24">
        <f t="shared" si="81"/>
        <v>1.9086159703531536</v>
      </c>
      <c r="S85" s="41" t="str">
        <f t="shared" si="69"/>
        <v>1</v>
      </c>
      <c r="T85" s="24">
        <f t="shared" si="82"/>
        <v>10.903391644237843</v>
      </c>
      <c r="U85" s="41" t="str">
        <f t="shared" si="70"/>
        <v>X</v>
      </c>
      <c r="V85" s="24">
        <f t="shared" si="83"/>
        <v>10.840699730854112</v>
      </c>
      <c r="W85" s="41" t="str">
        <f t="shared" si="71"/>
        <v>X</v>
      </c>
      <c r="X85" s="24">
        <f t="shared" si="84"/>
        <v>10.088396770249346</v>
      </c>
      <c r="Y85" s="41" t="str">
        <f t="shared" si="72"/>
        <v>X</v>
      </c>
      <c r="Z85" s="24">
        <f t="shared" si="85"/>
        <v>1.0607612429921573</v>
      </c>
      <c r="AA85" s="41" t="str">
        <f t="shared" si="73"/>
        <v>1</v>
      </c>
      <c r="AB85" s="24">
        <f t="shared" si="86"/>
        <v>0.72913491590588819</v>
      </c>
      <c r="AC85" s="41" t="str">
        <f t="shared" si="74"/>
        <v>0</v>
      </c>
      <c r="AD85" s="24">
        <f t="shared" si="87"/>
        <v>8.7496189908706583</v>
      </c>
      <c r="AE85" s="41" t="str">
        <f t="shared" si="75"/>
        <v>8</v>
      </c>
      <c r="AF85" s="24">
        <f t="shared" si="88"/>
        <v>8.9954278904478997</v>
      </c>
      <c r="AG85" s="41" t="str">
        <f t="shared" si="76"/>
        <v>8</v>
      </c>
      <c r="AH85" s="24">
        <f t="shared" si="89"/>
        <v>11.945134685374796</v>
      </c>
      <c r="AI85" s="41" t="str">
        <f t="shared" si="77"/>
        <v/>
      </c>
      <c r="AJ85" s="24">
        <f t="shared" si="90"/>
        <v>11.341616224497557</v>
      </c>
      <c r="AK85" s="41" t="str">
        <f t="shared" si="78"/>
        <v/>
      </c>
    </row>
    <row r="86" spans="1:37" ht="14.25" customHeight="1" x14ac:dyDescent="0.2">
      <c r="A86" s="578"/>
      <c r="B86" s="30" t="s">
        <v>339</v>
      </c>
      <c r="C86" s="30"/>
      <c r="D86" s="29"/>
      <c r="E86" s="30">
        <v>12</v>
      </c>
      <c r="F86" s="29">
        <f>POWER(2,43)</f>
        <v>8796093022208</v>
      </c>
      <c r="G86" s="108" t="str">
        <f t="shared" si="93"/>
        <v>0;EX08X990X0X8</v>
      </c>
      <c r="H86" s="108"/>
      <c r="I86" s="286"/>
      <c r="J86" s="43">
        <v>12</v>
      </c>
      <c r="K86" s="62">
        <f t="shared" si="65"/>
        <v>0.98654036854514426</v>
      </c>
      <c r="L86" s="44" t="str">
        <f>INDEX(powers!$H$2:$H$75,33+J86)</f>
        <v>cosmic hyper</v>
      </c>
      <c r="M86" s="40" t="str">
        <f t="shared" si="66"/>
        <v>0</v>
      </c>
      <c r="N86" s="24">
        <f t="shared" si="79"/>
        <v>11.838484422541731</v>
      </c>
      <c r="O86" s="41" t="str">
        <f t="shared" si="67"/>
        <v>E</v>
      </c>
      <c r="P86" s="24">
        <f t="shared" si="80"/>
        <v>10.061813070500769</v>
      </c>
      <c r="Q86" s="41" t="str">
        <f t="shared" si="68"/>
        <v>X</v>
      </c>
      <c r="R86" s="24">
        <f t="shared" si="81"/>
        <v>0.74175684600922409</v>
      </c>
      <c r="S86" s="41" t="str">
        <f t="shared" si="69"/>
        <v>0</v>
      </c>
      <c r="T86" s="24">
        <f t="shared" si="82"/>
        <v>8.9010821521106891</v>
      </c>
      <c r="U86" s="41" t="str">
        <f t="shared" si="70"/>
        <v>8</v>
      </c>
      <c r="V86" s="24">
        <f t="shared" si="83"/>
        <v>10.812985825328269</v>
      </c>
      <c r="W86" s="41" t="str">
        <f t="shared" si="71"/>
        <v>X</v>
      </c>
      <c r="X86" s="24">
        <f t="shared" si="84"/>
        <v>9.7558299039392296</v>
      </c>
      <c r="Y86" s="41" t="str">
        <f t="shared" si="72"/>
        <v>9</v>
      </c>
      <c r="Z86" s="24">
        <f t="shared" si="85"/>
        <v>9.0699588472707546</v>
      </c>
      <c r="AA86" s="41" t="str">
        <f t="shared" si="73"/>
        <v>9</v>
      </c>
      <c r="AB86" s="24">
        <f t="shared" si="86"/>
        <v>0.83950616724905558</v>
      </c>
      <c r="AC86" s="41" t="str">
        <f t="shared" si="74"/>
        <v>0</v>
      </c>
      <c r="AD86" s="24">
        <f t="shared" si="87"/>
        <v>10.074074006988667</v>
      </c>
      <c r="AE86" s="41" t="str">
        <f t="shared" si="75"/>
        <v>X</v>
      </c>
      <c r="AF86" s="24">
        <f t="shared" si="88"/>
        <v>0.88888808386400342</v>
      </c>
      <c r="AG86" s="41" t="str">
        <f t="shared" si="76"/>
        <v>0</v>
      </c>
      <c r="AH86" s="24">
        <f t="shared" si="89"/>
        <v>10.666657006368041</v>
      </c>
      <c r="AI86" s="41" t="str">
        <f t="shared" si="77"/>
        <v>X</v>
      </c>
      <c r="AJ86" s="24">
        <f t="shared" si="90"/>
        <v>7.9998840764164925</v>
      </c>
      <c r="AK86" s="41" t="str">
        <f t="shared" si="78"/>
        <v>8</v>
      </c>
    </row>
    <row r="87" spans="1:37" ht="14.25" customHeight="1" x14ac:dyDescent="0.2">
      <c r="A87" s="578"/>
      <c r="B87" s="30" t="s">
        <v>645</v>
      </c>
      <c r="C87" s="30"/>
      <c r="D87" s="29"/>
      <c r="E87" s="30">
        <v>12</v>
      </c>
      <c r="F87" s="29">
        <f>POWER(12,16)/POWER(2,48)</f>
        <v>656.84083557128906</v>
      </c>
      <c r="G87" s="108" t="str">
        <f t="shared" si="93"/>
        <v>4;68X10E696900</v>
      </c>
      <c r="H87" s="108"/>
      <c r="I87" s="286"/>
      <c r="J87" s="43">
        <v>2</v>
      </c>
      <c r="K87" s="62">
        <f t="shared" si="65"/>
        <v>4.5613946914672852</v>
      </c>
      <c r="L87" s="44" t="str">
        <f>INDEX(powers!$H$2:$H$75,33+J87)</f>
        <v>gross</v>
      </c>
      <c r="M87" s="40" t="str">
        <f t="shared" si="66"/>
        <v>4</v>
      </c>
      <c r="N87" s="24">
        <f t="shared" si="79"/>
        <v>6.7367362976074219</v>
      </c>
      <c r="O87" s="41" t="str">
        <f t="shared" si="67"/>
        <v>6</v>
      </c>
      <c r="P87" s="24">
        <f t="shared" si="80"/>
        <v>8.8408355712890625</v>
      </c>
      <c r="Q87" s="41" t="str">
        <f t="shared" si="68"/>
        <v>8</v>
      </c>
      <c r="R87" s="24">
        <f t="shared" si="81"/>
        <v>10.09002685546875</v>
      </c>
      <c r="S87" s="41" t="str">
        <f t="shared" si="69"/>
        <v>X</v>
      </c>
      <c r="T87" s="24">
        <f t="shared" si="82"/>
        <v>1.080322265625</v>
      </c>
      <c r="U87" s="41" t="str">
        <f t="shared" si="70"/>
        <v>1</v>
      </c>
      <c r="V87" s="24">
        <f t="shared" si="83"/>
        <v>0.9638671875</v>
      </c>
      <c r="W87" s="41" t="str">
        <f t="shared" si="71"/>
        <v>0</v>
      </c>
      <c r="X87" s="24">
        <f t="shared" si="84"/>
        <v>11.56640625</v>
      </c>
      <c r="Y87" s="41" t="str">
        <f t="shared" si="72"/>
        <v>E</v>
      </c>
      <c r="Z87" s="24">
        <f t="shared" si="85"/>
        <v>6.796875</v>
      </c>
      <c r="AA87" s="41" t="str">
        <f t="shared" si="73"/>
        <v>6</v>
      </c>
      <c r="AB87" s="24">
        <f t="shared" si="86"/>
        <v>9.5625</v>
      </c>
      <c r="AC87" s="41" t="str">
        <f t="shared" si="74"/>
        <v>9</v>
      </c>
      <c r="AD87" s="24">
        <f t="shared" si="87"/>
        <v>6.75</v>
      </c>
      <c r="AE87" s="41" t="str">
        <f t="shared" si="75"/>
        <v>6</v>
      </c>
      <c r="AF87" s="24">
        <f t="shared" si="88"/>
        <v>9</v>
      </c>
      <c r="AG87" s="41" t="str">
        <f t="shared" si="76"/>
        <v>9</v>
      </c>
      <c r="AH87" s="24">
        <f t="shared" si="89"/>
        <v>0</v>
      </c>
      <c r="AI87" s="41" t="str">
        <f t="shared" si="77"/>
        <v>0</v>
      </c>
      <c r="AJ87" s="24">
        <f t="shared" si="90"/>
        <v>0</v>
      </c>
      <c r="AK87" s="41" t="str">
        <f t="shared" si="78"/>
        <v>0</v>
      </c>
    </row>
    <row r="88" spans="1:37" ht="14.25" customHeight="1" thickBot="1" x14ac:dyDescent="0.25">
      <c r="A88" s="579"/>
      <c r="B88" s="33" t="s">
        <v>340</v>
      </c>
      <c r="C88" s="33"/>
      <c r="D88" s="32"/>
      <c r="E88" s="33">
        <v>12</v>
      </c>
      <c r="F88" s="32">
        <f>POWER(2,-17)*(2*PI())</f>
        <v>4.7936899621426287E-5</v>
      </c>
      <c r="G88" s="47" t="str">
        <f t="shared" si="93"/>
        <v>0;EE17EX582521</v>
      </c>
      <c r="H88" s="47"/>
      <c r="I88" s="287"/>
      <c r="J88" s="48">
        <v>-4</v>
      </c>
      <c r="K88" s="63">
        <f t="shared" si="65"/>
        <v>0.99401955054989555</v>
      </c>
      <c r="L88" s="49" t="str">
        <f>INDEX(powers!$H$2:$H$75,33+J88)</f>
        <v>sub</v>
      </c>
      <c r="M88" s="40" t="str">
        <f t="shared" si="66"/>
        <v>0</v>
      </c>
      <c r="N88" s="24">
        <f t="shared" si="79"/>
        <v>11.928234606598746</v>
      </c>
      <c r="O88" s="41" t="str">
        <f t="shared" si="67"/>
        <v>E</v>
      </c>
      <c r="P88" s="24">
        <f t="shared" si="80"/>
        <v>11.138815279184954</v>
      </c>
      <c r="Q88" s="41" t="str">
        <f t="shared" si="68"/>
        <v>E</v>
      </c>
      <c r="R88" s="24">
        <f t="shared" si="81"/>
        <v>1.6657833502194421</v>
      </c>
      <c r="S88" s="41" t="str">
        <f t="shared" si="69"/>
        <v>1</v>
      </c>
      <c r="T88" s="24">
        <f t="shared" si="82"/>
        <v>7.9894002026333055</v>
      </c>
      <c r="U88" s="41" t="str">
        <f t="shared" si="70"/>
        <v>7</v>
      </c>
      <c r="V88" s="24">
        <f t="shared" si="83"/>
        <v>11.872802431599666</v>
      </c>
      <c r="W88" s="41" t="str">
        <f t="shared" si="71"/>
        <v>E</v>
      </c>
      <c r="X88" s="24">
        <f t="shared" si="84"/>
        <v>10.473629179195996</v>
      </c>
      <c r="Y88" s="41" t="str">
        <f t="shared" si="72"/>
        <v>X</v>
      </c>
      <c r="Z88" s="24">
        <f t="shared" si="85"/>
        <v>5.6835501503519481</v>
      </c>
      <c r="AA88" s="41" t="str">
        <f t="shared" si="73"/>
        <v>5</v>
      </c>
      <c r="AB88" s="24">
        <f t="shared" si="86"/>
        <v>8.2026018042233773</v>
      </c>
      <c r="AC88" s="41" t="str">
        <f t="shared" si="74"/>
        <v>8</v>
      </c>
      <c r="AD88" s="24">
        <f t="shared" si="87"/>
        <v>2.4312216506805271</v>
      </c>
      <c r="AE88" s="41" t="str">
        <f t="shared" si="75"/>
        <v>2</v>
      </c>
      <c r="AF88" s="24">
        <f t="shared" si="88"/>
        <v>5.1746598081663251</v>
      </c>
      <c r="AG88" s="41" t="str">
        <f t="shared" si="76"/>
        <v>5</v>
      </c>
      <c r="AH88" s="24">
        <f t="shared" si="89"/>
        <v>2.0959176979959011</v>
      </c>
      <c r="AI88" s="41" t="str">
        <f t="shared" si="77"/>
        <v>2</v>
      </c>
      <c r="AJ88" s="24">
        <f t="shared" si="90"/>
        <v>1.1510123759508133</v>
      </c>
      <c r="AK88" s="41" t="str">
        <f t="shared" si="78"/>
        <v>1</v>
      </c>
    </row>
    <row r="89" spans="1:37" x14ac:dyDescent="0.2">
      <c r="K89" s="79"/>
      <c r="L89" s="79"/>
      <c r="M89" s="79"/>
    </row>
    <row r="90" spans="1:37" ht="15" customHeight="1" x14ac:dyDescent="0.2">
      <c r="B90" s="3" t="s">
        <v>264</v>
      </c>
      <c r="C90" s="3" t="str">
        <f>Rydberg!C34</f>
        <v>Ω_1/m</v>
      </c>
      <c r="D90" s="21">
        <f>Rydberg!D34*D91</f>
        <v>10967758.340274228</v>
      </c>
      <c r="E90" s="8">
        <v>4</v>
      </c>
      <c r="F90" s="21">
        <f>D90/(1/F$3)</f>
        <v>1.048725390954072E-27</v>
      </c>
      <c r="G90" s="37" t="str">
        <f t="shared" ref="G90" si="94">M90&amp;";"&amp;O90&amp;Q90&amp;S90&amp;U90&amp;W90&amp;Y90&amp;AA90&amp;AC90&amp;AE90&amp;AG90&amp;AI90&amp;AK90</f>
        <v>1;0009</v>
      </c>
      <c r="H90" s="37"/>
      <c r="I90" s="285"/>
      <c r="J90" s="38">
        <v>-25</v>
      </c>
      <c r="K90" s="61">
        <f>F90/POWER(12,J90)</f>
        <v>1.0004443459559063</v>
      </c>
      <c r="L90" s="39" t="str">
        <f>INDEX(powers!$H$2:$H$75,33+J90)</f>
        <v>unino ter-atomic</v>
      </c>
      <c r="M90" s="40" t="str">
        <f t="shared" ref="M90" si="95">IF($E90&gt;=M$31,MID($J$31,IF($E90&gt;M$31,INT(K90),ROUND(K90,0))+1,1),"")</f>
        <v>1</v>
      </c>
      <c r="N90" s="24">
        <f t="shared" ref="N90" si="96">(K90-INT(K90))*12</f>
        <v>5.3321514708750684E-3</v>
      </c>
      <c r="O90" s="41" t="str">
        <f t="shared" ref="O90" si="97">IF($E90&gt;=O$31,MID($J$31,IF($E90&gt;O$31,INT(N90),ROUND(N90,0))+1,1),"")</f>
        <v>0</v>
      </c>
      <c r="P90" s="24">
        <f t="shared" ref="P90" si="98">(N90-INT(N90))*12</f>
        <v>6.398581765050082E-2</v>
      </c>
      <c r="Q90" s="41" t="str">
        <f t="shared" ref="Q90" si="99">IF($E90&gt;=Q$31,MID($J$31,IF($E90&gt;Q$31,INT(P90),ROUND(P90,0))+1,1),"")</f>
        <v>0</v>
      </c>
      <c r="R90" s="24">
        <f t="shared" ref="R90" si="100">(P90-INT(P90))*12</f>
        <v>0.76782981180600984</v>
      </c>
      <c r="S90" s="41" t="str">
        <f t="shared" ref="S90" si="101">IF($E90&gt;=S$31,MID($J$31,IF($E90&gt;S$31,INT(R90),ROUND(R90,0))+1,1),"")</f>
        <v>0</v>
      </c>
      <c r="T90" s="24">
        <f t="shared" ref="T90" si="102">(R90-INT(R90))*12</f>
        <v>9.2139577416721181</v>
      </c>
      <c r="U90" s="41" t="str">
        <f t="shared" ref="U90" si="103">IF($E90&gt;=U$31,MID($J$31,IF($E90&gt;U$31,INT(T90),ROUND(T90,0))+1,1),"")</f>
        <v>9</v>
      </c>
      <c r="V90" s="24">
        <f t="shared" ref="V90" si="104">(T90-INT(T90))*12</f>
        <v>2.5674929000654174</v>
      </c>
      <c r="W90" s="41" t="str">
        <f t="shared" ref="W90" si="105">IF($E90&gt;=W$31,MID($J$31,IF($E90&gt;W$31,INT(V90),ROUND(V90,0))+1,1),"")</f>
        <v/>
      </c>
      <c r="X90" s="24">
        <f t="shared" ref="X90" si="106">(V90-INT(V90))*12</f>
        <v>6.809914800785009</v>
      </c>
      <c r="Y90" s="41" t="str">
        <f t="shared" ref="Y90" si="107">IF($E90&gt;=Y$31,MID($J$31,IF($E90&gt;Y$31,INT(X90),ROUND(X90,0))+1,1),"")</f>
        <v/>
      </c>
      <c r="Z90" s="24">
        <f t="shared" ref="Z90" si="108">(X90-INT(X90))*12</f>
        <v>9.7189776094201079</v>
      </c>
      <c r="AA90" s="41" t="str">
        <f t="shared" ref="AA90" si="109">IF($E90&gt;=AA$31,MID($J$31,IF($E90&gt;AA$31,INT(Z90),ROUND(Z90,0))+1,1),"")</f>
        <v/>
      </c>
      <c r="AB90" s="24">
        <f t="shared" ref="AB90" si="110">(Z90-INT(Z90))*12</f>
        <v>8.6277313130412949</v>
      </c>
      <c r="AC90" s="41" t="str">
        <f t="shared" ref="AC90" si="111">IF($E90&gt;=AC$31,MID($J$31,IF($E90&gt;AC$31,INT(AB90),ROUND(AB90,0))+1,1),"")</f>
        <v/>
      </c>
      <c r="AD90" s="24">
        <f t="shared" ref="AD90" si="112">(AB90-INT(AB90))*12</f>
        <v>7.5327757564955391</v>
      </c>
      <c r="AE90" s="41" t="str">
        <f t="shared" ref="AE90" si="113">IF($E90&gt;=AE$31,MID($J$31,IF($E90&gt;AE$31,INT(AD90),ROUND(AD90,0))+1,1),"")</f>
        <v/>
      </c>
      <c r="AF90" s="24">
        <f t="shared" ref="AF90" si="114">(AD90-INT(AD90))*12</f>
        <v>6.3933090779464692</v>
      </c>
      <c r="AG90" s="41" t="str">
        <f t="shared" ref="AG90" si="115">IF($E90&gt;=AG$31,MID($J$31,IF($E90&gt;AG$31,INT(AF90),ROUND(AF90,0))+1,1),"")</f>
        <v/>
      </c>
      <c r="AH90" s="24">
        <f t="shared" ref="AH90" si="116">(AF90-INT(AF90))*12</f>
        <v>4.7197089353576303</v>
      </c>
      <c r="AI90" s="41" t="str">
        <f t="shared" ref="AI90" si="117">IF($E90&gt;=AI$31,MID($J$31,IF($E90&gt;AI$31,INT(AH90),ROUND(AH90,0))+1,1),"")</f>
        <v/>
      </c>
      <c r="AJ90" s="24">
        <f t="shared" ref="AJ90" si="118">(AH90-INT(AH90))*12</f>
        <v>8.636507224291563</v>
      </c>
      <c r="AK90" s="41" t="str">
        <f t="shared" ref="AK90" si="119">IF($E90&gt;=AK$31,MID($J$31,IF($E90&gt;AK$31,INT(AJ90),ROUND(AJ90,0))+1,1),"")</f>
        <v/>
      </c>
    </row>
    <row r="91" spans="1:37" x14ac:dyDescent="0.2">
      <c r="B91" s="137" t="s">
        <v>265</v>
      </c>
      <c r="D91" s="14">
        <f>1/(1+0.00054461702177)</f>
        <v>0.99945567942448077</v>
      </c>
    </row>
    <row r="92" spans="1:37" x14ac:dyDescent="0.2">
      <c r="B92" s="3" t="s">
        <v>1529</v>
      </c>
      <c r="C92" s="3"/>
      <c r="D92" s="21">
        <f>R23</f>
        <v>0.9686614433632964</v>
      </c>
      <c r="E92" s="8">
        <v>7</v>
      </c>
      <c r="F92" s="21">
        <f>D92</f>
        <v>0.9686614433632964</v>
      </c>
      <c r="G92" s="37" t="str">
        <f t="shared" ref="G92:G93" si="120">M92&amp;";"&amp;O92&amp;Q92&amp;S92&amp;U92&amp;W92&amp;Y92&amp;AA92&amp;AC92&amp;AE92&amp;AG92&amp;AI92&amp;AK92</f>
        <v>0;E75X1E7</v>
      </c>
      <c r="H92" s="37"/>
      <c r="I92" s="285"/>
      <c r="J92" s="38">
        <v>0</v>
      </c>
      <c r="K92" s="61">
        <f>F92/POWER(12,J92)</f>
        <v>0.9686614433632964</v>
      </c>
      <c r="L92" s="39" t="str">
        <f>INDEX(powers!$H$2:$H$75,33+J92)</f>
        <v xml:space="preserve"> </v>
      </c>
      <c r="M92" s="40" t="str">
        <f t="shared" ref="M92" si="121">IF($E92&gt;=M$31,MID($J$31,IF($E92&gt;M$31,INT(K92),ROUND(K92,0))+1,1),"")</f>
        <v>0</v>
      </c>
      <c r="N92" s="24">
        <f t="shared" ref="N92:N93" si="122">(K92-INT(K92))*12</f>
        <v>11.623937320359557</v>
      </c>
      <c r="O92" s="41" t="str">
        <f t="shared" ref="O92" si="123">IF($E92&gt;=O$31,MID($J$31,IF($E92&gt;O$31,INT(N92),ROUND(N92,0))+1,1),"")</f>
        <v>E</v>
      </c>
      <c r="P92" s="24">
        <f t="shared" ref="P92:P93" si="124">(N92-INT(N92))*12</f>
        <v>7.4872478443146875</v>
      </c>
      <c r="Q92" s="41" t="str">
        <f t="shared" ref="Q92" si="125">IF($E92&gt;=Q$31,MID($J$31,IF($E92&gt;Q$31,INT(P92),ROUND(P92,0))+1,1),"")</f>
        <v>7</v>
      </c>
      <c r="R92" s="24">
        <f t="shared" ref="R92:R93" si="126">(P92-INT(P92))*12</f>
        <v>5.8469741317762498</v>
      </c>
      <c r="S92" s="41" t="str">
        <f t="shared" ref="S92" si="127">IF($E92&gt;=S$31,MID($J$31,IF($E92&gt;S$31,INT(R92),ROUND(R92,0))+1,1),"")</f>
        <v>5</v>
      </c>
      <c r="T92" s="24">
        <f t="shared" ref="T92:T93" si="128">(R92-INT(R92))*12</f>
        <v>10.163689581314998</v>
      </c>
      <c r="U92" s="41" t="str">
        <f t="shared" ref="U92" si="129">IF($E92&gt;=U$31,MID($J$31,IF($E92&gt;U$31,INT(T92),ROUND(T92,0))+1,1),"")</f>
        <v>X</v>
      </c>
      <c r="V92" s="24">
        <f t="shared" ref="V92:V93" si="130">(T92-INT(T92))*12</f>
        <v>1.964274975779972</v>
      </c>
      <c r="W92" s="41" t="str">
        <f t="shared" ref="W92" si="131">IF($E92&gt;=W$31,MID($J$31,IF($E92&gt;W$31,INT(V92),ROUND(V92,0))+1,1),"")</f>
        <v>1</v>
      </c>
      <c r="X92" s="24">
        <f t="shared" ref="X92:X93" si="132">(V92-INT(V92))*12</f>
        <v>11.571299709359664</v>
      </c>
      <c r="Y92" s="41" t="str">
        <f t="shared" ref="Y92" si="133">IF($E92&gt;=Y$31,MID($J$31,IF($E92&gt;Y$31,INT(X92),ROUND(X92,0))+1,1),"")</f>
        <v>E</v>
      </c>
      <c r="Z92" s="24">
        <f t="shared" ref="Z92:Z93" si="134">(X92-INT(X92))*12</f>
        <v>6.8555965123159694</v>
      </c>
      <c r="AA92" s="41" t="str">
        <f t="shared" ref="AA92" si="135">IF($E92&gt;=AA$31,MID($J$31,IF($E92&gt;AA$31,INT(Z92),ROUND(Z92,0))+1,1),"")</f>
        <v>7</v>
      </c>
      <c r="AB92" s="24">
        <f t="shared" ref="AB92:AB93" si="136">(Z92-INT(Z92))*12</f>
        <v>10.267158147791633</v>
      </c>
      <c r="AC92" s="41" t="str">
        <f t="shared" ref="AC92" si="137">IF($E92&gt;=AC$31,MID($J$31,IF($E92&gt;AC$31,INT(AB92),ROUND(AB92,0))+1,1),"")</f>
        <v/>
      </c>
      <c r="AD92" s="24">
        <f t="shared" ref="AD92:AD93" si="138">(AB92-INT(AB92))*12</f>
        <v>3.2058977734996006</v>
      </c>
      <c r="AE92" s="41" t="str">
        <f t="shared" ref="AE92" si="139">IF($E92&gt;=AE$31,MID($J$31,IF($E92&gt;AE$31,INT(AD92),ROUND(AD92,0))+1,1),"")</f>
        <v/>
      </c>
      <c r="AF92" s="24">
        <f t="shared" ref="AF92:AF93" si="140">(AD92-INT(AD92))*12</f>
        <v>2.4707732819952071</v>
      </c>
      <c r="AG92" s="41" t="str">
        <f t="shared" ref="AG92" si="141">IF($E92&gt;=AG$31,MID($J$31,IF($E92&gt;AG$31,INT(AF92),ROUND(AF92,0))+1,1),"")</f>
        <v/>
      </c>
      <c r="AH92" s="24">
        <f t="shared" ref="AH92:AH93" si="142">(AF92-INT(AF92))*12</f>
        <v>5.6492793839424849</v>
      </c>
      <c r="AI92" s="41" t="str">
        <f t="shared" ref="AI92" si="143">IF($E92&gt;=AI$31,MID($J$31,IF($E92&gt;AI$31,INT(AH92),ROUND(AH92,0))+1,1),"")</f>
        <v/>
      </c>
      <c r="AJ92" s="24">
        <f t="shared" ref="AJ92:AJ93" si="144">(AH92-INT(AH92))*12</f>
        <v>7.7913526073098183</v>
      </c>
      <c r="AK92" s="41" t="str">
        <f t="shared" ref="AK92" si="145">IF($E92&gt;=AK$31,MID($J$31,IF($E92&gt;AK$31,INT(AJ92),ROUND(AJ92,0))+1,1),"")</f>
        <v/>
      </c>
    </row>
    <row r="93" spans="1:37" x14ac:dyDescent="0.2">
      <c r="B93" s="3" t="s">
        <v>725</v>
      </c>
      <c r="C93" s="3"/>
      <c r="D93" s="21">
        <v>540000000000000</v>
      </c>
      <c r="E93" s="8">
        <v>4</v>
      </c>
      <c r="F93" s="21">
        <f>D93/F22</f>
        <v>1.7223323824030889E-28</v>
      </c>
      <c r="G93" s="37" t="str">
        <f t="shared" si="120"/>
        <v>1;E7E0</v>
      </c>
      <c r="H93" s="37"/>
      <c r="I93" s="285"/>
      <c r="J93" s="38">
        <v>-26</v>
      </c>
      <c r="K93" s="61">
        <f>F93/POWER(12,J93)</f>
        <v>1.9716479170178471</v>
      </c>
      <c r="L93" s="39" t="str">
        <f>INDEX(powers!$H$2:$H$75,33+J93)</f>
        <v>dino ter-atomic</v>
      </c>
      <c r="M93" s="40" t="str">
        <f>IF($E93&gt;=M$31,MID($J$31,IF($E93&gt;M$31,INT(K93),ROUND(K93,0))+1,1),"")</f>
        <v>1</v>
      </c>
      <c r="N93" s="24">
        <f t="shared" si="122"/>
        <v>11.659775004214165</v>
      </c>
      <c r="O93" s="41" t="str">
        <f>IF($E93&gt;=O$31,MID($J$31,IF($E93&gt;O$31,INT(N93),ROUND(N93,0))+1,1),"")</f>
        <v>E</v>
      </c>
      <c r="P93" s="24">
        <f t="shared" si="124"/>
        <v>7.9173000505699775</v>
      </c>
      <c r="Q93" s="41" t="str">
        <f>IF($E93&gt;=Q$31,MID($J$31,IF($E93&gt;Q$31,INT(P93),ROUND(P93,0))+1,1),"")</f>
        <v>7</v>
      </c>
      <c r="R93" s="24">
        <f t="shared" si="126"/>
        <v>11.007600606839731</v>
      </c>
      <c r="S93" s="41" t="str">
        <f>IF($E93&gt;=S$31,MID($J$31,IF($E93&gt;S$31,INT(R93),ROUND(R93,0))+1,1),"")</f>
        <v>E</v>
      </c>
      <c r="T93" s="24">
        <f t="shared" si="128"/>
        <v>9.1207282076766205E-2</v>
      </c>
      <c r="U93" s="41" t="str">
        <f>IF($E93&gt;=U$31,MID($J$31,IF($E93&gt;U$31,INT(T93),ROUND(T93,0))+1,1),"")</f>
        <v>0</v>
      </c>
      <c r="V93" s="24">
        <f t="shared" si="130"/>
        <v>1.0944873849211945</v>
      </c>
      <c r="W93" s="41" t="str">
        <f>IF($E93&gt;=W$31,MID($J$31,IF($E93&gt;W$31,INT(V93),ROUND(V93,0))+1,1),"")</f>
        <v/>
      </c>
      <c r="X93" s="24">
        <f t="shared" si="132"/>
        <v>1.1338486190543335</v>
      </c>
      <c r="Y93" s="41" t="str">
        <f>IF($E93&gt;=Y$31,MID($J$31,IF($E93&gt;Y$31,INT(X93),ROUND(X93,0))+1,1),"")</f>
        <v/>
      </c>
      <c r="Z93" s="24">
        <f t="shared" si="134"/>
        <v>1.6061834286520025</v>
      </c>
      <c r="AA93" s="41" t="str">
        <f>IF($E93&gt;=AA$31,MID($J$31,IF($E93&gt;AA$31,INT(Z93),ROUND(Z93,0))+1,1),"")</f>
        <v/>
      </c>
      <c r="AB93" s="24">
        <f t="shared" si="136"/>
        <v>7.2742011438240297</v>
      </c>
      <c r="AC93" s="41" t="str">
        <f>IF($E93&gt;=AC$31,MID($J$31,IF($E93&gt;AC$31,INT(AB93),ROUND(AB93,0))+1,1),"")</f>
        <v/>
      </c>
      <c r="AD93" s="24">
        <f t="shared" si="138"/>
        <v>3.2904137258883566</v>
      </c>
      <c r="AE93" s="41" t="str">
        <f>IF($E93&gt;=AE$31,MID($J$31,IF($E93&gt;AE$31,INT(AD93),ROUND(AD93,0))+1,1),"")</f>
        <v/>
      </c>
      <c r="AF93" s="24">
        <f t="shared" si="140"/>
        <v>3.4849647106602788</v>
      </c>
      <c r="AG93" s="41" t="str">
        <f>IF($E93&gt;=AG$31,MID($J$31,IF($E93&gt;AG$31,INT(AF93),ROUND(AF93,0))+1,1),"")</f>
        <v/>
      </c>
      <c r="AH93" s="24">
        <f t="shared" si="142"/>
        <v>5.8195765279233456</v>
      </c>
      <c r="AI93" s="41" t="str">
        <f>IF($E93&gt;=AI$31,MID($J$31,IF($E93&gt;AI$31,INT(AH93),ROUND(AH93,0))+1,1),"")</f>
        <v/>
      </c>
      <c r="AJ93" s="24">
        <f t="shared" si="144"/>
        <v>9.8349183350801468</v>
      </c>
      <c r="AK93" s="41" t="str">
        <f>IF($E93&gt;=AK$31,MID($J$31,IF($E93&gt;AK$31,INT(AJ93),ROUND(AJ93,0))+1,1),"")</f>
        <v/>
      </c>
    </row>
    <row r="94" spans="1:37" x14ac:dyDescent="0.2">
      <c r="B94" s="14" t="s">
        <v>1508</v>
      </c>
      <c r="D94" s="193">
        <f>F22*F94</f>
        <v>6.7090802559359998E+56</v>
      </c>
      <c r="F94" s="193">
        <f>G94*POWER(12,J94)</f>
        <v>213986410758144</v>
      </c>
      <c r="G94" s="209">
        <v>2</v>
      </c>
      <c r="J94" s="14">
        <v>13</v>
      </c>
      <c r="K94" s="79"/>
      <c r="L94" s="79"/>
      <c r="M94" s="79"/>
    </row>
    <row r="95" spans="1:37" x14ac:dyDescent="0.2">
      <c r="I95" s="14"/>
    </row>
    <row r="96" spans="1:37" x14ac:dyDescent="0.2">
      <c r="D96" s="442">
        <f>D$6*POWER(12,-27)-273.15</f>
        <v>-98.818435406316524</v>
      </c>
      <c r="E96" s="14" t="s">
        <v>1170</v>
      </c>
      <c r="F96" s="14" t="s">
        <v>1171</v>
      </c>
      <c r="I96" s="14"/>
    </row>
    <row r="97" spans="2:9" x14ac:dyDescent="0.2">
      <c r="D97" s="442">
        <f>2*D$6*POWER(12,-27)-273.15</f>
        <v>75.513129187366928</v>
      </c>
      <c r="E97" s="14" t="s">
        <v>1170</v>
      </c>
      <c r="F97" s="14" t="s">
        <v>1172</v>
      </c>
      <c r="I97" s="14"/>
    </row>
    <row r="98" spans="2:9" x14ac:dyDescent="0.2">
      <c r="D98" s="442">
        <f>D$6*POWER(12,-26)-273.15</f>
        <v>1818.8287751242015</v>
      </c>
      <c r="E98" s="14" t="s">
        <v>1170</v>
      </c>
      <c r="F98" s="14" t="s">
        <v>1173</v>
      </c>
      <c r="I98" s="14"/>
    </row>
    <row r="99" spans="2:9" x14ac:dyDescent="0.2">
      <c r="D99" s="442">
        <f>3*D$6*POWER(12,-26)-273.15</f>
        <v>6002.7863253726046</v>
      </c>
      <c r="E99" s="14" t="s">
        <v>1170</v>
      </c>
      <c r="F99" s="14" t="s">
        <v>1174</v>
      </c>
      <c r="I99" s="14"/>
    </row>
    <row r="100" spans="2:9" x14ac:dyDescent="0.2">
      <c r="D100" s="442"/>
      <c r="I100" s="14"/>
    </row>
    <row r="101" spans="2:9" ht="22.5" x14ac:dyDescent="0.2">
      <c r="B101" s="586" t="s">
        <v>1260</v>
      </c>
      <c r="C101" s="586"/>
      <c r="D101" s="586"/>
      <c r="E101" s="586"/>
      <c r="F101" s="586"/>
      <c r="G101" s="586"/>
      <c r="H101" s="586"/>
      <c r="I101" s="14"/>
    </row>
    <row r="102" spans="2:9" ht="6.9" customHeight="1" x14ac:dyDescent="0.2">
      <c r="D102" s="442"/>
      <c r="I102" s="14"/>
    </row>
    <row r="103" spans="2:9" s="435" customFormat="1" ht="25.25" customHeight="1" x14ac:dyDescent="0.2">
      <c r="B103" s="587" t="s">
        <v>1523</v>
      </c>
      <c r="C103" s="587"/>
      <c r="D103" s="587"/>
      <c r="E103" s="587"/>
      <c r="F103" s="587"/>
      <c r="G103" s="587"/>
      <c r="H103" s="587"/>
    </row>
    <row r="104" spans="2:9" x14ac:dyDescent="0.2">
      <c r="D104" s="442"/>
      <c r="I104" s="14"/>
    </row>
    <row r="105" spans="2:9" x14ac:dyDescent="0.2">
      <c r="D105" s="442"/>
      <c r="I105" s="14"/>
    </row>
    <row r="106" spans="2:9" x14ac:dyDescent="0.2">
      <c r="D106" s="442"/>
      <c r="I106" s="14"/>
    </row>
    <row r="107" spans="2:9" x14ac:dyDescent="0.2">
      <c r="D107" s="442"/>
      <c r="I107" s="14"/>
    </row>
    <row r="108" spans="2:9" x14ac:dyDescent="0.2">
      <c r="D108" s="442"/>
      <c r="I108" s="14"/>
    </row>
    <row r="109" spans="2:9" ht="4.75" customHeight="1" x14ac:dyDescent="0.2">
      <c r="I109" s="14"/>
    </row>
    <row r="110" spans="2:9" x14ac:dyDescent="0.2">
      <c r="B110" s="450" t="s">
        <v>1195</v>
      </c>
      <c r="C110" s="585" t="s">
        <v>1196</v>
      </c>
      <c r="D110" s="585"/>
      <c r="E110" s="585" t="s">
        <v>1197</v>
      </c>
      <c r="F110" s="585"/>
      <c r="G110" s="585"/>
      <c r="H110" s="448" t="s">
        <v>1198</v>
      </c>
      <c r="I110" s="14"/>
    </row>
    <row r="111" spans="2:9" x14ac:dyDescent="0.2">
      <c r="B111" s="8" t="str">
        <f>B54</f>
        <v>Maximum density of water</v>
      </c>
      <c r="C111" s="445">
        <f>$K54</f>
        <v>1.064468195618151</v>
      </c>
      <c r="D111" s="447">
        <f>$J54</f>
        <v>-84</v>
      </c>
      <c r="E111" s="588" t="s">
        <v>1775</v>
      </c>
      <c r="F111" s="588"/>
      <c r="G111" s="588"/>
      <c r="H111" s="449" t="str">
        <f>DEC2OCT(ABS(D111))</f>
        <v>124</v>
      </c>
      <c r="I111" s="14"/>
    </row>
    <row r="112" spans="2:9" x14ac:dyDescent="0.2">
      <c r="B112" s="456">
        <f>$C112*D$6*POWER(12,-26)-273.15</f>
        <v>6002.7863253726046</v>
      </c>
      <c r="C112" s="445">
        <v>3</v>
      </c>
      <c r="D112" s="447">
        <v>-26</v>
      </c>
      <c r="E112" s="588" t="s">
        <v>1776</v>
      </c>
      <c r="F112" s="588"/>
      <c r="G112" s="588"/>
      <c r="H112" s="449" t="str">
        <f t="shared" ref="H112:H123" si="146">DEC2OCT(ABS(D112))</f>
        <v>32</v>
      </c>
      <c r="I112" s="14"/>
    </row>
    <row r="113" spans="2:9" x14ac:dyDescent="0.2">
      <c r="B113" s="8" t="str">
        <f>B34</f>
        <v>Rydberg constant</v>
      </c>
      <c r="C113" s="445">
        <f>$K34</f>
        <v>1.0009892049760474</v>
      </c>
      <c r="D113" s="447">
        <f>$J34</f>
        <v>-25</v>
      </c>
      <c r="E113" s="588" t="s">
        <v>1777</v>
      </c>
      <c r="F113" s="588"/>
      <c r="G113" s="588"/>
      <c r="H113" s="449" t="str">
        <f t="shared" si="146"/>
        <v>31</v>
      </c>
      <c r="I113" s="14"/>
    </row>
    <row r="114" spans="2:9" x14ac:dyDescent="0.2">
      <c r="B114" s="8" t="s">
        <v>1209</v>
      </c>
      <c r="C114" s="445">
        <f>$K58</f>
        <v>1.0323524352614808</v>
      </c>
      <c r="D114" s="447">
        <f>$J58</f>
        <v>-25</v>
      </c>
      <c r="E114" s="588" t="s">
        <v>1777</v>
      </c>
      <c r="F114" s="588"/>
      <c r="G114" s="588"/>
      <c r="H114" s="449" t="str">
        <f t="shared" ref="H114" si="147">DEC2OCT(ABS(D114))</f>
        <v>31</v>
      </c>
      <c r="I114" s="14"/>
    </row>
    <row r="115" spans="2:9" x14ac:dyDescent="0.2">
      <c r="B115" s="8" t="str">
        <f>B42</f>
        <v>Electron mass</v>
      </c>
      <c r="C115" s="445">
        <f>$K42</f>
        <v>0.94929757000360881</v>
      </c>
      <c r="D115" s="447">
        <f>$J42</f>
        <v>-20</v>
      </c>
      <c r="E115" s="588" t="s">
        <v>1778</v>
      </c>
      <c r="F115" s="588"/>
      <c r="G115" s="588"/>
      <c r="H115" s="449" t="str">
        <f t="shared" ref="H115" si="148">DEC2OCT(ABS(D115))</f>
        <v>24</v>
      </c>
      <c r="I115" s="14"/>
    </row>
    <row r="116" spans="2:9" x14ac:dyDescent="0.2">
      <c r="B116" s="8" t="str">
        <f>B39</f>
        <v>Unified atomic mass unit</v>
      </c>
      <c r="C116" s="445">
        <f>$K39</f>
        <v>1.0014257004612808</v>
      </c>
      <c r="D116" s="447">
        <f>$J39</f>
        <v>-17</v>
      </c>
      <c r="E116" s="588" t="s">
        <v>1785</v>
      </c>
      <c r="F116" s="588"/>
      <c r="G116" s="588"/>
      <c r="H116" s="449" t="str">
        <f t="shared" si="146"/>
        <v>21</v>
      </c>
      <c r="I116" s="14"/>
    </row>
    <row r="117" spans="2:9" x14ac:dyDescent="0.2">
      <c r="B117" s="21" t="str">
        <f>B32</f>
        <v>Fine Structure Constant</v>
      </c>
      <c r="C117" s="445">
        <f>$K32</f>
        <v>1.0508187692592001</v>
      </c>
      <c r="D117" s="447">
        <f>$J32</f>
        <v>-2</v>
      </c>
      <c r="E117" s="588" t="s">
        <v>1779</v>
      </c>
      <c r="F117" s="588"/>
      <c r="G117" s="588"/>
      <c r="H117" s="449" t="str">
        <f t="shared" ref="H117" si="149">DEC2OCT(ABS(D117))</f>
        <v>2</v>
      </c>
      <c r="I117" s="14"/>
    </row>
    <row r="118" spans="2:9" x14ac:dyDescent="0.2">
      <c r="B118" s="8" t="str">
        <f>B41</f>
        <v>Elementary electric charge</v>
      </c>
      <c r="C118" s="445">
        <f>$K41</f>
        <v>1.0250945173026491</v>
      </c>
      <c r="D118" s="447">
        <f>$J41</f>
        <v>-1</v>
      </c>
      <c r="E118" s="588" t="s">
        <v>1780</v>
      </c>
      <c r="F118" s="588"/>
      <c r="G118" s="588"/>
      <c r="H118" s="449" t="str">
        <f t="shared" si="146"/>
        <v>1</v>
      </c>
      <c r="I118" s="14"/>
    </row>
    <row r="119" spans="2:9" x14ac:dyDescent="0.2">
      <c r="B119" s="8" t="str">
        <f>B47</f>
        <v>Planck length</v>
      </c>
      <c r="C119" s="445">
        <f>$K47</f>
        <v>2.0283702113484399</v>
      </c>
      <c r="D119" s="447">
        <f>$J47</f>
        <v>-1</v>
      </c>
      <c r="E119" s="588" t="s">
        <v>1216</v>
      </c>
      <c r="F119" s="588"/>
      <c r="G119" s="588"/>
      <c r="H119" s="449" t="str">
        <f t="shared" si="146"/>
        <v>1</v>
      </c>
      <c r="I119" s="14"/>
    </row>
    <row r="120" spans="2:9" x14ac:dyDescent="0.2">
      <c r="B120" s="8" t="str">
        <f>B40</f>
        <v>Bohr Radius</v>
      </c>
      <c r="C120" s="445">
        <f>$K40</f>
        <v>1.0024663638126572</v>
      </c>
      <c r="D120" s="447">
        <f>$J40</f>
        <v>22</v>
      </c>
      <c r="E120" s="588" t="s">
        <v>1781</v>
      </c>
      <c r="F120" s="588"/>
      <c r="G120" s="588"/>
      <c r="H120" s="449" t="str">
        <f t="shared" si="146"/>
        <v>26</v>
      </c>
      <c r="I120" s="14"/>
    </row>
    <row r="121" spans="2:9" x14ac:dyDescent="0.2">
      <c r="B121" s="8" t="s">
        <v>1200</v>
      </c>
      <c r="C121" s="446">
        <f>86400/128/($D4*POWER(12,42))</f>
        <v>0.99992685325265718</v>
      </c>
      <c r="D121" s="447">
        <v>42</v>
      </c>
      <c r="E121" s="588" t="s">
        <v>1782</v>
      </c>
      <c r="F121" s="588"/>
      <c r="G121" s="588"/>
      <c r="H121" s="449" t="str">
        <f t="shared" si="146"/>
        <v>52</v>
      </c>
      <c r="I121" s="14"/>
    </row>
    <row r="122" spans="2:9" x14ac:dyDescent="0.2">
      <c r="B122" s="8" t="s">
        <v>1215</v>
      </c>
      <c r="C122" s="446">
        <f>4600000000*365.2422*86400/($D4*POWER(12,D122))</f>
        <v>2.0098367560173354</v>
      </c>
      <c r="D122" s="447">
        <v>55</v>
      </c>
      <c r="E122" s="588" t="s">
        <v>1783</v>
      </c>
      <c r="F122" s="588"/>
      <c r="G122" s="588"/>
      <c r="H122" s="449" t="str">
        <f t="shared" si="146"/>
        <v>67</v>
      </c>
      <c r="I122" s="14"/>
    </row>
    <row r="123" spans="2:9" x14ac:dyDescent="0.2">
      <c r="B123" s="8" t="s">
        <v>1357</v>
      </c>
      <c r="C123" s="446">
        <f>435.4*POWER(10,15)/($D4*POWER(12,D123))</f>
        <v>0.50236044771152588</v>
      </c>
      <c r="D123" s="447">
        <v>56</v>
      </c>
      <c r="E123" s="588" t="s">
        <v>1784</v>
      </c>
      <c r="F123" s="588"/>
      <c r="G123" s="588"/>
      <c r="H123" s="449" t="str">
        <f t="shared" si="146"/>
        <v>70</v>
      </c>
      <c r="I123" s="14"/>
    </row>
    <row r="124" spans="2:9" ht="8.65" customHeight="1" x14ac:dyDescent="0.2">
      <c r="I124" s="14"/>
    </row>
    <row r="125" spans="2:9" s="451" customFormat="1" ht="18" x14ac:dyDescent="0.2">
      <c r="D125" s="452" t="s">
        <v>1201</v>
      </c>
      <c r="E125" s="453"/>
      <c r="F125" s="454" t="s">
        <v>1199</v>
      </c>
      <c r="G125" s="455"/>
    </row>
    <row r="126" spans="2:9" x14ac:dyDescent="0.2">
      <c r="I126" s="14"/>
    </row>
    <row r="127" spans="2:9" x14ac:dyDescent="0.2">
      <c r="I127" s="14"/>
    </row>
    <row r="128" spans="2:9" x14ac:dyDescent="0.2">
      <c r="I128" s="14"/>
    </row>
    <row r="129" spans="9:9" x14ac:dyDescent="0.2">
      <c r="I129" s="14"/>
    </row>
    <row r="130" spans="9:9" x14ac:dyDescent="0.2">
      <c r="I130" s="14"/>
    </row>
    <row r="131" spans="9:9" x14ac:dyDescent="0.2">
      <c r="I131" s="14"/>
    </row>
  </sheetData>
  <mergeCells count="21">
    <mergeCell ref="E111:G111"/>
    <mergeCell ref="E112:G112"/>
    <mergeCell ref="E113:G113"/>
    <mergeCell ref="E116:G116"/>
    <mergeCell ref="E123:G123"/>
    <mergeCell ref="E118:G118"/>
    <mergeCell ref="E119:G119"/>
    <mergeCell ref="E120:G120"/>
    <mergeCell ref="E121:G121"/>
    <mergeCell ref="E122:G122"/>
    <mergeCell ref="E115:G115"/>
    <mergeCell ref="E117:G117"/>
    <mergeCell ref="E114:G114"/>
    <mergeCell ref="C110:D110"/>
    <mergeCell ref="A1:A30"/>
    <mergeCell ref="A31:A70"/>
    <mergeCell ref="J31:K31"/>
    <mergeCell ref="A71:A88"/>
    <mergeCell ref="E110:G110"/>
    <mergeCell ref="B101:H101"/>
    <mergeCell ref="B103:H103"/>
  </mergeCells>
  <phoneticPr fontId="1"/>
  <hyperlinks>
    <hyperlink ref="F125" r:id="rId1" xr:uid="{00000000-0004-0000-0300-000000000000}"/>
    <hyperlink ref="B103:H103" r:id="rId2" location="Other_possible_normalizations" display="corresponding to 35G=c0=ħ=kB=ZP=1 " xr:uid="{00000000-0004-0000-0300-000001000000}"/>
  </hyperlinks>
  <printOptions horizontalCentered="1" verticalCentered="1"/>
  <pageMargins left="0.70866141732283472" right="0.70866141732283472" top="0.74803149606299213" bottom="0.74803149606299213" header="0.31496062992125984" footer="0.31496062992125984"/>
  <pageSetup paperSize="9" scale="145" orientation="landscape" r:id="rId3"/>
  <headerFooter>
    <oddHeader>&amp;A</oddHead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K120"/>
  <sheetViews>
    <sheetView workbookViewId="0">
      <selection activeCell="D16" sqref="D16"/>
    </sheetView>
  </sheetViews>
  <sheetFormatPr defaultColWidth="9" defaultRowHeight="11.5" x14ac:dyDescent="0.2"/>
  <cols>
    <col min="1" max="1" width="2.7265625" style="14" customWidth="1"/>
    <col min="2" max="2" width="26.7265625" style="14" customWidth="1"/>
    <col min="3" max="3" width="8.6328125" style="14" customWidth="1"/>
    <col min="4" max="4" width="14.1796875" style="14" customWidth="1"/>
    <col min="5" max="5" width="3.453125" style="14" customWidth="1"/>
    <col min="6" max="6" width="13.81640625" style="14" customWidth="1"/>
    <col min="7" max="7" width="13.6328125" style="14" customWidth="1"/>
    <col min="8" max="8" width="7" style="14" customWidth="1"/>
    <col min="9" max="9" width="2.7265625" style="288" customWidth="1"/>
    <col min="10" max="10" width="3.6328125" style="14" customWidth="1"/>
    <col min="11" max="11" width="9.1796875" style="14" customWidth="1"/>
    <col min="12" max="12" width="15.81640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80" t="s">
        <v>26</v>
      </c>
      <c r="B1" s="17" t="s">
        <v>42</v>
      </c>
      <c r="C1" s="18" t="str">
        <f>Rydberg!C1</f>
        <v>Unit Symbol</v>
      </c>
      <c r="D1" s="17" t="s">
        <v>43</v>
      </c>
      <c r="E1" s="18" t="s">
        <v>44</v>
      </c>
      <c r="F1" s="17" t="s">
        <v>55</v>
      </c>
      <c r="G1" s="17" t="s">
        <v>106</v>
      </c>
      <c r="H1" s="18" t="str">
        <f>Rydberg!H$1</f>
        <v>difference</v>
      </c>
      <c r="I1" s="293" t="s">
        <v>724</v>
      </c>
      <c r="J1" s="19"/>
      <c r="K1" s="56" t="s">
        <v>46</v>
      </c>
      <c r="L1" s="20"/>
      <c r="M1" s="591" t="s">
        <v>116</v>
      </c>
      <c r="N1" s="592"/>
      <c r="O1" s="592"/>
      <c r="P1" s="592"/>
      <c r="Q1" s="592"/>
      <c r="R1" s="592"/>
    </row>
    <row r="2" spans="1:37" ht="13.5" customHeight="1" x14ac:dyDescent="0.2">
      <c r="A2" s="581"/>
      <c r="B2" s="2" t="str">
        <f>Rydberg!B2</f>
        <v>Local Time</v>
      </c>
      <c r="C2" s="2" t="str">
        <f>Rydberg!C2</f>
        <v>s</v>
      </c>
      <c r="D2" s="50">
        <f>86400/128</f>
        <v>675</v>
      </c>
      <c r="E2" s="8"/>
      <c r="F2" s="8"/>
      <c r="G2" s="8"/>
      <c r="H2" s="8"/>
      <c r="I2" s="278"/>
      <c r="J2" s="8"/>
      <c r="K2" s="57"/>
      <c r="L2" s="22"/>
      <c r="M2" s="589">
        <f>365.2421896698-(0.00000615359)*P2-(0.000000000729)*P2*P2+(0.000000000264)*P2*P2*P2</f>
        <v>365.24218750000171</v>
      </c>
      <c r="N2" s="590"/>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5">
        <f>D$4*D$35</f>
        <v>9.121017583262049E-8</v>
      </c>
      <c r="E3" s="8">
        <v>6</v>
      </c>
      <c r="F3" s="21">
        <f t="shared" ref="F3:F30" si="0">D3*POWER(12,E3)</f>
        <v>0.27235212567339145</v>
      </c>
      <c r="G3" s="21"/>
      <c r="H3" s="26"/>
      <c r="I3" s="279"/>
      <c r="J3" s="8">
        <v>-3</v>
      </c>
      <c r="K3" s="58">
        <f>F3/POWER(10,J3)</f>
        <v>272.35212567339147</v>
      </c>
      <c r="L3" s="118" t="str">
        <f>Rydberg!L3</f>
        <v>mm</v>
      </c>
      <c r="M3" s="23"/>
      <c r="N3" s="82">
        <f>-LOG(F3)/(LOG(12)-LOG(10))</f>
        <v>7.1338765043577439</v>
      </c>
      <c r="O3" s="24"/>
      <c r="P3" s="83">
        <f>POWER(12,N3)*F3/POWER(10,N3)</f>
        <v>1.0000000000000002</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5">
        <f>F$4*POWER(12,-E4)</f>
        <v>3.0424439774472407E-16</v>
      </c>
      <c r="E4" s="8">
        <v>14</v>
      </c>
      <c r="F4" s="51">
        <f>$D$2/(12*12*12)</f>
        <v>0.390625</v>
      </c>
      <c r="G4" s="21"/>
      <c r="H4" s="253"/>
      <c r="I4" s="280"/>
      <c r="J4" s="8">
        <v>-3</v>
      </c>
      <c r="K4" s="58">
        <f t="shared" ref="K4:K30" si="1">F4/POWER(10,J4)</f>
        <v>390.625</v>
      </c>
      <c r="L4" s="118" t="str">
        <f>Rydberg!L4</f>
        <v>ms</v>
      </c>
      <c r="M4" s="23"/>
      <c r="N4" s="82">
        <f t="shared" ref="N4:N30" si="2">-LOG(F4)/(LOG(12)-LOG(10))</f>
        <v>5.1557658623647677</v>
      </c>
      <c r="O4" s="24"/>
      <c r="P4" s="83">
        <f t="shared" ref="P4:P30" si="3">POWER(12,N4)*F4/POWER(10,N4)</f>
        <v>0.99999999999999833</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D$36/D$4</f>
        <v>3.4661996259040199E-19</v>
      </c>
      <c r="E5" s="8">
        <v>16</v>
      </c>
      <c r="F5" s="21">
        <f t="shared" si="0"/>
        <v>6.408457490175172E-2</v>
      </c>
      <c r="G5" s="21"/>
      <c r="H5" s="21"/>
      <c r="I5" s="278"/>
      <c r="J5" s="8">
        <v>-3</v>
      </c>
      <c r="K5" s="58">
        <f t="shared" si="1"/>
        <v>64.084574901751722</v>
      </c>
      <c r="L5" s="118" t="str">
        <f>Rydberg!L5</f>
        <v>mJ</v>
      </c>
      <c r="M5" s="23"/>
      <c r="N5" s="82">
        <f t="shared" si="2"/>
        <v>15.069812004060632</v>
      </c>
      <c r="O5" s="24"/>
      <c r="P5" s="83">
        <f t="shared" si="3"/>
        <v>0.99999999999999722</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25105.581693131415</v>
      </c>
      <c r="E6" s="132">
        <v>-8</v>
      </c>
      <c r="F6" s="135">
        <f t="shared" si="0"/>
        <v>5.838755911398474E-5</v>
      </c>
      <c r="G6" s="21"/>
      <c r="H6" s="21"/>
      <c r="I6" s="278"/>
      <c r="J6" s="132">
        <v>-6</v>
      </c>
      <c r="K6" s="136">
        <f t="shared" si="1"/>
        <v>58.387559113984743</v>
      </c>
      <c r="L6" s="133" t="str">
        <f>Rydberg!L6</f>
        <v>μK</v>
      </c>
      <c r="M6" s="23"/>
      <c r="N6" s="82">
        <f t="shared" si="2"/>
        <v>53.468212377711104</v>
      </c>
      <c r="O6" s="24"/>
      <c r="P6" s="83">
        <f t="shared" si="3"/>
        <v>0.99999999999999611</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24</v>
      </c>
      <c r="F7" s="21">
        <f t="shared" si="0"/>
        <v>132.00762049838045</v>
      </c>
      <c r="G7" s="21"/>
      <c r="H7" s="21"/>
      <c r="I7" s="278"/>
      <c r="J7" s="8">
        <v>0</v>
      </c>
      <c r="K7" s="58">
        <f t="shared" si="1"/>
        <v>132.00762049838045</v>
      </c>
      <c r="L7" s="118" t="str">
        <f>Rydberg!L7</f>
        <v>mol</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3.8566672080551394E-36</v>
      </c>
      <c r="E8" s="8">
        <v>32</v>
      </c>
      <c r="F8" s="21">
        <f t="shared" si="0"/>
        <v>0.13182932813768336</v>
      </c>
      <c r="G8" s="21"/>
      <c r="H8" s="21"/>
      <c r="I8" s="278"/>
      <c r="J8" s="8">
        <v>-3</v>
      </c>
      <c r="K8" s="58">
        <f t="shared" si="1"/>
        <v>131.82932813768335</v>
      </c>
      <c r="L8" s="118" t="str">
        <f>Rydberg!L8</f>
        <v>g</v>
      </c>
      <c r="M8" s="23"/>
      <c r="N8" s="82">
        <f t="shared" si="2"/>
        <v>11.113590720074678</v>
      </c>
      <c r="O8" s="24"/>
      <c r="P8" s="83">
        <f t="shared" si="3"/>
        <v>0.99999999999999767</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1.1392813315866974E-3</v>
      </c>
      <c r="E9" s="8">
        <v>2</v>
      </c>
      <c r="F9" s="21">
        <f t="shared" si="0"/>
        <v>0.16405651174848443</v>
      </c>
      <c r="G9" s="21"/>
      <c r="H9" s="21"/>
      <c r="I9" s="278"/>
      <c r="J9" s="8">
        <v>-3</v>
      </c>
      <c r="K9" s="58">
        <f t="shared" si="1"/>
        <v>164.05651174848444</v>
      </c>
      <c r="L9" s="118" t="str">
        <f>Rydberg!L9</f>
        <v>mW</v>
      </c>
      <c r="M9" s="23"/>
      <c r="N9" s="82">
        <f t="shared" si="2"/>
        <v>9.914046141695863</v>
      </c>
      <c r="O9" s="24"/>
      <c r="P9" s="83">
        <f t="shared" si="3"/>
        <v>0.99999999999999545</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3.8002334654686246E-12</v>
      </c>
      <c r="E10" s="8">
        <v>10</v>
      </c>
      <c r="F10" s="21">
        <f t="shared" si="0"/>
        <v>0.23530043961765457</v>
      </c>
      <c r="G10" s="21"/>
      <c r="H10" s="21"/>
      <c r="I10" s="278"/>
      <c r="J10" s="8">
        <v>-3</v>
      </c>
      <c r="K10" s="58">
        <f t="shared" si="1"/>
        <v>235.30043961765458</v>
      </c>
      <c r="L10" s="118" t="str">
        <f>Rydberg!L10</f>
        <v>mN</v>
      </c>
      <c r="M10" s="23"/>
      <c r="N10" s="82">
        <f t="shared" si="2"/>
        <v>7.9359354997028886</v>
      </c>
      <c r="O10" s="24"/>
      <c r="P10" s="83">
        <f t="shared" si="3"/>
        <v>0.99999999999999711</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456.79747244698751</v>
      </c>
      <c r="E11" s="8">
        <v>-2</v>
      </c>
      <c r="F11" s="21">
        <f t="shared" si="0"/>
        <v>3.1722046697707462</v>
      </c>
      <c r="G11" s="21"/>
      <c r="H11" s="21"/>
      <c r="I11" s="278"/>
      <c r="J11" s="8">
        <v>0</v>
      </c>
      <c r="K11" s="58">
        <f t="shared" si="1"/>
        <v>3.1722046697707462</v>
      </c>
      <c r="L11" s="118" t="str">
        <f>Rydberg!L11</f>
        <v>Pa</v>
      </c>
      <c r="M11" s="23"/>
      <c r="N11" s="82">
        <f t="shared" si="2"/>
        <v>-6.3318175090125992</v>
      </c>
      <c r="O11" s="24"/>
      <c r="P11" s="83">
        <f t="shared" si="3"/>
        <v>1.000000000000002</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SQRT(D$36/29.9792458)</f>
        <v>1.8755460382902114E-18</v>
      </c>
      <c r="E12" s="8">
        <v>15</v>
      </c>
      <c r="F12" s="21">
        <f t="shared" si="0"/>
        <v>2.8896578276067276E-2</v>
      </c>
      <c r="G12" s="21"/>
      <c r="H12" s="21"/>
      <c r="I12" s="278"/>
      <c r="J12" s="8">
        <v>-3</v>
      </c>
      <c r="K12" s="58">
        <f t="shared" si="1"/>
        <v>28.896578276067274</v>
      </c>
      <c r="L12" s="118" t="str">
        <f>Rydberg!L12</f>
        <v>mC</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6.1646033655610192E-3</v>
      </c>
      <c r="E13" s="8">
        <v>1</v>
      </c>
      <c r="F13" s="21">
        <f t="shared" si="0"/>
        <v>7.3975240386732227E-2</v>
      </c>
      <c r="G13" s="21"/>
      <c r="H13" s="21"/>
      <c r="I13" s="278"/>
      <c r="J13" s="8">
        <v>-3</v>
      </c>
      <c r="K13" s="58">
        <f t="shared" si="1"/>
        <v>73.975240386732224</v>
      </c>
      <c r="L13" s="118" t="str">
        <f>Rydberg!L13</f>
        <v>mA</v>
      </c>
      <c r="M13" s="23"/>
      <c r="N13" s="82">
        <f t="shared" si="2"/>
        <v>14.282594318108105</v>
      </c>
      <c r="O13" s="24"/>
      <c r="P13" s="83">
        <f t="shared" si="3"/>
        <v>0.99999999999999278</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67586.79400940596</v>
      </c>
      <c r="E14" s="8">
        <v>-5</v>
      </c>
      <c r="F14" s="21">
        <f t="shared" si="0"/>
        <v>0.27161616676876754</v>
      </c>
      <c r="G14" s="21"/>
      <c r="H14" s="21"/>
      <c r="I14" s="278"/>
      <c r="J14" s="8">
        <v>-3</v>
      </c>
      <c r="K14" s="58">
        <f t="shared" si="1"/>
        <v>271.61616676876753</v>
      </c>
      <c r="L14" s="118" t="str">
        <f>Rydberg!L14</f>
        <v>mA/m</v>
      </c>
      <c r="M14" s="23"/>
      <c r="N14" s="82">
        <f t="shared" si="2"/>
        <v>7.1487178137503617</v>
      </c>
      <c r="O14" s="24"/>
      <c r="P14" s="83">
        <f t="shared" si="3"/>
        <v>0.99999999999999634</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2.2544527791091383E-4</v>
      </c>
      <c r="E15" s="8">
        <v>3</v>
      </c>
      <c r="F15" s="21">
        <f t="shared" si="0"/>
        <v>0.38956944023005907</v>
      </c>
      <c r="G15" s="21"/>
      <c r="H15" s="21"/>
      <c r="I15" s="278"/>
      <c r="J15" s="8">
        <v>-3</v>
      </c>
      <c r="K15" s="58">
        <f t="shared" si="1"/>
        <v>389.56944023005906</v>
      </c>
      <c r="L15" s="118" t="str">
        <f>Rydberg!L15</f>
        <v>mC/m^2</v>
      </c>
      <c r="M15" s="23"/>
      <c r="N15" s="82">
        <f t="shared" si="2"/>
        <v>5.1706071717573847</v>
      </c>
      <c r="O15" s="24"/>
      <c r="P15" s="83">
        <f t="shared" si="3"/>
        <v>0.99999999999999822</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
        <v>108</v>
      </c>
      <c r="D16" s="21">
        <f>Rydberg!D16</f>
        <v>29.979245795870352</v>
      </c>
      <c r="E16" s="8">
        <v>0</v>
      </c>
      <c r="F16" s="21">
        <f t="shared" si="0"/>
        <v>29.979245795870352</v>
      </c>
      <c r="G16" s="21"/>
      <c r="H16" s="21"/>
      <c r="I16" s="278"/>
      <c r="J16" s="8">
        <v>0</v>
      </c>
      <c r="K16" s="58">
        <f t="shared" si="1"/>
        <v>29.979245795870352</v>
      </c>
      <c r="L16" s="118" t="str">
        <f>Rydberg!L16</f>
        <v>Ω</v>
      </c>
      <c r="M16" s="23"/>
      <c r="N16" s="82">
        <f t="shared" si="2"/>
        <v>-18.651142493764809</v>
      </c>
      <c r="O16" s="24"/>
      <c r="P16" s="83">
        <f t="shared" si="3"/>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0.18481015953020341</v>
      </c>
      <c r="E17" s="8">
        <v>1</v>
      </c>
      <c r="F17" s="21">
        <f t="shared" si="0"/>
        <v>2.2177219143624409</v>
      </c>
      <c r="G17" s="21"/>
      <c r="H17" s="21"/>
      <c r="I17" s="278"/>
      <c r="J17" s="8">
        <v>0</v>
      </c>
      <c r="K17" s="58">
        <f t="shared" si="1"/>
        <v>2.2177219143624409</v>
      </c>
      <c r="L17" s="118" t="str">
        <f>Rydberg!L17</f>
        <v>V</v>
      </c>
      <c r="M17" s="23"/>
      <c r="N17" s="82">
        <f t="shared" si="2"/>
        <v>-4.3685481756567057</v>
      </c>
      <c r="O17" s="24"/>
      <c r="P17" s="83">
        <f t="shared" si="3"/>
        <v>1.0000000000000013</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1.0148500726680516E-17</v>
      </c>
      <c r="E18" s="8">
        <v>14</v>
      </c>
      <c r="F18" s="21">
        <f t="shared" si="0"/>
        <v>1.3029847470472679E-2</v>
      </c>
      <c r="G18" s="21"/>
      <c r="H18" s="21"/>
      <c r="I18" s="278"/>
      <c r="J18" s="8">
        <v>-3</v>
      </c>
      <c r="K18" s="58">
        <f t="shared" si="1"/>
        <v>13.029847470472678</v>
      </c>
      <c r="L18" s="118" t="str">
        <f>Rydberg!L18</f>
        <v>mF</v>
      </c>
      <c r="M18" s="115"/>
      <c r="N18" s="116">
        <f t="shared" si="2"/>
        <v>23.806908356129576</v>
      </c>
      <c r="O18" s="76"/>
      <c r="P18" s="117">
        <f t="shared" si="3"/>
        <v>0.99999999999999722</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15</v>
      </c>
      <c r="F19" s="21">
        <f t="shared" si="0"/>
        <v>0.8662976227978284</v>
      </c>
      <c r="G19" s="21"/>
      <c r="H19" s="21"/>
      <c r="I19" s="278"/>
      <c r="J19" s="8">
        <v>0</v>
      </c>
      <c r="K19" s="58">
        <f t="shared" si="1"/>
        <v>0.8662976227978284</v>
      </c>
      <c r="L19" s="118" t="str">
        <f>Rydberg!L19</f>
        <v>Wb</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6.7586794000095863E-3</v>
      </c>
      <c r="E20" s="8">
        <v>3</v>
      </c>
      <c r="F20" s="21">
        <f t="shared" si="0"/>
        <v>11.678998003216565</v>
      </c>
      <c r="G20" s="21"/>
      <c r="H20" s="21"/>
      <c r="I20" s="278"/>
      <c r="J20" s="8">
        <v>0</v>
      </c>
      <c r="K20" s="58">
        <f t="shared" si="1"/>
        <v>11.678998003216565</v>
      </c>
      <c r="L20" s="118" t="str">
        <f>Rydberg!L20</f>
        <v>T</v>
      </c>
      <c r="M20" s="115"/>
      <c r="N20" s="116">
        <f t="shared" si="2"/>
        <v>-13.480535322007425</v>
      </c>
      <c r="O20" s="76"/>
      <c r="P20" s="117">
        <f t="shared" si="3"/>
        <v>1.0000000000000027</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9.1210175820056265E-15</v>
      </c>
      <c r="E21" s="30">
        <v>14</v>
      </c>
      <c r="F21" s="29">
        <f t="shared" si="0"/>
        <v>11.710642889011856</v>
      </c>
      <c r="G21" s="29"/>
      <c r="H21" s="29"/>
      <c r="I21" s="281"/>
      <c r="J21" s="30">
        <v>0</v>
      </c>
      <c r="K21" s="59">
        <f t="shared" si="1"/>
        <v>11.710642889011856</v>
      </c>
      <c r="L21" s="119" t="str">
        <f>Rydberg!L21</f>
        <v>H</v>
      </c>
      <c r="M21" s="115"/>
      <c r="N21" s="116">
        <f t="shared" si="2"/>
        <v>-13.49537663140004</v>
      </c>
      <c r="O21" s="76"/>
      <c r="P21" s="117">
        <f t="shared" si="3"/>
        <v>1.0000000000000031</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3286831269245092</v>
      </c>
      <c r="E22" s="30">
        <f>-E4</f>
        <v>-14</v>
      </c>
      <c r="F22" s="29">
        <f t="shared" si="0"/>
        <v>2.56</v>
      </c>
      <c r="G22" s="21"/>
      <c r="H22" s="21"/>
      <c r="I22" s="278"/>
      <c r="J22" s="8">
        <v>0</v>
      </c>
      <c r="K22" s="58">
        <f t="shared" si="1"/>
        <v>2.56</v>
      </c>
      <c r="L22" s="118" t="s">
        <v>674</v>
      </c>
      <c r="M22" s="23"/>
      <c r="N22" s="82">
        <f t="shared" si="2"/>
        <v>-5.1557658623647677</v>
      </c>
      <c r="O22" s="24"/>
      <c r="P22" s="83">
        <f t="shared" si="3"/>
        <v>1.0000000000000018</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0.80324476336734074</v>
      </c>
      <c r="E23" s="8">
        <f>E9</f>
        <v>2</v>
      </c>
      <c r="F23" s="21">
        <f t="shared" si="0"/>
        <v>115.66724592489706</v>
      </c>
      <c r="G23" s="21"/>
      <c r="H23" s="21"/>
      <c r="I23" s="278"/>
      <c r="J23" s="8">
        <v>0</v>
      </c>
      <c r="K23" s="58">
        <f t="shared" si="1"/>
        <v>115.66724592489706</v>
      </c>
      <c r="L23" s="118" t="s">
        <v>659</v>
      </c>
      <c r="M23" s="23"/>
      <c r="N23" s="82">
        <f t="shared" si="2"/>
        <v>-26.056806352478215</v>
      </c>
      <c r="O23" s="24"/>
      <c r="P23" s="83">
        <f t="shared" si="3"/>
        <v>1.0000000000000022</v>
      </c>
      <c r="Q23" s="24"/>
      <c r="R23" s="258">
        <f>1/K58</f>
        <v>0.9687323029803051</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0.80324476336734074</v>
      </c>
      <c r="E24" s="8">
        <f>E9</f>
        <v>2</v>
      </c>
      <c r="F24" s="21">
        <f t="shared" si="0"/>
        <v>115.66724592489706</v>
      </c>
      <c r="G24" s="21"/>
      <c r="H24" s="21"/>
      <c r="I24" s="278"/>
      <c r="J24" s="8">
        <v>0</v>
      </c>
      <c r="K24" s="58">
        <f t="shared" si="1"/>
        <v>115.66724592489706</v>
      </c>
      <c r="L24" s="118" t="s">
        <v>662</v>
      </c>
      <c r="M24" s="23"/>
      <c r="N24" s="82">
        <f t="shared" si="2"/>
        <v>-26.056806352478215</v>
      </c>
      <c r="O24" s="24"/>
      <c r="P24" s="83">
        <f t="shared" si="3"/>
        <v>1.0000000000000022</v>
      </c>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6.3920187301296033E-2</v>
      </c>
      <c r="E25" s="8">
        <f>E9</f>
        <v>2</v>
      </c>
      <c r="F25" s="21">
        <f t="shared" si="0"/>
        <v>9.2045069713866283</v>
      </c>
      <c r="G25" s="21"/>
      <c r="H25" s="21"/>
      <c r="I25" s="278"/>
      <c r="J25" s="8">
        <v>0</v>
      </c>
      <c r="K25" s="58">
        <f t="shared" si="1"/>
        <v>9.2045069713866283</v>
      </c>
      <c r="L25" s="118" t="s">
        <v>662</v>
      </c>
      <c r="M25" s="23"/>
      <c r="N25" s="82">
        <f t="shared" si="2"/>
        <v>-12.174606729590767</v>
      </c>
      <c r="O25" s="24"/>
      <c r="P25" s="83">
        <f t="shared" si="3"/>
        <v>1.0000000000000029</v>
      </c>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96552009500614.484</v>
      </c>
      <c r="E26" s="8">
        <f>E9-2*E3</f>
        <v>-10</v>
      </c>
      <c r="F26" s="21">
        <f t="shared" si="0"/>
        <v>1559.3688573582663</v>
      </c>
      <c r="G26" s="21"/>
      <c r="H26" s="21"/>
      <c r="I26" s="278"/>
      <c r="J26" s="8">
        <v>3</v>
      </c>
      <c r="K26" s="58">
        <f t="shared" si="1"/>
        <v>1.5593688573582662</v>
      </c>
      <c r="L26" s="118" t="s">
        <v>663</v>
      </c>
      <c r="M26" s="23"/>
      <c r="N26" s="82">
        <f t="shared" si="2"/>
        <v>-40.3245593611937</v>
      </c>
      <c r="O26" s="24"/>
      <c r="P26" s="83">
        <f t="shared" si="3"/>
        <v>1.0000000000000231</v>
      </c>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5.4579117297900751E-9</v>
      </c>
      <c r="E27" s="8">
        <f>E7-E4</f>
        <v>10</v>
      </c>
      <c r="F27" s="21">
        <f t="shared" si="0"/>
        <v>337.93950847585393</v>
      </c>
      <c r="G27" s="21"/>
      <c r="H27" s="21"/>
      <c r="I27" s="278"/>
      <c r="J27" s="8">
        <v>0</v>
      </c>
      <c r="K27" s="58">
        <f t="shared" si="1"/>
        <v>337.93950847585393</v>
      </c>
      <c r="L27" s="118" t="s">
        <v>666</v>
      </c>
      <c r="M27" s="23"/>
      <c r="N27" s="82">
        <f t="shared" si="2"/>
        <v>-31.93734746923176</v>
      </c>
      <c r="O27" s="24"/>
      <c r="P27" s="83">
        <f t="shared" si="3"/>
        <v>1.0000000000000115</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3286831269245092</v>
      </c>
      <c r="E28" s="8">
        <f>-E4</f>
        <v>-14</v>
      </c>
      <c r="F28" s="21">
        <f t="shared" si="0"/>
        <v>2.56</v>
      </c>
      <c r="G28" s="21"/>
      <c r="H28" s="21"/>
      <c r="I28" s="278"/>
      <c r="J28" s="8">
        <v>0</v>
      </c>
      <c r="K28" s="58">
        <f t="shared" si="1"/>
        <v>2.56</v>
      </c>
      <c r="L28" s="118" t="s">
        <v>668</v>
      </c>
      <c r="M28" s="23"/>
      <c r="N28" s="82">
        <f t="shared" si="2"/>
        <v>-5.1557658623647677</v>
      </c>
      <c r="O28" s="24"/>
      <c r="P28" s="83">
        <f t="shared" si="3"/>
        <v>1.0000000000000018</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-16</v>
      </c>
      <c r="F29" s="21">
        <f t="shared" si="0"/>
        <v>0.48611773879952869</v>
      </c>
      <c r="G29" s="21"/>
      <c r="H29" s="21"/>
      <c r="I29" s="278"/>
      <c r="J29" s="8">
        <v>0</v>
      </c>
      <c r="K29" s="58">
        <f t="shared" si="1"/>
        <v>0.48611773879952869</v>
      </c>
      <c r="L29" s="118" t="s">
        <v>670</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-16</v>
      </c>
      <c r="F30" s="32">
        <f t="shared" si="0"/>
        <v>0.48611773879952869</v>
      </c>
      <c r="G30" s="32"/>
      <c r="H30" s="32"/>
      <c r="I30" s="282"/>
      <c r="J30" s="33">
        <v>0</v>
      </c>
      <c r="K30" s="60">
        <f t="shared" si="1"/>
        <v>0.48611773879952869</v>
      </c>
      <c r="L30" s="124" t="s">
        <v>671</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34" t="s">
        <v>42</v>
      </c>
      <c r="C31" s="52" t="str">
        <f>Rydberg!C31</f>
        <v>Unit Symbol</v>
      </c>
      <c r="D31" s="34" t="s">
        <v>43</v>
      </c>
      <c r="E31" s="52" t="s">
        <v>54</v>
      </c>
      <c r="F31" s="34" t="s">
        <v>47</v>
      </c>
      <c r="G31" s="34" t="s">
        <v>92</v>
      </c>
      <c r="H31" s="18" t="str">
        <f>Rydberg!H$1</f>
        <v>difference</v>
      </c>
      <c r="I31" s="283"/>
      <c r="J31" s="583" t="str">
        <f>Rydberg!J31</f>
        <v>0123456789XE</v>
      </c>
      <c r="K31" s="584">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4">IF($E32&gt;=M$31,MID($J$31,IF($E32&gt;M$31,INT(K32),ROUND(K32,0))+1,1),"")</f>
        <v>1</v>
      </c>
      <c r="N32" s="24">
        <f>(K32-INT(K32))*12</f>
        <v>0.60982523111040177</v>
      </c>
      <c r="O32" s="41" t="str">
        <f t="shared" ref="O32:O70" si="5">IF($E32&gt;=O$31,MID($J$31,IF($E32&gt;O$31,INT(N32),ROUND(N32,0))+1,1),"")</f>
        <v>0</v>
      </c>
      <c r="P32" s="24">
        <f>(N32-INT(N32))*12</f>
        <v>7.3179027733248212</v>
      </c>
      <c r="Q32" s="41" t="str">
        <f t="shared" ref="Q32:Q70" si="6">IF($E32&gt;=Q$31,MID($J$31,IF($E32&gt;Q$31,INT(P32),ROUND(P32,0))+1,1),"")</f>
        <v>7</v>
      </c>
      <c r="R32" s="24">
        <f>(P32-INT(P32))*12</f>
        <v>3.8148332798978544</v>
      </c>
      <c r="S32" s="41" t="str">
        <f t="shared" ref="S32:S70" si="7">IF($E32&gt;=S$31,MID($J$31,IF($E32&gt;S$31,INT(R32),ROUND(R32,0))+1,1),"")</f>
        <v>3</v>
      </c>
      <c r="T32" s="24">
        <f>(R32-INT(R32))*12</f>
        <v>9.7779993587742524</v>
      </c>
      <c r="U32" s="41" t="str">
        <f t="shared" ref="U32:U70" si="8">IF($E32&gt;=U$31,MID($J$31,IF($E32&gt;U$31,INT(T32),ROUND(T32,0))+1,1),"")</f>
        <v>9</v>
      </c>
      <c r="V32" s="24">
        <f>(T32-INT(T32))*12</f>
        <v>9.335992305291029</v>
      </c>
      <c r="W32" s="41" t="str">
        <f t="shared" ref="W32:W70" si="9">IF($E32&gt;=W$31,MID($J$31,IF($E32&gt;W$31,INT(V32),ROUND(V32,0))+1,1),"")</f>
        <v>9</v>
      </c>
      <c r="X32" s="24">
        <f>(V32-INT(V32))*12</f>
        <v>4.0319076634923476</v>
      </c>
      <c r="Y32" s="41" t="str">
        <f t="shared" ref="Y32:Y70" si="10">IF($E32&gt;=Y$31,MID($J$31,IF($E32&gt;Y$31,INT(X32),ROUND(X32,0))+1,1),"")</f>
        <v>4</v>
      </c>
      <c r="Z32" s="24">
        <f>(X32-INT(X32))*12</f>
        <v>0.38289196190817165</v>
      </c>
      <c r="AA32" s="41" t="str">
        <f t="shared" ref="AA32:AA70" si="11">IF($E32&gt;=AA$31,MID($J$31,IF($E32&gt;AA$31,INT(Z32),ROUND(Z32,0))+1,1),"")</f>
        <v>0</v>
      </c>
      <c r="AB32" s="24">
        <f>(Z32-INT(Z32))*12</f>
        <v>4.5947035428980598</v>
      </c>
      <c r="AC32" s="41" t="str">
        <f t="shared" ref="AC32:AC70" si="12">IF($E32&gt;=AC$31,MID($J$31,IF($E32&gt;AC$31,INT(AB32),ROUND(AB32,0))+1,1),"")</f>
        <v>4</v>
      </c>
      <c r="AD32" s="24">
        <f>(AB32-INT(AB32))*12</f>
        <v>7.1364425147767179</v>
      </c>
      <c r="AE32" s="41" t="str">
        <f t="shared" ref="AE32:AE70" si="13">IF($E32&gt;=AE$31,MID($J$31,IF($E32&gt;AE$31,INT(AD32),ROUND(AD32,0))+1,1),"")</f>
        <v>7</v>
      </c>
      <c r="AF32" s="24">
        <f>(AD32-INT(AD32))*12</f>
        <v>1.6373101773206145</v>
      </c>
      <c r="AG32" s="41" t="str">
        <f t="shared" ref="AG32:AG70" si="14">IF($E32&gt;=AG$31,MID($J$31,IF($E32&gt;AG$31,INT(AF32),ROUND(AF32,0))+1,1),"")</f>
        <v>2</v>
      </c>
      <c r="AH32" s="24">
        <f>(AF32-INT(AF32))*12</f>
        <v>7.6477221278473735</v>
      </c>
      <c r="AI32" s="41" t="str">
        <f t="shared" ref="AI32:AI70" si="15">IF($E32&gt;=AI$31,MID($J$31,IF($E32&gt;AI$31,INT(AH32),ROUND(AH32,0))+1,1),"")</f>
        <v/>
      </c>
      <c r="AJ32" s="24">
        <f>(AH32-INT(AH32))*12</f>
        <v>7.7726655341684818</v>
      </c>
      <c r="AK32" s="41" t="str">
        <f t="shared" ref="AK32:AK70" si="16">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7.9496847203390844E+25</v>
      </c>
      <c r="G33" s="37" t="str">
        <f t="shared" ref="G33:G70" si="17">M33&amp;";"&amp;O33&amp;Q33&amp;S33&amp;U33&amp;W33&amp;Y33&amp;AA33&amp;AC33&amp;AE33&amp;AG33&amp;AI33&amp;AK33</f>
        <v>1;0000000000</v>
      </c>
      <c r="H33" s="275">
        <f t="shared" ref="H33:H50" si="18">K33*POWER(12,I33)/ROUND(K33*POWER(12,I33),0)-1</f>
        <v>1.000088900582341E-12</v>
      </c>
      <c r="I33" s="278"/>
      <c r="J33" s="38">
        <v>24</v>
      </c>
      <c r="K33" s="61">
        <f>F33/POWER(12,J33)+0.000000000001</f>
        <v>1.0000000000010001</v>
      </c>
      <c r="L33" s="39" t="str">
        <f>INDEX(powers!$H$2:$H$75,33+J33)</f>
        <v>ter-cosmic</v>
      </c>
      <c r="M33" s="40" t="str">
        <f t="shared" si="4"/>
        <v>1</v>
      </c>
      <c r="N33" s="24">
        <f t="shared" ref="N33:N70" si="19">(K33-INT(K33))*12</f>
        <v>1.2001066806988092E-11</v>
      </c>
      <c r="O33" s="41" t="str">
        <f t="shared" si="5"/>
        <v>0</v>
      </c>
      <c r="P33" s="24">
        <f t="shared" ref="P33:P70" si="20">(N33-INT(N33))*12</f>
        <v>1.4401280168385711E-10</v>
      </c>
      <c r="Q33" s="41" t="str">
        <f t="shared" si="6"/>
        <v>0</v>
      </c>
      <c r="R33" s="24">
        <f t="shared" ref="R33:R70" si="21">(P33-INT(P33))*12</f>
        <v>1.7281536202062853E-9</v>
      </c>
      <c r="S33" s="41" t="str">
        <f t="shared" si="7"/>
        <v>0</v>
      </c>
      <c r="T33" s="24">
        <f t="shared" ref="T33:T70" si="22">(R33-INT(R33))*12</f>
        <v>2.0737843442475423E-8</v>
      </c>
      <c r="U33" s="41" t="str">
        <f t="shared" si="8"/>
        <v>0</v>
      </c>
      <c r="V33" s="24">
        <f t="shared" ref="V33:V70" si="23">(T33-INT(T33))*12</f>
        <v>2.4885412130970508E-7</v>
      </c>
      <c r="W33" s="41" t="str">
        <f t="shared" si="9"/>
        <v>0</v>
      </c>
      <c r="X33" s="24">
        <f t="shared" ref="X33:X70" si="24">(V33-INT(V33))*12</f>
        <v>2.9862494557164609E-6</v>
      </c>
      <c r="Y33" s="41" t="str">
        <f t="shared" si="10"/>
        <v>0</v>
      </c>
      <c r="Z33" s="24">
        <f t="shared" ref="Z33:Z70" si="25">(X33-INT(X33))*12</f>
        <v>3.5834993468597531E-5</v>
      </c>
      <c r="AA33" s="41" t="str">
        <f t="shared" si="11"/>
        <v>0</v>
      </c>
      <c r="AB33" s="24">
        <f t="shared" ref="AB33:AB70" si="26">(Z33-INT(Z33))*12</f>
        <v>4.3001992162317038E-4</v>
      </c>
      <c r="AC33" s="41" t="str">
        <f t="shared" si="12"/>
        <v>0</v>
      </c>
      <c r="AD33" s="24">
        <f t="shared" ref="AD33:AD70" si="27">(AB33-INT(AB33))*12</f>
        <v>5.1602390594780445E-3</v>
      </c>
      <c r="AE33" s="41" t="str">
        <f t="shared" si="13"/>
        <v>0</v>
      </c>
      <c r="AF33" s="24">
        <f t="shared" ref="AF33:AF70" si="28">(AD33-INT(AD33))*12</f>
        <v>6.1922868713736534E-2</v>
      </c>
      <c r="AG33" s="41" t="str">
        <f t="shared" si="14"/>
        <v>0</v>
      </c>
      <c r="AH33" s="24">
        <f t="shared" ref="AH33:AH70" si="29">(AF33-INT(AF33))*12</f>
        <v>0.74307442456483841</v>
      </c>
      <c r="AI33" s="41" t="str">
        <f t="shared" si="15"/>
        <v/>
      </c>
      <c r="AJ33" s="24">
        <f t="shared" ref="AJ33:AJ70" si="30">(AH33-INT(AH33))*12</f>
        <v>8.9168930947780609</v>
      </c>
      <c r="AK33" s="41" t="str">
        <f t="shared" si="16"/>
        <v/>
      </c>
    </row>
    <row r="34" spans="1:37" ht="15" customHeight="1" x14ac:dyDescent="0.2">
      <c r="A34" s="581"/>
      <c r="B34" s="3" t="str">
        <f>Rydberg!B34</f>
        <v>Rydberg constant</v>
      </c>
      <c r="C34" s="3" t="str">
        <f>Rydberg!C34</f>
        <v>Ω_1/m</v>
      </c>
      <c r="D34" s="21">
        <f>Rydberg!D34</f>
        <v>10973731.568157</v>
      </c>
      <c r="E34" s="8">
        <v>12</v>
      </c>
      <c r="F34" s="21">
        <f>D34/(1/F$3)</f>
        <v>2988719.1191567588</v>
      </c>
      <c r="G34" s="37" t="str">
        <f t="shared" si="17"/>
        <v>1;0016EE151XX0</v>
      </c>
      <c r="H34" s="275">
        <f t="shared" si="18"/>
        <v>9.1598587157837308E-4</v>
      </c>
      <c r="I34" s="278"/>
      <c r="J34" s="38">
        <v>6</v>
      </c>
      <c r="K34" s="61">
        <f>F34/POWER(12,J34)</f>
        <v>1.0009159858715784</v>
      </c>
      <c r="L34" s="39" t="str">
        <f>INDEX(powers!$H$2:$H$75,33+J34)</f>
        <v>dino cosmic</v>
      </c>
      <c r="M34" s="40" t="str">
        <f t="shared" si="4"/>
        <v>1</v>
      </c>
      <c r="N34" s="24">
        <f t="shared" si="19"/>
        <v>1.0991830458940477E-2</v>
      </c>
      <c r="O34" s="41" t="str">
        <f t="shared" si="5"/>
        <v>0</v>
      </c>
      <c r="P34" s="24">
        <f t="shared" si="20"/>
        <v>0.13190196550728572</v>
      </c>
      <c r="Q34" s="41" t="str">
        <f t="shared" si="6"/>
        <v>0</v>
      </c>
      <c r="R34" s="24">
        <f t="shared" si="21"/>
        <v>1.5828235860874287</v>
      </c>
      <c r="S34" s="41" t="str">
        <f t="shared" si="7"/>
        <v>1</v>
      </c>
      <c r="T34" s="24">
        <f t="shared" si="22"/>
        <v>6.9938830330491442</v>
      </c>
      <c r="U34" s="41" t="str">
        <f t="shared" si="8"/>
        <v>6</v>
      </c>
      <c r="V34" s="24">
        <f t="shared" si="23"/>
        <v>11.92659639658973</v>
      </c>
      <c r="W34" s="41" t="str">
        <f t="shared" si="9"/>
        <v>E</v>
      </c>
      <c r="X34" s="24">
        <f t="shared" si="24"/>
        <v>11.119156759076759</v>
      </c>
      <c r="Y34" s="41" t="str">
        <f t="shared" si="10"/>
        <v>E</v>
      </c>
      <c r="Z34" s="24">
        <f t="shared" si="25"/>
        <v>1.4298811089211085</v>
      </c>
      <c r="AA34" s="41" t="str">
        <f t="shared" si="11"/>
        <v>1</v>
      </c>
      <c r="AB34" s="24">
        <f t="shared" si="26"/>
        <v>5.1585733070533024</v>
      </c>
      <c r="AC34" s="41" t="str">
        <f t="shared" si="12"/>
        <v>5</v>
      </c>
      <c r="AD34" s="24">
        <f t="shared" si="27"/>
        <v>1.902879684639629</v>
      </c>
      <c r="AE34" s="41" t="str">
        <f t="shared" si="13"/>
        <v>1</v>
      </c>
      <c r="AF34" s="24">
        <f t="shared" si="28"/>
        <v>10.834556215675548</v>
      </c>
      <c r="AG34" s="41" t="str">
        <f t="shared" si="14"/>
        <v>X</v>
      </c>
      <c r="AH34" s="24">
        <f t="shared" si="29"/>
        <v>10.014674588106573</v>
      </c>
      <c r="AI34" s="41" t="str">
        <f t="shared" si="15"/>
        <v>X</v>
      </c>
      <c r="AJ34" s="24">
        <f t="shared" si="30"/>
        <v>0.17609505727887154</v>
      </c>
      <c r="AK34" s="41" t="str">
        <f t="shared" si="16"/>
        <v>0</v>
      </c>
    </row>
    <row r="35" spans="1:37" ht="15" customHeight="1" x14ac:dyDescent="0.2">
      <c r="A35" s="581"/>
      <c r="B35" s="3" t="str">
        <f>Rydberg!B35</f>
        <v>Speed of light in vacuum</v>
      </c>
      <c r="C35" s="3" t="str">
        <f>Rydberg!C35</f>
        <v>m/s</v>
      </c>
      <c r="D35" s="21">
        <f>Rydberg!D35</f>
        <v>299792458</v>
      </c>
      <c r="E35" s="8">
        <v>12</v>
      </c>
      <c r="F35" s="21">
        <f>D35/(F$3/F$4)</f>
        <v>429981696</v>
      </c>
      <c r="G35" s="37" t="str">
        <f t="shared" si="17"/>
        <v>1;000000000000</v>
      </c>
      <c r="H35" s="275">
        <f t="shared" si="18"/>
        <v>0</v>
      </c>
      <c r="I35" s="278"/>
      <c r="J35" s="38">
        <v>8</v>
      </c>
      <c r="K35" s="61">
        <f>F35/POWER(12,J35)</f>
        <v>1</v>
      </c>
      <c r="L35" s="39" t="str">
        <f>INDEX(powers!$H$2:$H$75,33+J35)</f>
        <v>cosmic</v>
      </c>
      <c r="M35" s="40" t="str">
        <f t="shared" si="4"/>
        <v>1</v>
      </c>
      <c r="N35" s="24">
        <f t="shared" si="19"/>
        <v>0</v>
      </c>
      <c r="O35" s="41" t="str">
        <f t="shared" si="5"/>
        <v>0</v>
      </c>
      <c r="P35" s="24">
        <f t="shared" si="20"/>
        <v>0</v>
      </c>
      <c r="Q35" s="41" t="str">
        <f t="shared" si="6"/>
        <v>0</v>
      </c>
      <c r="R35" s="24">
        <f t="shared" si="21"/>
        <v>0</v>
      </c>
      <c r="S35" s="41" t="str">
        <f t="shared" si="7"/>
        <v>0</v>
      </c>
      <c r="T35" s="24">
        <f t="shared" si="22"/>
        <v>0</v>
      </c>
      <c r="U35" s="41" t="str">
        <f t="shared" si="8"/>
        <v>0</v>
      </c>
      <c r="V35" s="24">
        <f t="shared" si="23"/>
        <v>0</v>
      </c>
      <c r="W35" s="41" t="str">
        <f t="shared" si="9"/>
        <v>0</v>
      </c>
      <c r="X35" s="24">
        <f t="shared" si="24"/>
        <v>0</v>
      </c>
      <c r="Y35" s="41" t="str">
        <f t="shared" si="10"/>
        <v>0</v>
      </c>
      <c r="Z35" s="24">
        <f t="shared" si="25"/>
        <v>0</v>
      </c>
      <c r="AA35" s="41" t="str">
        <f t="shared" si="11"/>
        <v>0</v>
      </c>
      <c r="AB35" s="24">
        <f t="shared" si="26"/>
        <v>0</v>
      </c>
      <c r="AC35" s="41" t="str">
        <f t="shared" si="12"/>
        <v>0</v>
      </c>
      <c r="AD35" s="24">
        <f t="shared" si="27"/>
        <v>0</v>
      </c>
      <c r="AE35" s="41" t="str">
        <f t="shared" si="13"/>
        <v>0</v>
      </c>
      <c r="AF35" s="24">
        <f t="shared" si="28"/>
        <v>0</v>
      </c>
      <c r="AG35" s="41" t="str">
        <f t="shared" si="14"/>
        <v>0</v>
      </c>
      <c r="AH35" s="24">
        <f t="shared" si="29"/>
        <v>0</v>
      </c>
      <c r="AI35" s="41" t="str">
        <f t="shared" si="15"/>
        <v>0</v>
      </c>
      <c r="AJ35" s="24">
        <f t="shared" si="30"/>
        <v>0</v>
      </c>
      <c r="AK35" s="41" t="str">
        <f t="shared" si="16"/>
        <v>0</v>
      </c>
    </row>
    <row r="36" spans="1:37" ht="15" customHeight="1" x14ac:dyDescent="0.2">
      <c r="A36" s="581"/>
      <c r="B36" s="3" t="str">
        <f>Rydberg!B36</f>
        <v>Quantum of action</v>
      </c>
      <c r="C36" s="3" t="str">
        <f>Rydberg!C36</f>
        <v>Js</v>
      </c>
      <c r="D36" s="21">
        <f>Rydberg!D36</f>
        <v>1.0545718176461565E-34</v>
      </c>
      <c r="E36" s="8">
        <v>10</v>
      </c>
      <c r="F36" s="21">
        <f>D36/(F$5*F$4)</f>
        <v>4.2127202330874253E-33</v>
      </c>
      <c r="G36" s="37" t="str">
        <f t="shared" si="17"/>
        <v>1;0000000000</v>
      </c>
      <c r="H36" s="275">
        <f t="shared" si="18"/>
        <v>1.000088900582341E-12</v>
      </c>
      <c r="I36" s="278"/>
      <c r="J36" s="38">
        <v>-30</v>
      </c>
      <c r="K36" s="61">
        <f>F36/POWER(12,J36)+0.000000000001</f>
        <v>1.0000000000010001</v>
      </c>
      <c r="L36" s="39" t="str">
        <f>INDEX(powers!$H$2:$H$75,33+J36)</f>
        <v>gross tetra-atomic</v>
      </c>
      <c r="M36" s="40" t="str">
        <f t="shared" si="4"/>
        <v>1</v>
      </c>
      <c r="N36" s="24">
        <f t="shared" si="19"/>
        <v>1.2001066806988092E-11</v>
      </c>
      <c r="O36" s="41" t="str">
        <f t="shared" si="5"/>
        <v>0</v>
      </c>
      <c r="P36" s="24">
        <f t="shared" si="20"/>
        <v>1.4401280168385711E-10</v>
      </c>
      <c r="Q36" s="41" t="str">
        <f t="shared" si="6"/>
        <v>0</v>
      </c>
      <c r="R36" s="24">
        <f t="shared" si="21"/>
        <v>1.7281536202062853E-9</v>
      </c>
      <c r="S36" s="41" t="str">
        <f t="shared" si="7"/>
        <v>0</v>
      </c>
      <c r="T36" s="24">
        <f t="shared" si="22"/>
        <v>2.0737843442475423E-8</v>
      </c>
      <c r="U36" s="41" t="str">
        <f t="shared" si="8"/>
        <v>0</v>
      </c>
      <c r="V36" s="24">
        <f t="shared" si="23"/>
        <v>2.4885412130970508E-7</v>
      </c>
      <c r="W36" s="41" t="str">
        <f t="shared" si="9"/>
        <v>0</v>
      </c>
      <c r="X36" s="24">
        <f t="shared" si="24"/>
        <v>2.9862494557164609E-6</v>
      </c>
      <c r="Y36" s="41" t="str">
        <f t="shared" si="10"/>
        <v>0</v>
      </c>
      <c r="Z36" s="24">
        <f t="shared" si="25"/>
        <v>3.5834993468597531E-5</v>
      </c>
      <c r="AA36" s="41" t="str">
        <f t="shared" si="11"/>
        <v>0</v>
      </c>
      <c r="AB36" s="24">
        <f t="shared" si="26"/>
        <v>4.3001992162317038E-4</v>
      </c>
      <c r="AC36" s="41" t="str">
        <f t="shared" si="12"/>
        <v>0</v>
      </c>
      <c r="AD36" s="24">
        <f t="shared" si="27"/>
        <v>5.1602390594780445E-3</v>
      </c>
      <c r="AE36" s="41" t="str">
        <f t="shared" si="13"/>
        <v>0</v>
      </c>
      <c r="AF36" s="24">
        <f t="shared" si="28"/>
        <v>6.1922868713736534E-2</v>
      </c>
      <c r="AG36" s="41" t="str">
        <f t="shared" si="14"/>
        <v>0</v>
      </c>
      <c r="AH36" s="24">
        <f t="shared" si="29"/>
        <v>0.74307442456483841</v>
      </c>
      <c r="AI36" s="41" t="str">
        <f t="shared" si="15"/>
        <v/>
      </c>
      <c r="AJ36" s="24">
        <f t="shared" si="30"/>
        <v>8.9168930947780609</v>
      </c>
      <c r="AK36" s="41" t="str">
        <f t="shared" si="16"/>
        <v/>
      </c>
    </row>
    <row r="37" spans="1:37" ht="15" customHeight="1" x14ac:dyDescent="0.2">
      <c r="A37" s="581"/>
      <c r="B37" s="3" t="str">
        <f>Rydberg!B37</f>
        <v>Boltzmann constant</v>
      </c>
      <c r="C37" s="3" t="str">
        <f>Rydberg!C37</f>
        <v>J/K</v>
      </c>
      <c r="D37" s="21">
        <f>Rydberg!D37</f>
        <v>1.3806490000000001E-23</v>
      </c>
      <c r="E37" s="8">
        <v>10</v>
      </c>
      <c r="F37" s="21">
        <f>D37/(F$5/F$6)</f>
        <v>1.2579115212475321E-26</v>
      </c>
      <c r="G37" s="37" t="str">
        <f t="shared" si="17"/>
        <v>1;0000000000</v>
      </c>
      <c r="H37" s="275">
        <f t="shared" si="18"/>
        <v>0</v>
      </c>
      <c r="I37" s="278"/>
      <c r="J37" s="131">
        <v>-24</v>
      </c>
      <c r="K37" s="61">
        <f t="shared" ref="K37:K70" si="31">F37/POWER(12,J37)</f>
        <v>1</v>
      </c>
      <c r="L37" s="134" t="str">
        <f>INDEX(powers!$H$2:$H$75,33+J37)</f>
        <v>ter-atomic</v>
      </c>
      <c r="M37" s="40" t="str">
        <f t="shared" si="4"/>
        <v>1</v>
      </c>
      <c r="N37" s="24">
        <f t="shared" si="19"/>
        <v>0</v>
      </c>
      <c r="O37" s="41" t="str">
        <f t="shared" si="5"/>
        <v>0</v>
      </c>
      <c r="P37" s="24">
        <f t="shared" si="20"/>
        <v>0</v>
      </c>
      <c r="Q37" s="41" t="str">
        <f t="shared" si="6"/>
        <v>0</v>
      </c>
      <c r="R37" s="24">
        <f t="shared" si="21"/>
        <v>0</v>
      </c>
      <c r="S37" s="41" t="str">
        <f t="shared" si="7"/>
        <v>0</v>
      </c>
      <c r="T37" s="24">
        <f t="shared" si="22"/>
        <v>0</v>
      </c>
      <c r="U37" s="41" t="str">
        <f t="shared" si="8"/>
        <v>0</v>
      </c>
      <c r="V37" s="24">
        <f t="shared" si="23"/>
        <v>0</v>
      </c>
      <c r="W37" s="41" t="str">
        <f t="shared" si="9"/>
        <v>0</v>
      </c>
      <c r="X37" s="24">
        <f t="shared" si="24"/>
        <v>0</v>
      </c>
      <c r="Y37" s="41" t="str">
        <f t="shared" si="10"/>
        <v>0</v>
      </c>
      <c r="Z37" s="24">
        <f t="shared" si="25"/>
        <v>0</v>
      </c>
      <c r="AA37" s="41" t="str">
        <f t="shared" si="11"/>
        <v>0</v>
      </c>
      <c r="AB37" s="24">
        <f t="shared" si="26"/>
        <v>0</v>
      </c>
      <c r="AC37" s="41" t="str">
        <f t="shared" si="12"/>
        <v>0</v>
      </c>
      <c r="AD37" s="24">
        <f t="shared" si="27"/>
        <v>0</v>
      </c>
      <c r="AE37" s="41" t="str">
        <f t="shared" si="13"/>
        <v>0</v>
      </c>
      <c r="AF37" s="24">
        <f t="shared" si="28"/>
        <v>0</v>
      </c>
      <c r="AG37" s="41" t="str">
        <f t="shared" si="14"/>
        <v>0</v>
      </c>
      <c r="AH37" s="24">
        <f t="shared" si="29"/>
        <v>0</v>
      </c>
      <c r="AI37" s="41" t="str">
        <f t="shared" si="15"/>
        <v/>
      </c>
      <c r="AJ37" s="24">
        <f t="shared" si="30"/>
        <v>0</v>
      </c>
      <c r="AK37" s="41" t="str">
        <f t="shared" si="16"/>
        <v/>
      </c>
    </row>
    <row r="38" spans="1:37" ht="15" customHeight="1" x14ac:dyDescent="0.2">
      <c r="A38" s="581"/>
      <c r="B38" s="3" t="str">
        <f>Rydberg!B38</f>
        <v>Gas constant</v>
      </c>
      <c r="C38" s="3" t="str">
        <f>Rydberg!C38</f>
        <v>J/(mol K)</v>
      </c>
      <c r="D38" s="21">
        <f>Rydberg!D38</f>
        <v>8.3144626181532395</v>
      </c>
      <c r="E38" s="8">
        <v>10</v>
      </c>
      <c r="F38" s="21">
        <f>D38/(F$5/F$6/F$7)</f>
        <v>0.99999999999999978</v>
      </c>
      <c r="G38" s="37" t="str">
        <f t="shared" si="17"/>
        <v>1;0000000000</v>
      </c>
      <c r="H38" s="275">
        <f t="shared" si="18"/>
        <v>9.9986685597741598E-13</v>
      </c>
      <c r="I38" s="278"/>
      <c r="J38" s="131">
        <v>0</v>
      </c>
      <c r="K38" s="61">
        <f>F38/POWER(12,J38)+0.000000000001</f>
        <v>1.0000000000009999</v>
      </c>
      <c r="L38" s="134" t="str">
        <f>INDEX(powers!$H$2:$H$75,33+J38)</f>
        <v xml:space="preserve"> </v>
      </c>
      <c r="M38" s="40" t="str">
        <f t="shared" si="4"/>
        <v>1</v>
      </c>
      <c r="N38" s="24">
        <f t="shared" si="19"/>
        <v>1.1998402271728992E-11</v>
      </c>
      <c r="O38" s="41" t="str">
        <f t="shared" si="5"/>
        <v>0</v>
      </c>
      <c r="P38" s="24">
        <f t="shared" si="20"/>
        <v>1.439808272607479E-10</v>
      </c>
      <c r="Q38" s="41" t="str">
        <f t="shared" si="6"/>
        <v>0</v>
      </c>
      <c r="R38" s="24">
        <f t="shared" si="21"/>
        <v>1.7277699271289748E-9</v>
      </c>
      <c r="S38" s="41" t="str">
        <f t="shared" si="7"/>
        <v>0</v>
      </c>
      <c r="T38" s="24">
        <f t="shared" si="22"/>
        <v>2.0733239125547698E-8</v>
      </c>
      <c r="U38" s="41" t="str">
        <f t="shared" si="8"/>
        <v>0</v>
      </c>
      <c r="V38" s="24">
        <f t="shared" si="23"/>
        <v>2.4879886950657237E-7</v>
      </c>
      <c r="W38" s="41" t="str">
        <f t="shared" si="9"/>
        <v>0</v>
      </c>
      <c r="X38" s="24">
        <f t="shared" si="24"/>
        <v>2.9855864340788685E-6</v>
      </c>
      <c r="Y38" s="41" t="str">
        <f t="shared" si="10"/>
        <v>0</v>
      </c>
      <c r="Z38" s="24">
        <f t="shared" si="25"/>
        <v>3.5827037208946422E-5</v>
      </c>
      <c r="AA38" s="41" t="str">
        <f t="shared" si="11"/>
        <v>0</v>
      </c>
      <c r="AB38" s="24">
        <f t="shared" si="26"/>
        <v>4.2992444650735706E-4</v>
      </c>
      <c r="AC38" s="41" t="str">
        <f t="shared" si="12"/>
        <v>0</v>
      </c>
      <c r="AD38" s="24">
        <f t="shared" si="27"/>
        <v>5.1590933580882847E-3</v>
      </c>
      <c r="AE38" s="41" t="str">
        <f t="shared" si="13"/>
        <v>0</v>
      </c>
      <c r="AF38" s="24">
        <f t="shared" si="28"/>
        <v>6.1909120297059417E-2</v>
      </c>
      <c r="AG38" s="41" t="str">
        <f t="shared" si="14"/>
        <v>0</v>
      </c>
      <c r="AH38" s="24">
        <f t="shared" si="29"/>
        <v>0.742909443564713</v>
      </c>
      <c r="AI38" s="41" t="str">
        <f t="shared" si="15"/>
        <v/>
      </c>
      <c r="AJ38" s="24">
        <f t="shared" si="30"/>
        <v>8.914913322776556</v>
      </c>
      <c r="AK38" s="41" t="str">
        <f t="shared" si="16"/>
        <v/>
      </c>
    </row>
    <row r="39" spans="1:37" ht="15" customHeight="1" x14ac:dyDescent="0.2">
      <c r="A39" s="581"/>
      <c r="B39" s="3" t="str">
        <f>Rydberg!B39</f>
        <v>Unified atomic mass unit</v>
      </c>
      <c r="C39" s="3" t="str">
        <f>Rydberg!C39</f>
        <v>kg</v>
      </c>
      <c r="D39" s="21">
        <f>Rydberg!D39</f>
        <v>1.6605390689199999E-27</v>
      </c>
      <c r="E39" s="8">
        <v>10</v>
      </c>
      <c r="F39" s="21">
        <f>D39/F$8</f>
        <v>1.259612782965656E-26</v>
      </c>
      <c r="G39" s="37" t="str">
        <f t="shared" si="17"/>
        <v>1;002406485</v>
      </c>
      <c r="H39" s="275">
        <f t="shared" si="18"/>
        <v>1.3524494285865885E-3</v>
      </c>
      <c r="I39" s="278"/>
      <c r="J39" s="38">
        <v>-24</v>
      </c>
      <c r="K39" s="61">
        <f t="shared" si="31"/>
        <v>1.0013524494285866</v>
      </c>
      <c r="L39" s="39" t="str">
        <f>INDEX(powers!$H$2:$H$75,33+J39)</f>
        <v>ter-atomic</v>
      </c>
      <c r="M39" s="40" t="str">
        <f t="shared" si="4"/>
        <v>1</v>
      </c>
      <c r="N39" s="24">
        <f t="shared" si="19"/>
        <v>1.6229393143039061E-2</v>
      </c>
      <c r="O39" s="41" t="str">
        <f t="shared" si="5"/>
        <v>0</v>
      </c>
      <c r="P39" s="24">
        <f t="shared" si="20"/>
        <v>0.19475271771646874</v>
      </c>
      <c r="Q39" s="41" t="str">
        <f t="shared" si="6"/>
        <v>0</v>
      </c>
      <c r="R39" s="24">
        <f t="shared" si="21"/>
        <v>2.3370326125976248</v>
      </c>
      <c r="S39" s="41" t="str">
        <f t="shared" si="7"/>
        <v>2</v>
      </c>
      <c r="T39" s="24">
        <f t="shared" si="22"/>
        <v>4.0443913511714982</v>
      </c>
      <c r="U39" s="41" t="str">
        <f t="shared" si="8"/>
        <v>4</v>
      </c>
      <c r="V39" s="24">
        <f t="shared" si="23"/>
        <v>0.53269621405797807</v>
      </c>
      <c r="W39" s="41" t="str">
        <f t="shared" si="9"/>
        <v>0</v>
      </c>
      <c r="X39" s="24">
        <f t="shared" si="24"/>
        <v>6.3923545686957368</v>
      </c>
      <c r="Y39" s="41" t="str">
        <f t="shared" si="10"/>
        <v>6</v>
      </c>
      <c r="Z39" s="24">
        <f t="shared" si="25"/>
        <v>4.7082548243488418</v>
      </c>
      <c r="AA39" s="41" t="str">
        <f t="shared" si="11"/>
        <v>4</v>
      </c>
      <c r="AB39" s="24">
        <f t="shared" si="26"/>
        <v>8.4990578921861015</v>
      </c>
      <c r="AC39" s="41" t="str">
        <f t="shared" si="12"/>
        <v>8</v>
      </c>
      <c r="AD39" s="24">
        <f t="shared" si="27"/>
        <v>5.9886947062332183</v>
      </c>
      <c r="AE39" s="41" t="str">
        <f t="shared" si="13"/>
        <v>5</v>
      </c>
      <c r="AF39" s="24">
        <f t="shared" si="28"/>
        <v>11.86433647479862</v>
      </c>
      <c r="AG39" s="41" t="str">
        <f t="shared" si="14"/>
        <v/>
      </c>
      <c r="AH39" s="24">
        <f t="shared" si="29"/>
        <v>10.372037697583437</v>
      </c>
      <c r="AI39" s="41" t="str">
        <f t="shared" si="15"/>
        <v/>
      </c>
      <c r="AJ39" s="24">
        <f t="shared" si="30"/>
        <v>4.4644523710012436</v>
      </c>
      <c r="AK39" s="41" t="str">
        <f t="shared" si="16"/>
        <v/>
      </c>
    </row>
    <row r="40" spans="1:37" ht="15" customHeight="1" x14ac:dyDescent="0.2">
      <c r="A40" s="581"/>
      <c r="B40" s="3" t="str">
        <f>Rydberg!B40</f>
        <v>Bohr Radius</v>
      </c>
      <c r="C40" s="3" t="str">
        <f>Rydberg!C40</f>
        <v>m</v>
      </c>
      <c r="D40" s="21">
        <f>Rydberg!D40</f>
        <v>5.2917721054102549E-11</v>
      </c>
      <c r="E40" s="8">
        <v>10</v>
      </c>
      <c r="F40" s="21">
        <f>D40/F$3</f>
        <v>1.9429890963128457E-10</v>
      </c>
      <c r="G40" s="37" t="str">
        <f t="shared" si="17"/>
        <v>1;00447E5XE3</v>
      </c>
      <c r="H40" s="275">
        <f t="shared" si="18"/>
        <v>2.5396963305257536E-3</v>
      </c>
      <c r="I40" s="278"/>
      <c r="J40" s="38">
        <v>-9</v>
      </c>
      <c r="K40" s="61">
        <f t="shared" si="31"/>
        <v>1.0025396963305258</v>
      </c>
      <c r="L40" s="39" t="str">
        <f>INDEX(powers!$H$2:$H$75,33+J40)</f>
        <v>unino atomic</v>
      </c>
      <c r="M40" s="40" t="str">
        <f t="shared" si="4"/>
        <v>1</v>
      </c>
      <c r="N40" s="24">
        <f t="shared" si="19"/>
        <v>3.0476355966309043E-2</v>
      </c>
      <c r="O40" s="41" t="str">
        <f t="shared" si="5"/>
        <v>0</v>
      </c>
      <c r="P40" s="24">
        <f t="shared" si="20"/>
        <v>0.36571627159570852</v>
      </c>
      <c r="Q40" s="41" t="str">
        <f t="shared" si="6"/>
        <v>0</v>
      </c>
      <c r="R40" s="24">
        <f t="shared" si="21"/>
        <v>4.3885952591485022</v>
      </c>
      <c r="S40" s="41" t="str">
        <f t="shared" si="7"/>
        <v>4</v>
      </c>
      <c r="T40" s="24">
        <f t="shared" si="22"/>
        <v>4.6631431097820268</v>
      </c>
      <c r="U40" s="41" t="str">
        <f t="shared" si="8"/>
        <v>4</v>
      </c>
      <c r="V40" s="24">
        <f t="shared" si="23"/>
        <v>7.9577173173843221</v>
      </c>
      <c r="W40" s="41" t="str">
        <f t="shared" si="9"/>
        <v>7</v>
      </c>
      <c r="X40" s="24">
        <f t="shared" si="24"/>
        <v>11.492607808611865</v>
      </c>
      <c r="Y40" s="41" t="str">
        <f t="shared" si="10"/>
        <v>E</v>
      </c>
      <c r="Z40" s="24">
        <f t="shared" si="25"/>
        <v>5.9112937033423805</v>
      </c>
      <c r="AA40" s="41" t="str">
        <f t="shared" si="11"/>
        <v>5</v>
      </c>
      <c r="AB40" s="24">
        <f t="shared" si="26"/>
        <v>10.935524440108566</v>
      </c>
      <c r="AC40" s="41" t="str">
        <f t="shared" si="12"/>
        <v>X</v>
      </c>
      <c r="AD40" s="24">
        <f t="shared" si="27"/>
        <v>11.226293281302787</v>
      </c>
      <c r="AE40" s="41" t="str">
        <f t="shared" si="13"/>
        <v>E</v>
      </c>
      <c r="AF40" s="24">
        <f t="shared" si="28"/>
        <v>2.7155193756334484</v>
      </c>
      <c r="AG40" s="41" t="str">
        <f t="shared" si="14"/>
        <v>3</v>
      </c>
      <c r="AH40" s="24">
        <f t="shared" si="29"/>
        <v>8.5862325076013803</v>
      </c>
      <c r="AI40" s="41" t="str">
        <f t="shared" si="15"/>
        <v/>
      </c>
      <c r="AJ40" s="24">
        <f t="shared" si="30"/>
        <v>7.0347900912165642</v>
      </c>
      <c r="AK40" s="41" t="str">
        <f t="shared" si="16"/>
        <v/>
      </c>
    </row>
    <row r="41" spans="1:37" ht="15" customHeight="1" x14ac:dyDescent="0.2">
      <c r="A41" s="581"/>
      <c r="B41" s="3" t="str">
        <f>Rydberg!B41</f>
        <v>Elementary electric charge</v>
      </c>
      <c r="C41" s="3" t="str">
        <f>Rydberg!C41</f>
        <v>C</v>
      </c>
      <c r="D41" s="21">
        <f>Rydberg!D41</f>
        <v>1.6021766339999999E-19</v>
      </c>
      <c r="E41" s="8">
        <v>10</v>
      </c>
      <c r="F41" s="21">
        <f>D41/F$12</f>
        <v>5.5445202497451214E-18</v>
      </c>
      <c r="G41" s="37" t="str">
        <f t="shared" si="17"/>
        <v>1;0374439E14</v>
      </c>
      <c r="H41" s="275">
        <f t="shared" si="18"/>
        <v>2.5094517302649111E-2</v>
      </c>
      <c r="I41" s="278"/>
      <c r="J41" s="38">
        <v>-16</v>
      </c>
      <c r="K41" s="61">
        <f t="shared" si="31"/>
        <v>1.0250945173026491</v>
      </c>
      <c r="L41" s="39" t="str">
        <f>INDEX(powers!$H$2:$H$75,33+J41)</f>
        <v>di-atomic</v>
      </c>
      <c r="M41" s="40" t="str">
        <f t="shared" si="4"/>
        <v>1</v>
      </c>
      <c r="N41" s="24">
        <f t="shared" si="19"/>
        <v>0.30113420763178933</v>
      </c>
      <c r="O41" s="41" t="str">
        <f t="shared" si="5"/>
        <v>0</v>
      </c>
      <c r="P41" s="24">
        <f t="shared" si="20"/>
        <v>3.613610491581472</v>
      </c>
      <c r="Q41" s="41" t="str">
        <f t="shared" si="6"/>
        <v>3</v>
      </c>
      <c r="R41" s="24">
        <f t="shared" si="21"/>
        <v>7.3633258989776635</v>
      </c>
      <c r="S41" s="41" t="str">
        <f t="shared" si="7"/>
        <v>7</v>
      </c>
      <c r="T41" s="24">
        <f t="shared" si="22"/>
        <v>4.3599107877319625</v>
      </c>
      <c r="U41" s="41" t="str">
        <f t="shared" si="8"/>
        <v>4</v>
      </c>
      <c r="V41" s="24">
        <f t="shared" si="23"/>
        <v>4.31892945278355</v>
      </c>
      <c r="W41" s="41" t="str">
        <f t="shared" si="9"/>
        <v>4</v>
      </c>
      <c r="X41" s="24">
        <f t="shared" si="24"/>
        <v>3.8271534334026001</v>
      </c>
      <c r="Y41" s="41" t="str">
        <f t="shared" si="10"/>
        <v>3</v>
      </c>
      <c r="Z41" s="24">
        <f t="shared" si="25"/>
        <v>9.9258412008312007</v>
      </c>
      <c r="AA41" s="41" t="str">
        <f t="shared" si="11"/>
        <v>9</v>
      </c>
      <c r="AB41" s="24">
        <f t="shared" si="26"/>
        <v>11.110094409974408</v>
      </c>
      <c r="AC41" s="41" t="str">
        <f t="shared" si="12"/>
        <v>E</v>
      </c>
      <c r="AD41" s="24">
        <f t="shared" si="27"/>
        <v>1.3211329196929</v>
      </c>
      <c r="AE41" s="41" t="str">
        <f t="shared" si="13"/>
        <v>1</v>
      </c>
      <c r="AF41" s="24">
        <f t="shared" si="28"/>
        <v>3.8535950363148004</v>
      </c>
      <c r="AG41" s="41" t="str">
        <f t="shared" si="14"/>
        <v>4</v>
      </c>
      <c r="AH41" s="24">
        <f t="shared" si="29"/>
        <v>10.243140435777605</v>
      </c>
      <c r="AI41" s="41" t="str">
        <f t="shared" si="15"/>
        <v/>
      </c>
      <c r="AJ41" s="24">
        <f t="shared" si="30"/>
        <v>2.917685229331255</v>
      </c>
      <c r="AK41" s="41" t="str">
        <f t="shared" si="16"/>
        <v/>
      </c>
    </row>
    <row r="42" spans="1:37" ht="15" customHeight="1" x14ac:dyDescent="0.2">
      <c r="A42" s="581"/>
      <c r="B42" s="3" t="str">
        <f>Rydberg!B42</f>
        <v>Electron mass</v>
      </c>
      <c r="C42" s="3" t="str">
        <f>Rydberg!C42</f>
        <v>kg</v>
      </c>
      <c r="D42" s="21">
        <f>Rydberg!D42</f>
        <v>9.1093837139983745E-31</v>
      </c>
      <c r="E42" s="8">
        <v>10</v>
      </c>
      <c r="F42" s="21">
        <f>D42/F$8</f>
        <v>6.9099826591579673E-30</v>
      </c>
      <c r="G42" s="37" t="str">
        <f t="shared" si="17"/>
        <v>0;E48324020E</v>
      </c>
      <c r="H42" s="275">
        <f t="shared" si="18"/>
        <v>-5.0771868025897282E-2</v>
      </c>
      <c r="I42" s="278"/>
      <c r="J42" s="38">
        <v>-27</v>
      </c>
      <c r="K42" s="61">
        <f t="shared" si="31"/>
        <v>0.94922813197410272</v>
      </c>
      <c r="L42" s="39" t="str">
        <f>INDEX(powers!$H$2:$H$75,33+J42)</f>
        <v>terno ter-atomic</v>
      </c>
      <c r="M42" s="40" t="str">
        <f t="shared" si="4"/>
        <v>0</v>
      </c>
      <c r="N42" s="24">
        <f t="shared" si="19"/>
        <v>11.390737583689234</v>
      </c>
      <c r="O42" s="41" t="str">
        <f t="shared" si="5"/>
        <v>E</v>
      </c>
      <c r="P42" s="24">
        <f t="shared" si="20"/>
        <v>4.688851004270802</v>
      </c>
      <c r="Q42" s="41" t="str">
        <f t="shared" si="6"/>
        <v>4</v>
      </c>
      <c r="R42" s="24">
        <f t="shared" si="21"/>
        <v>8.2662120512496244</v>
      </c>
      <c r="S42" s="41" t="str">
        <f t="shared" si="7"/>
        <v>8</v>
      </c>
      <c r="T42" s="24">
        <f t="shared" si="22"/>
        <v>3.1945446149954932</v>
      </c>
      <c r="U42" s="41" t="str">
        <f t="shared" si="8"/>
        <v>3</v>
      </c>
      <c r="V42" s="24">
        <f t="shared" si="23"/>
        <v>2.334535379945919</v>
      </c>
      <c r="W42" s="41" t="str">
        <f t="shared" si="9"/>
        <v>2</v>
      </c>
      <c r="X42" s="24">
        <f t="shared" si="24"/>
        <v>4.0144245593510277</v>
      </c>
      <c r="Y42" s="41" t="str">
        <f t="shared" si="10"/>
        <v>4</v>
      </c>
      <c r="Z42" s="24">
        <f t="shared" si="25"/>
        <v>0.17309471221233252</v>
      </c>
      <c r="AA42" s="41" t="str">
        <f t="shared" si="11"/>
        <v>0</v>
      </c>
      <c r="AB42" s="24">
        <f t="shared" si="26"/>
        <v>2.0771365465479903</v>
      </c>
      <c r="AC42" s="41" t="str">
        <f t="shared" si="12"/>
        <v>2</v>
      </c>
      <c r="AD42" s="24">
        <f t="shared" si="27"/>
        <v>0.92563855857588351</v>
      </c>
      <c r="AE42" s="41" t="str">
        <f t="shared" si="13"/>
        <v>0</v>
      </c>
      <c r="AF42" s="24">
        <f t="shared" si="28"/>
        <v>11.107662702910602</v>
      </c>
      <c r="AG42" s="41" t="str">
        <f t="shared" si="14"/>
        <v>E</v>
      </c>
      <c r="AH42" s="24">
        <f t="shared" si="29"/>
        <v>1.2919524349272251</v>
      </c>
      <c r="AI42" s="41" t="str">
        <f t="shared" si="15"/>
        <v/>
      </c>
      <c r="AJ42" s="24">
        <f t="shared" si="30"/>
        <v>3.5034292191267014</v>
      </c>
      <c r="AK42" s="41" t="str">
        <f t="shared" si="16"/>
        <v/>
      </c>
    </row>
    <row r="43" spans="1:37" ht="15" customHeight="1" x14ac:dyDescent="0.2">
      <c r="A43" s="581"/>
      <c r="B43" s="3" t="str">
        <f>Rydberg!B43</f>
        <v>Proton mass</v>
      </c>
      <c r="C43" s="3" t="str">
        <f>Rydberg!C43</f>
        <v>kg</v>
      </c>
      <c r="D43" s="21">
        <f>Rydberg!D43</f>
        <v>1.6726219259579541E-27</v>
      </c>
      <c r="E43" s="8">
        <v>10</v>
      </c>
      <c r="F43" s="21">
        <f>D43/F$8</f>
        <v>1.2687783132832609E-26</v>
      </c>
      <c r="G43" s="37" t="str">
        <f t="shared" ref="G43" si="32">M43&amp;";"&amp;O43&amp;Q43&amp;S43&amp;U43&amp;W43&amp;Y43&amp;AA43&amp;AC43&amp;AE43&amp;AG43&amp;AI43&amp;AK43</f>
        <v>1;012E17234E</v>
      </c>
      <c r="H43" s="275">
        <f t="shared" ref="H43" si="33">K43*POWER(12,I43)/ROUND(K43*POWER(12,I43),0)-1</f>
        <v>8.6387570605535036E-3</v>
      </c>
      <c r="I43" s="278"/>
      <c r="J43" s="38">
        <v>-24</v>
      </c>
      <c r="K43" s="61">
        <f t="shared" ref="K43" si="34">F43/POWER(12,J43)</f>
        <v>1.0086387570605535</v>
      </c>
      <c r="L43" s="39" t="str">
        <f>INDEX(powers!$H$2:$H$75,33+J43)</f>
        <v>ter-atomic</v>
      </c>
      <c r="M43" s="40" t="str">
        <f t="shared" ref="M43" si="35">IF($E43&gt;=M$31,MID($J$31,IF($E43&gt;M$31,INT(K43),ROUND(K43,0))+1,1),"")</f>
        <v>1</v>
      </c>
      <c r="N43" s="24">
        <f t="shared" ref="N43" si="36">(K43-INT(K43))*12</f>
        <v>0.10366508472664204</v>
      </c>
      <c r="O43" s="41" t="str">
        <f t="shared" ref="O43" si="37">IF($E43&gt;=O$31,MID($J$31,IF($E43&gt;O$31,INT(N43),ROUND(N43,0))+1,1),"")</f>
        <v>0</v>
      </c>
      <c r="P43" s="24">
        <f t="shared" ref="P43" si="38">(N43-INT(N43))*12</f>
        <v>1.2439810167197045</v>
      </c>
      <c r="Q43" s="41" t="str">
        <f t="shared" ref="Q43" si="39">IF($E43&gt;=Q$31,MID($J$31,IF($E43&gt;Q$31,INT(P43),ROUND(P43,0))+1,1),"")</f>
        <v>1</v>
      </c>
      <c r="R43" s="24">
        <f t="shared" ref="R43" si="40">(P43-INT(P43))*12</f>
        <v>2.9277722006364542</v>
      </c>
      <c r="S43" s="41" t="str">
        <f t="shared" ref="S43" si="41">IF($E43&gt;=S$31,MID($J$31,IF($E43&gt;S$31,INT(R43),ROUND(R43,0))+1,1),"")</f>
        <v>2</v>
      </c>
      <c r="T43" s="24">
        <f t="shared" ref="T43" si="42">(R43-INT(R43))*12</f>
        <v>11.13326640763745</v>
      </c>
      <c r="U43" s="41" t="str">
        <f t="shared" ref="U43" si="43">IF($E43&gt;=U$31,MID($J$31,IF($E43&gt;U$31,INT(T43),ROUND(T43,0))+1,1),"")</f>
        <v>E</v>
      </c>
      <c r="V43" s="24">
        <f t="shared" ref="V43" si="44">(T43-INT(T43))*12</f>
        <v>1.5991968916493988</v>
      </c>
      <c r="W43" s="41" t="str">
        <f t="shared" ref="W43" si="45">IF($E43&gt;=W$31,MID($J$31,IF($E43&gt;W$31,INT(V43),ROUND(V43,0))+1,1),"")</f>
        <v>1</v>
      </c>
      <c r="X43" s="24">
        <f t="shared" ref="X43" si="46">(V43-INT(V43))*12</f>
        <v>7.1903626997927859</v>
      </c>
      <c r="Y43" s="41" t="str">
        <f t="shared" ref="Y43" si="47">IF($E43&gt;=Y$31,MID($J$31,IF($E43&gt;Y$31,INT(X43),ROUND(X43,0))+1,1),"")</f>
        <v>7</v>
      </c>
      <c r="Z43" s="24">
        <f t="shared" ref="Z43" si="48">(X43-INT(X43))*12</f>
        <v>2.2843523975134303</v>
      </c>
      <c r="AA43" s="41" t="str">
        <f t="shared" ref="AA43" si="49">IF($E43&gt;=AA$31,MID($J$31,IF($E43&gt;AA$31,INT(Z43),ROUND(Z43,0))+1,1),"")</f>
        <v>2</v>
      </c>
      <c r="AB43" s="24">
        <f t="shared" ref="AB43" si="50">(Z43-INT(Z43))*12</f>
        <v>3.412228770161164</v>
      </c>
      <c r="AC43" s="41" t="str">
        <f t="shared" ref="AC43" si="51">IF($E43&gt;=AC$31,MID($J$31,IF($E43&gt;AC$31,INT(AB43),ROUND(AB43,0))+1,1),"")</f>
        <v>3</v>
      </c>
      <c r="AD43" s="24">
        <f t="shared" ref="AD43" si="52">(AB43-INT(AB43))*12</f>
        <v>4.9467452419339679</v>
      </c>
      <c r="AE43" s="41" t="str">
        <f t="shared" ref="AE43" si="53">IF($E43&gt;=AE$31,MID($J$31,IF($E43&gt;AE$31,INT(AD43),ROUND(AD43,0))+1,1),"")</f>
        <v>4</v>
      </c>
      <c r="AF43" s="24">
        <f t="shared" ref="AF43" si="54">(AD43-INT(AD43))*12</f>
        <v>11.360942903207615</v>
      </c>
      <c r="AG43" s="41" t="str">
        <f t="shared" ref="AG43" si="55">IF($E43&gt;=AG$31,MID($J$31,IF($E43&gt;AG$31,INT(AF43),ROUND(AF43,0))+1,1),"")</f>
        <v>E</v>
      </c>
      <c r="AH43" s="24">
        <f t="shared" ref="AH43" si="56">(AF43-INT(AF43))*12</f>
        <v>4.3313148384913802</v>
      </c>
      <c r="AI43" s="41" t="str">
        <f t="shared" ref="AI43" si="57">IF($E43&gt;=AI$31,MID($J$31,IF($E43&gt;AI$31,INT(AH43),ROUND(AH43,0))+1,1),"")</f>
        <v/>
      </c>
      <c r="AJ43" s="24">
        <f t="shared" ref="AJ43" si="58">(AH43-INT(AH43))*12</f>
        <v>3.9757780618965626</v>
      </c>
      <c r="AK43" s="41" t="str">
        <f t="shared" ref="AK43" si="59">IF($E43&gt;=AK$31,MID($J$31,IF($E43&gt;AK$31,INT(AJ43),ROUND(AJ43,0))+1,1),"")</f>
        <v/>
      </c>
    </row>
    <row r="44" spans="1:37" ht="15" customHeight="1" x14ac:dyDescent="0.2">
      <c r="A44" s="581"/>
      <c r="B44" s="3" t="str">
        <f>Rydberg!B44</f>
        <v>Newtonian constant of gravitation</v>
      </c>
      <c r="C44" s="3" t="str">
        <f>Rydberg!C44</f>
        <v>(m/s)^4/N</v>
      </c>
      <c r="D44" s="21">
        <f>Rydberg!D44</f>
        <v>6.6742999999999994E-11</v>
      </c>
      <c r="E44" s="8">
        <v>5</v>
      </c>
      <c r="F44" s="21">
        <f>D44/(POWER(F$3/F$4,4)/F$10)</f>
        <v>6.6457733224571703E-11</v>
      </c>
      <c r="G44" s="37" t="str">
        <f t="shared" si="17"/>
        <v>4;14664</v>
      </c>
      <c r="H44" s="275">
        <f t="shared" si="18"/>
        <v>2.8721918391808154E-2</v>
      </c>
      <c r="I44" s="278"/>
      <c r="J44" s="38">
        <v>-10</v>
      </c>
      <c r="K44" s="61">
        <f t="shared" si="31"/>
        <v>4.1148876735672326</v>
      </c>
      <c r="L44" s="39" t="str">
        <f>INDEX(powers!$H$2:$H$75,33+J44)</f>
        <v>dino atomic</v>
      </c>
      <c r="M44" s="40" t="str">
        <f t="shared" si="4"/>
        <v>4</v>
      </c>
      <c r="N44" s="24">
        <f t="shared" si="19"/>
        <v>1.3786520828067914</v>
      </c>
      <c r="O44" s="41" t="str">
        <f t="shared" si="5"/>
        <v>1</v>
      </c>
      <c r="P44" s="24">
        <f t="shared" si="20"/>
        <v>4.5438249936814969</v>
      </c>
      <c r="Q44" s="41" t="str">
        <f t="shared" si="6"/>
        <v>4</v>
      </c>
      <c r="R44" s="24">
        <f t="shared" si="21"/>
        <v>6.5258999241779634</v>
      </c>
      <c r="S44" s="41" t="str">
        <f t="shared" si="7"/>
        <v>6</v>
      </c>
      <c r="T44" s="24">
        <f t="shared" si="22"/>
        <v>6.3107990901355606</v>
      </c>
      <c r="U44" s="41" t="str">
        <f t="shared" si="8"/>
        <v>6</v>
      </c>
      <c r="V44" s="24">
        <f t="shared" si="23"/>
        <v>3.7295890816267274</v>
      </c>
      <c r="W44" s="41" t="str">
        <f t="shared" si="9"/>
        <v>4</v>
      </c>
      <c r="X44" s="24">
        <f t="shared" si="24"/>
        <v>8.755068979520729</v>
      </c>
      <c r="Y44" s="41" t="str">
        <f t="shared" si="10"/>
        <v/>
      </c>
      <c r="Z44" s="24">
        <f t="shared" si="25"/>
        <v>9.0608277542487485</v>
      </c>
      <c r="AA44" s="41" t="str">
        <f t="shared" si="11"/>
        <v/>
      </c>
      <c r="AB44" s="24">
        <f t="shared" si="26"/>
        <v>0.7299330509849824</v>
      </c>
      <c r="AC44" s="41" t="str">
        <f t="shared" si="12"/>
        <v/>
      </c>
      <c r="AD44" s="24">
        <f t="shared" si="27"/>
        <v>8.7591966118197888</v>
      </c>
      <c r="AE44" s="41" t="str">
        <f t="shared" si="13"/>
        <v/>
      </c>
      <c r="AF44" s="24">
        <f t="shared" si="28"/>
        <v>9.1103593418374658</v>
      </c>
      <c r="AG44" s="41" t="str">
        <f t="shared" si="14"/>
        <v/>
      </c>
      <c r="AH44" s="24">
        <f t="shared" si="29"/>
        <v>1.3243121020495892</v>
      </c>
      <c r="AI44" s="41" t="str">
        <f t="shared" si="15"/>
        <v/>
      </c>
      <c r="AJ44" s="24">
        <f t="shared" si="30"/>
        <v>3.8917452245950699</v>
      </c>
      <c r="AK44" s="41" t="str">
        <f t="shared" si="16"/>
        <v/>
      </c>
    </row>
    <row r="45" spans="1:37" ht="15" customHeight="1" x14ac:dyDescent="0.2">
      <c r="A45" s="581"/>
      <c r="B45" s="3" t="str">
        <f>Rydberg!B45</f>
        <v>Planck force</v>
      </c>
      <c r="C45" s="3" t="str">
        <f>Rydberg!C45</f>
        <v>N</v>
      </c>
      <c r="D45" s="21">
        <f>Rydberg!D45</f>
        <v>1.2102555643382063E+44</v>
      </c>
      <c r="E45" s="8">
        <v>5</v>
      </c>
      <c r="F45" s="21">
        <f>D45/F$10</f>
        <v>5.1434479523488362E+44</v>
      </c>
      <c r="G45" s="37" t="str">
        <f t="shared" si="17"/>
        <v>2;XEE32</v>
      </c>
      <c r="H45" s="276">
        <f t="shared" si="18"/>
        <v>-1.4628814423889303E-4</v>
      </c>
      <c r="I45" s="284">
        <v>1</v>
      </c>
      <c r="J45" s="38">
        <v>41</v>
      </c>
      <c r="K45" s="61">
        <f t="shared" si="31"/>
        <v>2.9162399929126366</v>
      </c>
      <c r="L45" s="39" t="str">
        <f>INDEX(powers!$H$2:$H$75,33+J45)</f>
        <v>dozen penta-cosmic</v>
      </c>
      <c r="M45" s="40" t="str">
        <f t="shared" si="4"/>
        <v>2</v>
      </c>
      <c r="N45" s="24">
        <f t="shared" si="19"/>
        <v>10.994879914951639</v>
      </c>
      <c r="O45" s="41" t="str">
        <f t="shared" si="5"/>
        <v>X</v>
      </c>
      <c r="P45" s="24">
        <f t="shared" si="20"/>
        <v>11.938558979419668</v>
      </c>
      <c r="Q45" s="41" t="str">
        <f t="shared" si="6"/>
        <v>E</v>
      </c>
      <c r="R45" s="24">
        <f t="shared" si="21"/>
        <v>11.262707753036011</v>
      </c>
      <c r="S45" s="41" t="str">
        <f t="shared" si="7"/>
        <v>E</v>
      </c>
      <c r="T45" s="24">
        <f t="shared" si="22"/>
        <v>3.1524930364321335</v>
      </c>
      <c r="U45" s="41" t="str">
        <f t="shared" si="8"/>
        <v>3</v>
      </c>
      <c r="V45" s="24">
        <f t="shared" si="23"/>
        <v>1.8299164371856023</v>
      </c>
      <c r="W45" s="41" t="str">
        <f t="shared" si="9"/>
        <v>2</v>
      </c>
      <c r="X45" s="24">
        <f t="shared" si="24"/>
        <v>9.9589972462272272</v>
      </c>
      <c r="Y45" s="41" t="str">
        <f t="shared" si="10"/>
        <v/>
      </c>
      <c r="Z45" s="24">
        <f t="shared" si="25"/>
        <v>11.507966954726726</v>
      </c>
      <c r="AA45" s="41" t="str">
        <f t="shared" si="11"/>
        <v/>
      </c>
      <c r="AB45" s="24">
        <f t="shared" si="26"/>
        <v>6.0956034567207098</v>
      </c>
      <c r="AC45" s="41" t="str">
        <f t="shared" si="12"/>
        <v/>
      </c>
      <c r="AD45" s="24">
        <f t="shared" si="27"/>
        <v>1.1472414806485176</v>
      </c>
      <c r="AE45" s="41" t="str">
        <f t="shared" si="13"/>
        <v/>
      </c>
      <c r="AF45" s="24">
        <f t="shared" si="28"/>
        <v>1.7668977677822113</v>
      </c>
      <c r="AG45" s="41" t="str">
        <f t="shared" si="14"/>
        <v/>
      </c>
      <c r="AH45" s="24">
        <f t="shared" si="29"/>
        <v>9.2027732133865356</v>
      </c>
      <c r="AI45" s="41" t="str">
        <f t="shared" si="15"/>
        <v/>
      </c>
      <c r="AJ45" s="24">
        <f t="shared" si="30"/>
        <v>2.4332785606384277</v>
      </c>
      <c r="AK45" s="41" t="str">
        <f t="shared" si="16"/>
        <v/>
      </c>
    </row>
    <row r="46" spans="1:37" ht="15" customHeight="1" x14ac:dyDescent="0.2">
      <c r="A46" s="581"/>
      <c r="B46" s="3" t="str">
        <f>Rydberg!B46</f>
        <v>Gravitic meter</v>
      </c>
      <c r="C46" s="3" t="str">
        <f>Rydberg!C46</f>
        <v>m</v>
      </c>
      <c r="D46" s="21">
        <f>Rydberg!D46</f>
        <v>9.5618936743262592E-35</v>
      </c>
      <c r="E46" s="8">
        <v>5</v>
      </c>
      <c r="F46" s="21">
        <f>D46/F$3</f>
        <v>3.5108570020096035E-34</v>
      </c>
      <c r="G46" s="37" t="str">
        <f t="shared" si="17"/>
        <v>1;00016</v>
      </c>
      <c r="H46" s="275">
        <f t="shared" si="18"/>
        <v>7.315209818070656E-5</v>
      </c>
      <c r="I46" s="278"/>
      <c r="J46" s="38">
        <v>-31</v>
      </c>
      <c r="K46" s="61">
        <f t="shared" si="31"/>
        <v>1.0000731520981807</v>
      </c>
      <c r="L46" s="39" t="str">
        <f>INDEX(powers!$H$2:$H$75,33+J46)</f>
        <v>dozen tetra-atomic</v>
      </c>
      <c r="M46" s="40" t="str">
        <f t="shared" si="4"/>
        <v>1</v>
      </c>
      <c r="N46" s="24">
        <f t="shared" si="19"/>
        <v>8.7782517816847871E-4</v>
      </c>
      <c r="O46" s="41" t="str">
        <f t="shared" si="5"/>
        <v>0</v>
      </c>
      <c r="P46" s="24">
        <f t="shared" si="20"/>
        <v>1.0533902138021745E-2</v>
      </c>
      <c r="Q46" s="41" t="str">
        <f t="shared" si="6"/>
        <v>0</v>
      </c>
      <c r="R46" s="24">
        <f t="shared" si="21"/>
        <v>0.12640682565626093</v>
      </c>
      <c r="S46" s="41" t="str">
        <f t="shared" si="7"/>
        <v>0</v>
      </c>
      <c r="T46" s="24">
        <f t="shared" si="22"/>
        <v>1.5168819078751312</v>
      </c>
      <c r="U46" s="41" t="str">
        <f t="shared" si="8"/>
        <v>1</v>
      </c>
      <c r="V46" s="24">
        <f t="shared" si="23"/>
        <v>6.2025828945015746</v>
      </c>
      <c r="W46" s="41" t="str">
        <f t="shared" si="9"/>
        <v>6</v>
      </c>
      <c r="X46" s="24">
        <f t="shared" si="24"/>
        <v>2.4309947340188955</v>
      </c>
      <c r="Y46" s="41" t="str">
        <f t="shared" si="10"/>
        <v/>
      </c>
      <c r="Z46" s="24">
        <f t="shared" si="25"/>
        <v>5.1719368082267465</v>
      </c>
      <c r="AA46" s="41" t="str">
        <f t="shared" si="11"/>
        <v/>
      </c>
      <c r="AB46" s="24">
        <f t="shared" si="26"/>
        <v>2.0632416987209581</v>
      </c>
      <c r="AC46" s="41" t="str">
        <f t="shared" si="12"/>
        <v/>
      </c>
      <c r="AD46" s="24">
        <f t="shared" si="27"/>
        <v>0.75890038465149701</v>
      </c>
      <c r="AE46" s="41" t="str">
        <f t="shared" si="13"/>
        <v/>
      </c>
      <c r="AF46" s="24">
        <f t="shared" si="28"/>
        <v>9.1068046158179641</v>
      </c>
      <c r="AG46" s="41" t="str">
        <f t="shared" si="14"/>
        <v/>
      </c>
      <c r="AH46" s="24">
        <f t="shared" si="29"/>
        <v>1.2816553898155689</v>
      </c>
      <c r="AI46" s="41" t="str">
        <f t="shared" si="15"/>
        <v/>
      </c>
      <c r="AJ46" s="24">
        <f t="shared" si="30"/>
        <v>3.3798646777868271</v>
      </c>
      <c r="AK46" s="41" t="str">
        <f t="shared" si="16"/>
        <v/>
      </c>
    </row>
    <row r="47" spans="1:37" ht="15" customHeight="1" x14ac:dyDescent="0.2">
      <c r="A47" s="581"/>
      <c r="B47" s="3" t="str">
        <f>Rydberg!B47</f>
        <v>Planck length</v>
      </c>
      <c r="C47" s="3" t="str">
        <f>Rydberg!C47</f>
        <v>m</v>
      </c>
      <c r="D47" s="21">
        <f>Rydberg!D47</f>
        <v>1.6162550244237053E-35</v>
      </c>
      <c r="E47" s="8">
        <v>5</v>
      </c>
      <c r="F47" s="21">
        <f>D47/F$3</f>
        <v>5.934431465983641E-35</v>
      </c>
      <c r="G47" s="37" t="str">
        <f t="shared" si="17"/>
        <v>2;04134</v>
      </c>
      <c r="H47" s="275">
        <f t="shared" si="18"/>
        <v>1.4259295442643705E-2</v>
      </c>
      <c r="I47" s="278"/>
      <c r="J47" s="38">
        <v>-32</v>
      </c>
      <c r="K47" s="61">
        <f t="shared" si="31"/>
        <v>2.0285185908852874</v>
      </c>
      <c r="L47" s="39" t="str">
        <f>INDEX(powers!$H$2:$H$75,33+J47)</f>
        <v>tetra-atomic</v>
      </c>
      <c r="M47" s="40" t="str">
        <f t="shared" si="4"/>
        <v>2</v>
      </c>
      <c r="N47" s="24">
        <f t="shared" si="19"/>
        <v>0.34222309062344891</v>
      </c>
      <c r="O47" s="41" t="str">
        <f t="shared" si="5"/>
        <v>0</v>
      </c>
      <c r="P47" s="24">
        <f t="shared" si="20"/>
        <v>4.1066770874813869</v>
      </c>
      <c r="Q47" s="41" t="str">
        <f t="shared" si="6"/>
        <v>4</v>
      </c>
      <c r="R47" s="24">
        <f t="shared" si="21"/>
        <v>1.2801250497766432</v>
      </c>
      <c r="S47" s="41" t="str">
        <f t="shared" si="7"/>
        <v>1</v>
      </c>
      <c r="T47" s="24">
        <f t="shared" si="22"/>
        <v>3.3615005973197185</v>
      </c>
      <c r="U47" s="41" t="str">
        <f t="shared" si="8"/>
        <v>3</v>
      </c>
      <c r="V47" s="24">
        <f t="shared" si="23"/>
        <v>4.3380071678366221</v>
      </c>
      <c r="W47" s="41" t="str">
        <f t="shared" si="9"/>
        <v>4</v>
      </c>
      <c r="X47" s="24">
        <f t="shared" si="24"/>
        <v>4.0560860140394652</v>
      </c>
      <c r="Y47" s="41" t="str">
        <f t="shared" si="10"/>
        <v/>
      </c>
      <c r="Z47" s="24">
        <f t="shared" si="25"/>
        <v>0.67303216847358271</v>
      </c>
      <c r="AA47" s="41" t="str">
        <f t="shared" si="11"/>
        <v/>
      </c>
      <c r="AB47" s="24">
        <f t="shared" si="26"/>
        <v>8.0763860216829926</v>
      </c>
      <c r="AC47" s="41" t="str">
        <f t="shared" si="12"/>
        <v/>
      </c>
      <c r="AD47" s="24">
        <f t="shared" si="27"/>
        <v>0.91663226019591093</v>
      </c>
      <c r="AE47" s="41" t="str">
        <f t="shared" si="13"/>
        <v/>
      </c>
      <c r="AF47" s="24">
        <f t="shared" si="28"/>
        <v>10.999587122350931</v>
      </c>
      <c r="AG47" s="41" t="str">
        <f t="shared" si="14"/>
        <v/>
      </c>
      <c r="AH47" s="24">
        <f t="shared" si="29"/>
        <v>11.995045468211174</v>
      </c>
      <c r="AI47" s="41" t="str">
        <f t="shared" si="15"/>
        <v/>
      </c>
      <c r="AJ47" s="24">
        <f t="shared" si="30"/>
        <v>11.940545618534088</v>
      </c>
      <c r="AK47" s="41" t="str">
        <f t="shared" si="16"/>
        <v/>
      </c>
    </row>
    <row r="48" spans="1:37" ht="15" customHeight="1" x14ac:dyDescent="0.2">
      <c r="A48" s="581"/>
      <c r="B48" s="3" t="str">
        <f>Rydberg!B48</f>
        <v>Adjusted Planck length</v>
      </c>
      <c r="C48" s="3" t="str">
        <f>Rydberg!C48</f>
        <v>m</v>
      </c>
      <c r="D48" s="21">
        <f>Rydberg!D48</f>
        <v>1.8920265367777891E-34</v>
      </c>
      <c r="E48" s="8">
        <v>5</v>
      </c>
      <c r="F48" s="21">
        <f>D48/F$3</f>
        <v>6.9469864870698102E-34</v>
      </c>
      <c r="G48" s="37" t="str">
        <f t="shared" si="17"/>
        <v>1;E8E58</v>
      </c>
      <c r="H48" s="275">
        <f t="shared" si="18"/>
        <v>-1.0569973409533806E-2</v>
      </c>
      <c r="I48" s="278"/>
      <c r="J48" s="38">
        <v>-31</v>
      </c>
      <c r="K48" s="61">
        <f t="shared" si="31"/>
        <v>1.9788600531809324</v>
      </c>
      <c r="L48" s="39" t="str">
        <f>INDEX(powers!$H$2:$H$75,33+J48)</f>
        <v>dozen tetra-atomic</v>
      </c>
      <c r="M48" s="40" t="str">
        <f t="shared" si="4"/>
        <v>1</v>
      </c>
      <c r="N48" s="24">
        <f t="shared" si="19"/>
        <v>11.746320638171188</v>
      </c>
      <c r="O48" s="41" t="str">
        <f t="shared" si="5"/>
        <v>E</v>
      </c>
      <c r="P48" s="24">
        <f t="shared" si="20"/>
        <v>8.9558476580542532</v>
      </c>
      <c r="Q48" s="41" t="str">
        <f t="shared" si="6"/>
        <v>8</v>
      </c>
      <c r="R48" s="24">
        <f t="shared" si="21"/>
        <v>11.470171896651038</v>
      </c>
      <c r="S48" s="41" t="str">
        <f t="shared" si="7"/>
        <v>E</v>
      </c>
      <c r="T48" s="24">
        <f t="shared" si="22"/>
        <v>5.6420627598124611</v>
      </c>
      <c r="U48" s="41" t="str">
        <f t="shared" si="8"/>
        <v>5</v>
      </c>
      <c r="V48" s="24">
        <f t="shared" si="23"/>
        <v>7.704753117749533</v>
      </c>
      <c r="W48" s="41" t="str">
        <f t="shared" si="9"/>
        <v>8</v>
      </c>
      <c r="X48" s="24">
        <f t="shared" si="24"/>
        <v>8.4570374129943957</v>
      </c>
      <c r="Y48" s="41" t="str">
        <f t="shared" si="10"/>
        <v/>
      </c>
      <c r="Z48" s="24">
        <f t="shared" si="25"/>
        <v>5.4844489559327485</v>
      </c>
      <c r="AA48" s="41" t="str">
        <f t="shared" si="11"/>
        <v/>
      </c>
      <c r="AB48" s="24">
        <f t="shared" si="26"/>
        <v>5.813387471192982</v>
      </c>
      <c r="AC48" s="41" t="str">
        <f t="shared" si="12"/>
        <v/>
      </c>
      <c r="AD48" s="24">
        <f t="shared" si="27"/>
        <v>9.7606496543157846</v>
      </c>
      <c r="AE48" s="41" t="str">
        <f t="shared" si="13"/>
        <v/>
      </c>
      <c r="AF48" s="24">
        <f t="shared" si="28"/>
        <v>9.1277958517894149</v>
      </c>
      <c r="AG48" s="41" t="str">
        <f t="shared" si="14"/>
        <v/>
      </c>
      <c r="AH48" s="24">
        <f t="shared" si="29"/>
        <v>1.5335502214729786</v>
      </c>
      <c r="AI48" s="41" t="str">
        <f t="shared" si="15"/>
        <v/>
      </c>
      <c r="AJ48" s="24">
        <f t="shared" si="30"/>
        <v>6.4026026576757431</v>
      </c>
      <c r="AK48" s="41" t="str">
        <f t="shared" si="16"/>
        <v/>
      </c>
    </row>
    <row r="49" spans="1:37" ht="15" customHeight="1" x14ac:dyDescent="0.2">
      <c r="A49" s="581"/>
      <c r="B49" s="3" t="str">
        <f>Rydberg!B49</f>
        <v>Stefan-Boltzmann constant</v>
      </c>
      <c r="C49" s="64" t="str">
        <f>Rydberg!C49</f>
        <v>W/m^2/K^4</v>
      </c>
      <c r="D49" s="21">
        <f>Rydberg!D49</f>
        <v>5.6703744191844301E-8</v>
      </c>
      <c r="E49" s="8">
        <v>10</v>
      </c>
      <c r="F49" s="21">
        <f>D49/(F$9*POWER(F$3,-2)*POWER(F$6,-4))</f>
        <v>2.9796213807085566E-25</v>
      </c>
      <c r="G49" s="37" t="str">
        <f t="shared" si="17"/>
        <v>1;E82E281EX2</v>
      </c>
      <c r="H49" s="275">
        <f t="shared" si="18"/>
        <v>-1.3039559891064312E-2</v>
      </c>
      <c r="I49" s="278"/>
      <c r="J49" s="131">
        <v>-23</v>
      </c>
      <c r="K49" s="61">
        <f t="shared" si="31"/>
        <v>1.9739208802178714</v>
      </c>
      <c r="L49" s="134" t="str">
        <f>INDEX(powers!$H$2:$H$75,33+J49)</f>
        <v>dozen ter-atomic</v>
      </c>
      <c r="M49" s="40" t="str">
        <f t="shared" si="4"/>
        <v>1</v>
      </c>
      <c r="N49" s="24">
        <f t="shared" si="19"/>
        <v>11.687050562614456</v>
      </c>
      <c r="O49" s="41" t="str">
        <f t="shared" si="5"/>
        <v>E</v>
      </c>
      <c r="P49" s="24">
        <f t="shared" si="20"/>
        <v>8.2446067513734675</v>
      </c>
      <c r="Q49" s="41" t="str">
        <f t="shared" si="6"/>
        <v>8</v>
      </c>
      <c r="R49" s="24">
        <f t="shared" si="21"/>
        <v>2.9352810164816105</v>
      </c>
      <c r="S49" s="41" t="str">
        <f t="shared" si="7"/>
        <v>2</v>
      </c>
      <c r="T49" s="24">
        <f t="shared" si="22"/>
        <v>11.223372197779327</v>
      </c>
      <c r="U49" s="41" t="str">
        <f t="shared" si="8"/>
        <v>E</v>
      </c>
      <c r="V49" s="24">
        <f t="shared" si="23"/>
        <v>2.6804663733519192</v>
      </c>
      <c r="W49" s="41" t="str">
        <f t="shared" si="9"/>
        <v>2</v>
      </c>
      <c r="X49" s="24">
        <f t="shared" si="24"/>
        <v>8.1655964802230301</v>
      </c>
      <c r="Y49" s="41" t="str">
        <f t="shared" si="10"/>
        <v>8</v>
      </c>
      <c r="Z49" s="24">
        <f t="shared" si="25"/>
        <v>1.987157762676361</v>
      </c>
      <c r="AA49" s="41" t="str">
        <f t="shared" si="11"/>
        <v>1</v>
      </c>
      <c r="AB49" s="24">
        <f t="shared" si="26"/>
        <v>11.845893152116332</v>
      </c>
      <c r="AC49" s="41" t="str">
        <f t="shared" si="12"/>
        <v>E</v>
      </c>
      <c r="AD49" s="24">
        <f t="shared" si="27"/>
        <v>10.150717825395986</v>
      </c>
      <c r="AE49" s="41" t="str">
        <f t="shared" si="13"/>
        <v>X</v>
      </c>
      <c r="AF49" s="24">
        <f t="shared" si="28"/>
        <v>1.8086139047518373</v>
      </c>
      <c r="AG49" s="41" t="str">
        <f t="shared" si="14"/>
        <v>2</v>
      </c>
      <c r="AH49" s="24">
        <f t="shared" si="29"/>
        <v>9.703366857022047</v>
      </c>
      <c r="AI49" s="41" t="str">
        <f t="shared" si="15"/>
        <v/>
      </c>
      <c r="AJ49" s="24">
        <f t="shared" si="30"/>
        <v>8.4404022842645645</v>
      </c>
      <c r="AK49" s="41" t="str">
        <f t="shared" si="16"/>
        <v/>
      </c>
    </row>
    <row r="50" spans="1:37" ht="15" customHeight="1" x14ac:dyDescent="0.2">
      <c r="A50" s="581"/>
      <c r="B50" s="3" t="str">
        <f>Rydberg!B50</f>
        <v>Black-body radiation at the ice point</v>
      </c>
      <c r="C50" s="3" t="str">
        <f>Rydberg!C50</f>
        <v>W/m^2</v>
      </c>
      <c r="D50" s="21">
        <f>Rydberg!D50</f>
        <v>315.65782231107141</v>
      </c>
      <c r="E50" s="8">
        <v>6</v>
      </c>
      <c r="F50" s="21">
        <f>D50/(F$9*POWER(F$3,-2))</f>
        <v>142.71992913272399</v>
      </c>
      <c r="G50" s="37" t="str">
        <f t="shared" si="17"/>
        <v>0;EX8780</v>
      </c>
      <c r="H50" s="275">
        <f t="shared" si="18"/>
        <v>-8.8893810227500536E-3</v>
      </c>
      <c r="I50" s="278"/>
      <c r="J50" s="38">
        <v>2</v>
      </c>
      <c r="K50" s="61">
        <f t="shared" si="31"/>
        <v>0.99111061897724995</v>
      </c>
      <c r="L50" s="39" t="str">
        <f>INDEX(powers!$H$2:$H$75,33+J50)</f>
        <v>gross</v>
      </c>
      <c r="M50" s="40" t="str">
        <f t="shared" si="4"/>
        <v>0</v>
      </c>
      <c r="N50" s="24">
        <f t="shared" si="19"/>
        <v>11.893327427727</v>
      </c>
      <c r="O50" s="41" t="str">
        <f t="shared" si="5"/>
        <v>E</v>
      </c>
      <c r="P50" s="24">
        <f t="shared" si="20"/>
        <v>10.719929132723998</v>
      </c>
      <c r="Q50" s="41" t="str">
        <f t="shared" si="6"/>
        <v>X</v>
      </c>
      <c r="R50" s="24">
        <f t="shared" si="21"/>
        <v>8.6391495926879713</v>
      </c>
      <c r="S50" s="41" t="str">
        <f t="shared" si="7"/>
        <v>8</v>
      </c>
      <c r="T50" s="24">
        <f t="shared" si="22"/>
        <v>7.669795112255656</v>
      </c>
      <c r="U50" s="41" t="str">
        <f t="shared" si="8"/>
        <v>7</v>
      </c>
      <c r="V50" s="24">
        <f t="shared" si="23"/>
        <v>8.0375413470678723</v>
      </c>
      <c r="W50" s="41" t="str">
        <f t="shared" si="9"/>
        <v>8</v>
      </c>
      <c r="X50" s="24">
        <f t="shared" si="24"/>
        <v>0.45049616481446719</v>
      </c>
      <c r="Y50" s="41" t="str">
        <f t="shared" si="10"/>
        <v>0</v>
      </c>
      <c r="Z50" s="24">
        <f t="shared" si="25"/>
        <v>5.4059539777736063</v>
      </c>
      <c r="AA50" s="41" t="str">
        <f t="shared" si="11"/>
        <v/>
      </c>
      <c r="AB50" s="24">
        <f t="shared" si="26"/>
        <v>4.8714477332832757</v>
      </c>
      <c r="AC50" s="41" t="str">
        <f t="shared" si="12"/>
        <v/>
      </c>
      <c r="AD50" s="24">
        <f t="shared" si="27"/>
        <v>10.457372799399309</v>
      </c>
      <c r="AE50" s="41" t="str">
        <f t="shared" si="13"/>
        <v/>
      </c>
      <c r="AF50" s="24">
        <f t="shared" si="28"/>
        <v>5.4884735927917063</v>
      </c>
      <c r="AG50" s="41" t="str">
        <f t="shared" si="14"/>
        <v/>
      </c>
      <c r="AH50" s="24">
        <f t="shared" si="29"/>
        <v>5.8616831135004759</v>
      </c>
      <c r="AI50" s="41" t="str">
        <f t="shared" si="15"/>
        <v/>
      </c>
      <c r="AJ50" s="24">
        <f t="shared" si="30"/>
        <v>10.340197362005711</v>
      </c>
      <c r="AK50" s="41" t="str">
        <f t="shared" si="16"/>
        <v/>
      </c>
    </row>
    <row r="51" spans="1:37" ht="15" customHeight="1" x14ac:dyDescent="0.2">
      <c r="A51" s="581"/>
      <c r="B51" s="3" t="str">
        <f>Rydberg!B51</f>
        <v>Temperature of the triple point of water</v>
      </c>
      <c r="C51" s="3" t="str">
        <f>Rydberg!C51</f>
        <v>K</v>
      </c>
      <c r="D51" s="21">
        <f>Rydberg!D51</f>
        <v>273.16000000000003</v>
      </c>
      <c r="E51" s="8">
        <v>6</v>
      </c>
      <c r="F51" s="21">
        <f>D51/F$6</f>
        <v>4678393.8932390464</v>
      </c>
      <c r="G51" s="37" t="str">
        <f t="shared" si="17"/>
        <v>1;6974X2</v>
      </c>
      <c r="H51" s="275"/>
      <c r="I51" s="278"/>
      <c r="J51" s="131">
        <v>6</v>
      </c>
      <c r="K51" s="61">
        <f t="shared" si="31"/>
        <v>1.5667846489596216</v>
      </c>
      <c r="L51" s="134" t="str">
        <f>INDEX(powers!$H$2:$H$75,33+J51)</f>
        <v>dino cosmic</v>
      </c>
      <c r="M51" s="40" t="str">
        <f t="shared" si="4"/>
        <v>1</v>
      </c>
      <c r="N51" s="24">
        <f t="shared" si="19"/>
        <v>6.8014157875154586</v>
      </c>
      <c r="O51" s="41" t="str">
        <f t="shared" si="5"/>
        <v>6</v>
      </c>
      <c r="P51" s="24">
        <f t="shared" si="20"/>
        <v>9.6169894501855033</v>
      </c>
      <c r="Q51" s="41" t="str">
        <f t="shared" si="6"/>
        <v>9</v>
      </c>
      <c r="R51" s="24">
        <f t="shared" si="21"/>
        <v>7.40387340222604</v>
      </c>
      <c r="S51" s="41" t="str">
        <f t="shared" si="7"/>
        <v>7</v>
      </c>
      <c r="T51" s="24">
        <f t="shared" si="22"/>
        <v>4.8464808267124795</v>
      </c>
      <c r="U51" s="41" t="str">
        <f t="shared" si="8"/>
        <v>4</v>
      </c>
      <c r="V51" s="24">
        <f t="shared" si="23"/>
        <v>10.157769920549754</v>
      </c>
      <c r="W51" s="41" t="str">
        <f t="shared" si="9"/>
        <v>X</v>
      </c>
      <c r="X51" s="24">
        <f t="shared" si="24"/>
        <v>1.8932390465970457</v>
      </c>
      <c r="Y51" s="41" t="str">
        <f t="shared" si="10"/>
        <v>2</v>
      </c>
      <c r="Z51" s="24">
        <f t="shared" si="25"/>
        <v>10.718868559164548</v>
      </c>
      <c r="AA51" s="41" t="str">
        <f t="shared" si="11"/>
        <v/>
      </c>
      <c r="AB51" s="24">
        <f t="shared" si="26"/>
        <v>8.6264227099745767</v>
      </c>
      <c r="AC51" s="41" t="str">
        <f t="shared" si="12"/>
        <v/>
      </c>
      <c r="AD51" s="24">
        <f t="shared" si="27"/>
        <v>7.5170725196949206</v>
      </c>
      <c r="AE51" s="41" t="str">
        <f t="shared" si="13"/>
        <v/>
      </c>
      <c r="AF51" s="24">
        <f t="shared" si="28"/>
        <v>6.2048702363390476</v>
      </c>
      <c r="AG51" s="41" t="str">
        <f t="shared" si="14"/>
        <v/>
      </c>
      <c r="AH51" s="24">
        <f t="shared" si="29"/>
        <v>2.4584428360685706</v>
      </c>
      <c r="AI51" s="41" t="str">
        <f t="shared" si="15"/>
        <v/>
      </c>
      <c r="AJ51" s="24">
        <f t="shared" si="30"/>
        <v>5.5013140328228474</v>
      </c>
      <c r="AK51" s="41" t="str">
        <f t="shared" si="16"/>
        <v/>
      </c>
    </row>
    <row r="52" spans="1:37" ht="15" customHeight="1" x14ac:dyDescent="0.2">
      <c r="A52" s="581"/>
      <c r="B52" s="3" t="str">
        <f>Rydberg!B52</f>
        <v>Molar volume of an ideal gas</v>
      </c>
      <c r="C52" s="3" t="str">
        <f>Rydberg!C52</f>
        <v>m^3/mol</v>
      </c>
      <c r="D52" s="21">
        <f>Rydberg!D52</f>
        <v>2.2413969539999998E-2</v>
      </c>
      <c r="E52" s="8">
        <v>6</v>
      </c>
      <c r="F52" s="21">
        <f>D52/(POWER(F$3,3)/F$7)</f>
        <v>146.46217271522289</v>
      </c>
      <c r="G52" s="37" t="str">
        <f t="shared" si="17"/>
        <v>1;025668</v>
      </c>
      <c r="H52" s="275">
        <f>K52*POWER(12,I52)/ROUND(K52*POWER(12,I52),0)-1</f>
        <v>1.70984216334924E-2</v>
      </c>
      <c r="I52" s="278"/>
      <c r="J52" s="38">
        <v>2</v>
      </c>
      <c r="K52" s="61">
        <f t="shared" si="31"/>
        <v>1.0170984216334924</v>
      </c>
      <c r="L52" s="39" t="str">
        <f>INDEX(powers!$H$2:$H$75,33+J52)</f>
        <v>gross</v>
      </c>
      <c r="M52" s="40" t="str">
        <f t="shared" si="4"/>
        <v>1</v>
      </c>
      <c r="N52" s="24">
        <f t="shared" si="19"/>
        <v>0.2051810596019088</v>
      </c>
      <c r="O52" s="41" t="str">
        <f t="shared" si="5"/>
        <v>0</v>
      </c>
      <c r="P52" s="24">
        <f t="shared" si="20"/>
        <v>2.4621727152229056</v>
      </c>
      <c r="Q52" s="41" t="str">
        <f t="shared" si="6"/>
        <v>2</v>
      </c>
      <c r="R52" s="24">
        <f t="shared" si="21"/>
        <v>5.5460725826748671</v>
      </c>
      <c r="S52" s="41" t="str">
        <f t="shared" si="7"/>
        <v>5</v>
      </c>
      <c r="T52" s="24">
        <f t="shared" si="22"/>
        <v>6.5528709920984056</v>
      </c>
      <c r="U52" s="41" t="str">
        <f t="shared" si="8"/>
        <v>6</v>
      </c>
      <c r="V52" s="24">
        <f t="shared" si="23"/>
        <v>6.6344519051808675</v>
      </c>
      <c r="W52" s="41" t="str">
        <f t="shared" si="9"/>
        <v>6</v>
      </c>
      <c r="X52" s="24">
        <f t="shared" si="24"/>
        <v>7.6134228621704096</v>
      </c>
      <c r="Y52" s="41" t="str">
        <f t="shared" si="10"/>
        <v>8</v>
      </c>
      <c r="Z52" s="24">
        <f t="shared" si="25"/>
        <v>7.3610743460449157</v>
      </c>
      <c r="AA52" s="41" t="str">
        <f t="shared" si="11"/>
        <v/>
      </c>
      <c r="AB52" s="24">
        <f t="shared" si="26"/>
        <v>4.3328921525389887</v>
      </c>
      <c r="AC52" s="41" t="str">
        <f t="shared" si="12"/>
        <v/>
      </c>
      <c r="AD52" s="24">
        <f t="shared" si="27"/>
        <v>3.9947058304678649</v>
      </c>
      <c r="AE52" s="41" t="str">
        <f t="shared" si="13"/>
        <v/>
      </c>
      <c r="AF52" s="24">
        <f t="shared" si="28"/>
        <v>11.936469965614378</v>
      </c>
      <c r="AG52" s="41" t="str">
        <f t="shared" si="14"/>
        <v/>
      </c>
      <c r="AH52" s="24">
        <f t="shared" si="29"/>
        <v>11.237639587372541</v>
      </c>
      <c r="AI52" s="41" t="str">
        <f t="shared" si="15"/>
        <v/>
      </c>
      <c r="AJ52" s="24">
        <f t="shared" si="30"/>
        <v>2.8516750484704971</v>
      </c>
      <c r="AK52" s="41" t="str">
        <f t="shared" si="16"/>
        <v/>
      </c>
    </row>
    <row r="53" spans="1:37" ht="15" customHeight="1" x14ac:dyDescent="0.2">
      <c r="A53" s="581"/>
      <c r="B53" s="67" t="str">
        <f>Rydberg!B53</f>
        <v>-log(Sqrt([H+][OH-])/(mol/m^3))</v>
      </c>
      <c r="C53" s="3" t="str">
        <f>Rydberg!C53</f>
        <v>log(12)</v>
      </c>
      <c r="D53" s="21">
        <f>Rydberg!D53</f>
        <v>1.0039920318408906E-4</v>
      </c>
      <c r="E53" s="8">
        <v>4</v>
      </c>
      <c r="F53" s="21">
        <f>-LOG(D$53/(F$7*POWER(F$3,-3)))/LOG(12)</f>
        <v>7.2401892245754205</v>
      </c>
      <c r="G53" s="37" t="str">
        <f t="shared" si="17"/>
        <v>7;2X71</v>
      </c>
      <c r="H53" s="275"/>
      <c r="I53" s="278"/>
      <c r="J53" s="38">
        <v>0</v>
      </c>
      <c r="K53" s="61">
        <f t="shared" si="31"/>
        <v>7.2401892245754205</v>
      </c>
      <c r="L53" s="39" t="str">
        <f>INDEX(powers!$H$2:$H$75,33+J53)</f>
        <v xml:space="preserve"> </v>
      </c>
      <c r="M53" s="40" t="str">
        <f t="shared" si="4"/>
        <v>7</v>
      </c>
      <c r="N53" s="24">
        <f t="shared" si="19"/>
        <v>2.8822706949050456</v>
      </c>
      <c r="O53" s="41" t="str">
        <f t="shared" si="5"/>
        <v>2</v>
      </c>
      <c r="P53" s="24">
        <f t="shared" si="20"/>
        <v>10.587248338860547</v>
      </c>
      <c r="Q53" s="41" t="str">
        <f t="shared" si="6"/>
        <v>X</v>
      </c>
      <c r="R53" s="24">
        <f t="shared" si="21"/>
        <v>7.0469800663265687</v>
      </c>
      <c r="S53" s="41" t="str">
        <f t="shared" si="7"/>
        <v>7</v>
      </c>
      <c r="T53" s="24">
        <f t="shared" si="22"/>
        <v>0.56376079591882444</v>
      </c>
      <c r="U53" s="41" t="str">
        <f t="shared" si="8"/>
        <v>1</v>
      </c>
      <c r="V53" s="24">
        <f t="shared" si="23"/>
        <v>6.7651295510258933</v>
      </c>
      <c r="W53" s="41" t="str">
        <f t="shared" si="9"/>
        <v/>
      </c>
      <c r="X53" s="24">
        <f t="shared" si="24"/>
        <v>9.1815546123107197</v>
      </c>
      <c r="Y53" s="41" t="str">
        <f t="shared" si="10"/>
        <v/>
      </c>
      <c r="Z53" s="24">
        <f t="shared" si="25"/>
        <v>2.1786553477286361</v>
      </c>
      <c r="AA53" s="41" t="str">
        <f t="shared" si="11"/>
        <v/>
      </c>
      <c r="AB53" s="24">
        <f t="shared" si="26"/>
        <v>2.1438641727436334</v>
      </c>
      <c r="AC53" s="41" t="str">
        <f t="shared" si="12"/>
        <v/>
      </c>
      <c r="AD53" s="24">
        <f t="shared" si="27"/>
        <v>1.7263700729236007</v>
      </c>
      <c r="AE53" s="41" t="str">
        <f t="shared" si="13"/>
        <v/>
      </c>
      <c r="AF53" s="24">
        <f t="shared" si="28"/>
        <v>8.7164408750832081</v>
      </c>
      <c r="AG53" s="41" t="str">
        <f t="shared" si="14"/>
        <v/>
      </c>
      <c r="AH53" s="24">
        <f t="shared" si="29"/>
        <v>8.597290500998497</v>
      </c>
      <c r="AI53" s="41" t="str">
        <f t="shared" si="15"/>
        <v/>
      </c>
      <c r="AJ53" s="24">
        <f t="shared" si="30"/>
        <v>7.1674860119819641</v>
      </c>
      <c r="AK53" s="41" t="str">
        <f t="shared" si="16"/>
        <v/>
      </c>
    </row>
    <row r="54" spans="1:37" ht="15" customHeight="1" x14ac:dyDescent="0.2">
      <c r="A54" s="581"/>
      <c r="B54" s="3" t="str">
        <f>Rydberg!B54</f>
        <v>Maximum density of water</v>
      </c>
      <c r="C54" s="3" t="str">
        <f>Rydberg!C54</f>
        <v>kg/m^3</v>
      </c>
      <c r="D54" s="21">
        <f>Rydberg!D54</f>
        <v>999.97199999999998</v>
      </c>
      <c r="E54" s="8">
        <v>6</v>
      </c>
      <c r="F54" s="21">
        <f>D54/(F$8*POWER(F$3,-3))</f>
        <v>153.23857635515455</v>
      </c>
      <c r="G54" s="37" t="str">
        <f t="shared" si="17"/>
        <v>1;092X43</v>
      </c>
      <c r="H54" s="294">
        <f t="shared" ref="H54:H62" si="60">K54*POWER(12,I54)/ROUND(K54*POWER(12,I54),0)-1</f>
        <v>6.4156780244128742E-2</v>
      </c>
      <c r="I54" s="295"/>
      <c r="J54" s="38">
        <v>2</v>
      </c>
      <c r="K54" s="61">
        <f t="shared" si="31"/>
        <v>1.0641567802441287</v>
      </c>
      <c r="L54" s="39" t="str">
        <f>INDEX(powers!$H$2:$H$75,33+J54)</f>
        <v>gross</v>
      </c>
      <c r="M54" s="40" t="str">
        <f t="shared" si="4"/>
        <v>1</v>
      </c>
      <c r="N54" s="24">
        <f t="shared" si="19"/>
        <v>0.7698813629295449</v>
      </c>
      <c r="O54" s="41" t="str">
        <f t="shared" si="5"/>
        <v>0</v>
      </c>
      <c r="P54" s="24">
        <f t="shared" si="20"/>
        <v>9.2385763551545388</v>
      </c>
      <c r="Q54" s="41" t="str">
        <f t="shared" si="6"/>
        <v>9</v>
      </c>
      <c r="R54" s="24">
        <f t="shared" si="21"/>
        <v>2.8629162618544655</v>
      </c>
      <c r="S54" s="41" t="str">
        <f t="shared" si="7"/>
        <v>2</v>
      </c>
      <c r="T54" s="24">
        <f t="shared" si="22"/>
        <v>10.354995142253586</v>
      </c>
      <c r="U54" s="41" t="str">
        <f t="shared" si="8"/>
        <v>X</v>
      </c>
      <c r="V54" s="24">
        <f t="shared" si="23"/>
        <v>4.2599417070430263</v>
      </c>
      <c r="W54" s="41" t="str">
        <f t="shared" si="9"/>
        <v>4</v>
      </c>
      <c r="X54" s="24">
        <f t="shared" si="24"/>
        <v>3.1193004845163159</v>
      </c>
      <c r="Y54" s="41" t="str">
        <f t="shared" si="10"/>
        <v>3</v>
      </c>
      <c r="Z54" s="24">
        <f t="shared" si="25"/>
        <v>1.431605814195791</v>
      </c>
      <c r="AA54" s="41" t="str">
        <f t="shared" si="11"/>
        <v/>
      </c>
      <c r="AB54" s="24">
        <f t="shared" si="26"/>
        <v>5.1792697703494923</v>
      </c>
      <c r="AC54" s="41" t="str">
        <f t="shared" si="12"/>
        <v/>
      </c>
      <c r="AD54" s="24">
        <f t="shared" si="27"/>
        <v>2.1512372441939078</v>
      </c>
      <c r="AE54" s="41" t="str">
        <f t="shared" si="13"/>
        <v/>
      </c>
      <c r="AF54" s="24">
        <f t="shared" si="28"/>
        <v>1.8148469303268939</v>
      </c>
      <c r="AG54" s="41" t="str">
        <f t="shared" si="14"/>
        <v/>
      </c>
      <c r="AH54" s="24">
        <f t="shared" si="29"/>
        <v>9.7781631639227271</v>
      </c>
      <c r="AI54" s="41" t="str">
        <f t="shared" si="15"/>
        <v/>
      </c>
      <c r="AJ54" s="24">
        <f t="shared" si="30"/>
        <v>9.3379579670727253</v>
      </c>
      <c r="AK54" s="41" t="str">
        <f t="shared" si="16"/>
        <v/>
      </c>
    </row>
    <row r="55" spans="1:37" ht="15" customHeight="1" x14ac:dyDescent="0.2">
      <c r="A55" s="581"/>
      <c r="B55" s="3" t="str">
        <f>Rydberg!B55</f>
        <v>Density of ice at the ice point</v>
      </c>
      <c r="C55" s="3" t="str">
        <f>Rydberg!C55</f>
        <v>kg/m^3</v>
      </c>
      <c r="D55" s="21">
        <f>Rydberg!D55</f>
        <v>916.8</v>
      </c>
      <c r="E55" s="8">
        <v>4</v>
      </c>
      <c r="F55" s="21">
        <f>D55/(F$8*POWER(F$3,-3))</f>
        <v>140.49306060810272</v>
      </c>
      <c r="G55" s="37" t="str">
        <f t="shared" si="17"/>
        <v>0;E85E</v>
      </c>
      <c r="H55" s="275">
        <f t="shared" si="60"/>
        <v>-2.4353745777064395E-2</v>
      </c>
      <c r="I55" s="278"/>
      <c r="J55" s="38">
        <v>2</v>
      </c>
      <c r="K55" s="61">
        <f t="shared" si="31"/>
        <v>0.9756462542229356</v>
      </c>
      <c r="L55" s="39" t="str">
        <f>INDEX(powers!$H$2:$H$75,33+J55)</f>
        <v>gross</v>
      </c>
      <c r="M55" s="40" t="str">
        <f t="shared" si="4"/>
        <v>0</v>
      </c>
      <c r="N55" s="24">
        <f t="shared" si="19"/>
        <v>11.707755050675228</v>
      </c>
      <c r="O55" s="41" t="str">
        <f t="shared" si="5"/>
        <v>E</v>
      </c>
      <c r="P55" s="24">
        <f t="shared" si="20"/>
        <v>8.4930606081027378</v>
      </c>
      <c r="Q55" s="41" t="str">
        <f t="shared" si="6"/>
        <v>8</v>
      </c>
      <c r="R55" s="24">
        <f t="shared" si="21"/>
        <v>5.9167272972328533</v>
      </c>
      <c r="S55" s="41" t="str">
        <f t="shared" si="7"/>
        <v>5</v>
      </c>
      <c r="T55" s="24">
        <f t="shared" si="22"/>
        <v>11.000727566794239</v>
      </c>
      <c r="U55" s="41" t="str">
        <f t="shared" si="8"/>
        <v>E</v>
      </c>
      <c r="V55" s="24">
        <f t="shared" si="23"/>
        <v>8.7308015308735776E-3</v>
      </c>
      <c r="W55" s="41" t="str">
        <f t="shared" si="9"/>
        <v/>
      </c>
      <c r="X55" s="24">
        <f t="shared" si="24"/>
        <v>0.10476961837048293</v>
      </c>
      <c r="Y55" s="41" t="str">
        <f t="shared" si="10"/>
        <v/>
      </c>
      <c r="Z55" s="24">
        <f t="shared" si="25"/>
        <v>1.2572354204457952</v>
      </c>
      <c r="AA55" s="41" t="str">
        <f t="shared" si="11"/>
        <v/>
      </c>
      <c r="AB55" s="24">
        <f t="shared" si="26"/>
        <v>3.0868250453495421</v>
      </c>
      <c r="AC55" s="41" t="str">
        <f t="shared" si="12"/>
        <v/>
      </c>
      <c r="AD55" s="24">
        <f t="shared" si="27"/>
        <v>1.0419005441945046</v>
      </c>
      <c r="AE55" s="41" t="str">
        <f t="shared" si="13"/>
        <v/>
      </c>
      <c r="AF55" s="24">
        <f t="shared" si="28"/>
        <v>0.50280653033405542</v>
      </c>
      <c r="AG55" s="41" t="str">
        <f t="shared" si="14"/>
        <v/>
      </c>
      <c r="AH55" s="24">
        <f t="shared" si="29"/>
        <v>6.0336783640086651</v>
      </c>
      <c r="AI55" s="41" t="str">
        <f t="shared" si="15"/>
        <v/>
      </c>
      <c r="AJ55" s="24">
        <f t="shared" si="30"/>
        <v>0.40414036810398102</v>
      </c>
      <c r="AK55" s="41" t="str">
        <f t="shared" si="16"/>
        <v/>
      </c>
    </row>
    <row r="56" spans="1:37" ht="15" customHeight="1" x14ac:dyDescent="0.2">
      <c r="A56" s="581"/>
      <c r="B56" s="3" t="str">
        <f>Rydberg!B56</f>
        <v>Specific heat of water</v>
      </c>
      <c r="C56" s="3" t="str">
        <f>Rydberg!C56</f>
        <v>J/kg/K</v>
      </c>
      <c r="D56" s="21">
        <f>Rydberg!D56</f>
        <v>4184</v>
      </c>
      <c r="E56" s="8">
        <v>4</v>
      </c>
      <c r="F56" s="21">
        <f>D56/(F$5/F$8/F$6)</f>
        <v>0.50253987426214242</v>
      </c>
      <c r="G56" s="37" t="str">
        <f t="shared" si="17"/>
        <v>6;0448</v>
      </c>
      <c r="H56" s="294">
        <f t="shared" si="60"/>
        <v>5.0797485242848328E-3</v>
      </c>
      <c r="I56" s="295"/>
      <c r="J56" s="131">
        <v>-1</v>
      </c>
      <c r="K56" s="61">
        <f t="shared" si="31"/>
        <v>6.0304784911457094</v>
      </c>
      <c r="L56" s="134" t="str">
        <f>INDEX(powers!$H$2:$H$75,33+J56)</f>
        <v>unino</v>
      </c>
      <c r="M56" s="40" t="str">
        <f t="shared" si="4"/>
        <v>6</v>
      </c>
      <c r="N56" s="24">
        <f t="shared" si="19"/>
        <v>0.36574189374851329</v>
      </c>
      <c r="O56" s="41" t="str">
        <f t="shared" si="5"/>
        <v>0</v>
      </c>
      <c r="P56" s="24">
        <f t="shared" si="20"/>
        <v>4.3889027249821595</v>
      </c>
      <c r="Q56" s="41" t="str">
        <f t="shared" si="6"/>
        <v>4</v>
      </c>
      <c r="R56" s="24">
        <f t="shared" si="21"/>
        <v>4.666832699785914</v>
      </c>
      <c r="S56" s="41" t="str">
        <f t="shared" si="7"/>
        <v>4</v>
      </c>
      <c r="T56" s="24">
        <f t="shared" si="22"/>
        <v>8.0019923974309677</v>
      </c>
      <c r="U56" s="41" t="str">
        <f t="shared" si="8"/>
        <v>8</v>
      </c>
      <c r="V56" s="24">
        <f t="shared" si="23"/>
        <v>2.3908769171612221E-2</v>
      </c>
      <c r="W56" s="41" t="str">
        <f t="shared" si="9"/>
        <v/>
      </c>
      <c r="X56" s="24">
        <f t="shared" si="24"/>
        <v>0.28690523005934665</v>
      </c>
      <c r="Y56" s="41" t="str">
        <f t="shared" si="10"/>
        <v/>
      </c>
      <c r="Z56" s="24">
        <f t="shared" si="25"/>
        <v>3.4428627607121598</v>
      </c>
      <c r="AA56" s="41" t="str">
        <f t="shared" si="11"/>
        <v/>
      </c>
      <c r="AB56" s="24">
        <f t="shared" si="26"/>
        <v>5.3143531285459176</v>
      </c>
      <c r="AC56" s="41" t="str">
        <f t="shared" si="12"/>
        <v/>
      </c>
      <c r="AD56" s="24">
        <f t="shared" si="27"/>
        <v>3.7722375425510108</v>
      </c>
      <c r="AE56" s="41" t="str">
        <f t="shared" si="13"/>
        <v/>
      </c>
      <c r="AF56" s="24">
        <f t="shared" si="28"/>
        <v>9.2668505106121302</v>
      </c>
      <c r="AG56" s="41" t="str">
        <f t="shared" si="14"/>
        <v/>
      </c>
      <c r="AH56" s="24">
        <f t="shared" si="29"/>
        <v>3.202206127345562</v>
      </c>
      <c r="AI56" s="41" t="str">
        <f t="shared" si="15"/>
        <v/>
      </c>
      <c r="AJ56" s="24">
        <f t="shared" si="30"/>
        <v>2.4264735281467438</v>
      </c>
      <c r="AK56" s="41" t="str">
        <f t="shared" si="16"/>
        <v/>
      </c>
    </row>
    <row r="57" spans="1:37" ht="15" customHeight="1" x14ac:dyDescent="0.2">
      <c r="A57" s="581"/>
      <c r="B57" s="3" t="str">
        <f>Rydberg!B57</f>
        <v>Surface tension of water at 25℃</v>
      </c>
      <c r="C57" s="3" t="str">
        <f>Rydberg!C57</f>
        <v>N/m</v>
      </c>
      <c r="D57" s="21">
        <f>Rydberg!D57</f>
        <v>7.1970000000000006E-2</v>
      </c>
      <c r="E57" s="8">
        <v>4</v>
      </c>
      <c r="F57" s="21">
        <f>D$57/(F$10/F$3)</f>
        <v>8.3302787349502722E-2</v>
      </c>
      <c r="G57" s="37" t="str">
        <f t="shared" si="17"/>
        <v>0;EEE4</v>
      </c>
      <c r="H57" s="275">
        <f t="shared" si="60"/>
        <v>-3.6655180596734116E-4</v>
      </c>
      <c r="I57" s="278"/>
      <c r="J57" s="38">
        <v>-1</v>
      </c>
      <c r="K57" s="61">
        <f t="shared" si="31"/>
        <v>0.99963344819403266</v>
      </c>
      <c r="L57" s="39" t="str">
        <f>INDEX(powers!$H$2:$H$75,33+J57)</f>
        <v>unino</v>
      </c>
      <c r="M57" s="40" t="str">
        <f t="shared" si="4"/>
        <v>0</v>
      </c>
      <c r="N57" s="24">
        <f t="shared" si="19"/>
        <v>11.995601378328391</v>
      </c>
      <c r="O57" s="41" t="str">
        <f t="shared" si="5"/>
        <v>E</v>
      </c>
      <c r="P57" s="24">
        <f t="shared" si="20"/>
        <v>11.947216539940698</v>
      </c>
      <c r="Q57" s="41" t="str">
        <f t="shared" si="6"/>
        <v>E</v>
      </c>
      <c r="R57" s="24">
        <f t="shared" si="21"/>
        <v>11.366598479288371</v>
      </c>
      <c r="S57" s="41" t="str">
        <f t="shared" si="7"/>
        <v>E</v>
      </c>
      <c r="T57" s="24">
        <f t="shared" si="22"/>
        <v>4.3991817514604463</v>
      </c>
      <c r="U57" s="41" t="str">
        <f t="shared" si="8"/>
        <v>4</v>
      </c>
      <c r="V57" s="24">
        <f t="shared" si="23"/>
        <v>4.7901810175253559</v>
      </c>
      <c r="W57" s="41" t="str">
        <f t="shared" si="9"/>
        <v/>
      </c>
      <c r="X57" s="24">
        <f t="shared" si="24"/>
        <v>9.4821722103042703</v>
      </c>
      <c r="Y57" s="41" t="str">
        <f t="shared" si="10"/>
        <v/>
      </c>
      <c r="Z57" s="24">
        <f t="shared" si="25"/>
        <v>5.7860665236512432</v>
      </c>
      <c r="AA57" s="41" t="str">
        <f t="shared" si="11"/>
        <v/>
      </c>
      <c r="AB57" s="24">
        <f t="shared" si="26"/>
        <v>9.4327982838149182</v>
      </c>
      <c r="AC57" s="41" t="str">
        <f t="shared" si="12"/>
        <v/>
      </c>
      <c r="AD57" s="24">
        <f t="shared" si="27"/>
        <v>5.193579405779019</v>
      </c>
      <c r="AE57" s="41" t="str">
        <f t="shared" si="13"/>
        <v/>
      </c>
      <c r="AF57" s="24">
        <f t="shared" si="28"/>
        <v>2.322952869348228</v>
      </c>
      <c r="AG57" s="41" t="str">
        <f t="shared" si="14"/>
        <v/>
      </c>
      <c r="AH57" s="24">
        <f t="shared" si="29"/>
        <v>3.8754344321787357</v>
      </c>
      <c r="AI57" s="41" t="str">
        <f t="shared" si="15"/>
        <v/>
      </c>
      <c r="AJ57" s="24">
        <f t="shared" si="30"/>
        <v>10.505213186144829</v>
      </c>
      <c r="AK57" s="41" t="str">
        <f t="shared" si="16"/>
        <v/>
      </c>
    </row>
    <row r="58" spans="1:37" ht="15" customHeight="1" x14ac:dyDescent="0.2">
      <c r="A58" s="581"/>
      <c r="B58" s="5" t="str">
        <f>Rydberg!B58</f>
        <v>photon energy at 540THz</v>
      </c>
      <c r="C58" s="3" t="str">
        <f>Rydberg!C58</f>
        <v>J</v>
      </c>
      <c r="D58" s="21">
        <f>D36*540000000000000*(2*PI())</f>
        <v>3.5780778809999999E-19</v>
      </c>
      <c r="E58" s="8">
        <v>10</v>
      </c>
      <c r="F58" s="21">
        <f>D58/F$5</f>
        <v>5.5833683635813506E-18</v>
      </c>
      <c r="G58" s="37" t="str">
        <f t="shared" si="17"/>
        <v>1;0479364582</v>
      </c>
      <c r="H58" s="275">
        <f t="shared" si="60"/>
        <v>3.2276922038730227E-2</v>
      </c>
      <c r="I58" s="278"/>
      <c r="J58" s="38">
        <v>-16</v>
      </c>
      <c r="K58" s="61">
        <f t="shared" si="31"/>
        <v>1.0322769220387302</v>
      </c>
      <c r="L58" s="39" t="str">
        <f>INDEX(powers!$H$2:$H$75,33+J58)</f>
        <v>di-atomic</v>
      </c>
      <c r="M58" s="40" t="str">
        <f t="shared" si="4"/>
        <v>1</v>
      </c>
      <c r="N58" s="24">
        <f t="shared" si="19"/>
        <v>0.38732306446476272</v>
      </c>
      <c r="O58" s="41" t="str">
        <f t="shared" si="5"/>
        <v>0</v>
      </c>
      <c r="P58" s="24">
        <f t="shared" si="20"/>
        <v>4.6478767735771527</v>
      </c>
      <c r="Q58" s="41" t="str">
        <f t="shared" si="6"/>
        <v>4</v>
      </c>
      <c r="R58" s="24">
        <f t="shared" si="21"/>
        <v>7.7745212829258321</v>
      </c>
      <c r="S58" s="41" t="str">
        <f t="shared" si="7"/>
        <v>7</v>
      </c>
      <c r="T58" s="24">
        <f t="shared" si="22"/>
        <v>9.2942553951099853</v>
      </c>
      <c r="U58" s="41" t="str">
        <f t="shared" si="8"/>
        <v>9</v>
      </c>
      <c r="V58" s="24">
        <f t="shared" si="23"/>
        <v>3.531064741319824</v>
      </c>
      <c r="W58" s="41" t="str">
        <f t="shared" si="9"/>
        <v>3</v>
      </c>
      <c r="X58" s="24">
        <f t="shared" si="24"/>
        <v>6.3727768958378874</v>
      </c>
      <c r="Y58" s="41" t="str">
        <f t="shared" si="10"/>
        <v>6</v>
      </c>
      <c r="Z58" s="24">
        <f t="shared" si="25"/>
        <v>4.4733227500546491</v>
      </c>
      <c r="AA58" s="41" t="str">
        <f t="shared" si="11"/>
        <v>4</v>
      </c>
      <c r="AB58" s="24">
        <f t="shared" si="26"/>
        <v>5.6798730006557889</v>
      </c>
      <c r="AC58" s="41" t="str">
        <f t="shared" si="12"/>
        <v>5</v>
      </c>
      <c r="AD58" s="24">
        <f t="shared" si="27"/>
        <v>8.1584760078694671</v>
      </c>
      <c r="AE58" s="41" t="str">
        <f t="shared" si="13"/>
        <v>8</v>
      </c>
      <c r="AF58" s="24">
        <f t="shared" si="28"/>
        <v>1.9017120944336057</v>
      </c>
      <c r="AG58" s="41" t="str">
        <f t="shared" si="14"/>
        <v>2</v>
      </c>
      <c r="AH58" s="24">
        <f t="shared" si="29"/>
        <v>10.820545133203268</v>
      </c>
      <c r="AI58" s="41" t="str">
        <f t="shared" si="15"/>
        <v/>
      </c>
      <c r="AJ58" s="24">
        <f t="shared" si="30"/>
        <v>9.8465415984392166</v>
      </c>
      <c r="AK58" s="41" t="str">
        <f t="shared" si="16"/>
        <v/>
      </c>
    </row>
    <row r="59" spans="1:37" ht="15" customHeight="1" x14ac:dyDescent="0.2">
      <c r="A59" s="581"/>
      <c r="B59" s="224" t="str">
        <f>Rydberg!B59</f>
        <v>(according to the definition of candela)</v>
      </c>
      <c r="C59" s="3" t="str">
        <f>Rydberg!C59</f>
        <v>eΩA</v>
      </c>
      <c r="D59" s="21">
        <f>D58/D41</f>
        <v>2.2332605563388839</v>
      </c>
      <c r="E59" s="8">
        <v>10</v>
      </c>
      <c r="F59" s="21">
        <f>D59/F$17</f>
        <v>1.0070065781808852</v>
      </c>
      <c r="G59" s="37" t="str">
        <f t="shared" si="17"/>
        <v>1;0101356445</v>
      </c>
      <c r="H59" s="275">
        <f t="shared" si="60"/>
        <v>7.0065781808852368E-3</v>
      </c>
      <c r="I59" s="278"/>
      <c r="J59" s="38">
        <v>0</v>
      </c>
      <c r="K59" s="61">
        <f t="shared" si="31"/>
        <v>1.0070065781808852</v>
      </c>
      <c r="L59" s="254">
        <f>540/K59</f>
        <v>536.24277308643514</v>
      </c>
      <c r="M59" s="40" t="str">
        <f t="shared" si="4"/>
        <v>1</v>
      </c>
      <c r="N59" s="24">
        <f t="shared" si="19"/>
        <v>8.4078938170622841E-2</v>
      </c>
      <c r="O59" s="41" t="str">
        <f t="shared" si="5"/>
        <v>0</v>
      </c>
      <c r="P59" s="24">
        <f t="shared" si="20"/>
        <v>1.0089472580474741</v>
      </c>
      <c r="Q59" s="41" t="str">
        <f t="shared" si="6"/>
        <v>1</v>
      </c>
      <c r="R59" s="24">
        <f t="shared" si="21"/>
        <v>0.10736709656968912</v>
      </c>
      <c r="S59" s="41" t="str">
        <f t="shared" si="7"/>
        <v>0</v>
      </c>
      <c r="T59" s="24">
        <f t="shared" si="22"/>
        <v>1.2884051588362695</v>
      </c>
      <c r="U59" s="41" t="str">
        <f t="shared" si="8"/>
        <v>1</v>
      </c>
      <c r="V59" s="24">
        <f t="shared" si="23"/>
        <v>3.4608619060352339</v>
      </c>
      <c r="W59" s="41" t="str">
        <f t="shared" si="9"/>
        <v>3</v>
      </c>
      <c r="X59" s="24">
        <f t="shared" si="24"/>
        <v>5.530342872422807</v>
      </c>
      <c r="Y59" s="41" t="str">
        <f t="shared" si="10"/>
        <v>5</v>
      </c>
      <c r="Z59" s="24">
        <f t="shared" si="25"/>
        <v>6.3641144690736837</v>
      </c>
      <c r="AA59" s="41" t="str">
        <f t="shared" si="11"/>
        <v>6</v>
      </c>
      <c r="AB59" s="24">
        <f t="shared" si="26"/>
        <v>4.3693736288842047</v>
      </c>
      <c r="AC59" s="41" t="str">
        <f t="shared" si="12"/>
        <v>4</v>
      </c>
      <c r="AD59" s="24">
        <f t="shared" si="27"/>
        <v>4.432483546610456</v>
      </c>
      <c r="AE59" s="41" t="str">
        <f t="shared" si="13"/>
        <v>4</v>
      </c>
      <c r="AF59" s="24">
        <f t="shared" si="28"/>
        <v>5.1898025593254715</v>
      </c>
      <c r="AG59" s="41" t="str">
        <f t="shared" si="14"/>
        <v>5</v>
      </c>
      <c r="AH59" s="24">
        <f t="shared" si="29"/>
        <v>2.2776307119056582</v>
      </c>
      <c r="AI59" s="41" t="str">
        <f t="shared" si="15"/>
        <v/>
      </c>
      <c r="AJ59" s="24">
        <f t="shared" si="30"/>
        <v>3.3315685428678989</v>
      </c>
      <c r="AK59" s="41" t="str">
        <f t="shared" si="16"/>
        <v/>
      </c>
    </row>
    <row r="60" spans="1:37" ht="15" customHeight="1" x14ac:dyDescent="0.2">
      <c r="A60" s="581"/>
      <c r="B60" s="267">
        <f>Rydberg!B60</f>
        <v>1.024</v>
      </c>
      <c r="C60" s="3" t="str">
        <f>Rydberg!C60</f>
        <v>P/m</v>
      </c>
      <c r="D60" s="21">
        <f>D54*D63*B60</f>
        <v>10041.728423731198</v>
      </c>
      <c r="E60" s="8">
        <v>6</v>
      </c>
      <c r="F60" s="21">
        <f>D60/(F11/F3)</f>
        <v>862.14048787582021</v>
      </c>
      <c r="G60" s="37" t="str">
        <f t="shared" si="17"/>
        <v>5;EX1829</v>
      </c>
      <c r="H60" s="275">
        <f t="shared" si="60"/>
        <v>-2.152213106689671E-3</v>
      </c>
      <c r="I60" s="278"/>
      <c r="J60" s="38">
        <v>2</v>
      </c>
      <c r="K60" s="61">
        <f t="shared" si="31"/>
        <v>5.9870867213598622</v>
      </c>
      <c r="L60" s="39" t="str">
        <f>INDEX(powers!$H$2:$H$75,33+J60)</f>
        <v>gross</v>
      </c>
      <c r="M60" s="40" t="str">
        <f t="shared" si="4"/>
        <v>5</v>
      </c>
      <c r="N60" s="24">
        <f t="shared" si="19"/>
        <v>11.845040656318346</v>
      </c>
      <c r="O60" s="41" t="str">
        <f t="shared" si="5"/>
        <v>E</v>
      </c>
      <c r="P60" s="24">
        <f t="shared" si="20"/>
        <v>10.140487875820156</v>
      </c>
      <c r="Q60" s="41" t="str">
        <f t="shared" si="6"/>
        <v>X</v>
      </c>
      <c r="R60" s="24">
        <f t="shared" si="21"/>
        <v>1.6858545098418745</v>
      </c>
      <c r="S60" s="41" t="str">
        <f t="shared" si="7"/>
        <v>1</v>
      </c>
      <c r="T60" s="24">
        <f t="shared" si="22"/>
        <v>8.2302541181024935</v>
      </c>
      <c r="U60" s="41" t="str">
        <f t="shared" si="8"/>
        <v>8</v>
      </c>
      <c r="V60" s="24">
        <f t="shared" si="23"/>
        <v>2.7630494172299223</v>
      </c>
      <c r="W60" s="41" t="str">
        <f t="shared" si="9"/>
        <v>2</v>
      </c>
      <c r="X60" s="24">
        <f t="shared" si="24"/>
        <v>9.1565930067590671</v>
      </c>
      <c r="Y60" s="41" t="str">
        <f t="shared" si="10"/>
        <v>9</v>
      </c>
      <c r="Z60" s="24">
        <f t="shared" si="25"/>
        <v>1.8791160811088048</v>
      </c>
      <c r="AA60" s="41" t="str">
        <f t="shared" si="11"/>
        <v/>
      </c>
      <c r="AB60" s="24">
        <f t="shared" si="26"/>
        <v>10.549392973305658</v>
      </c>
      <c r="AC60" s="41" t="str">
        <f t="shared" si="12"/>
        <v/>
      </c>
      <c r="AD60" s="24">
        <f t="shared" si="27"/>
        <v>6.5927156796678901</v>
      </c>
      <c r="AE60" s="41" t="str">
        <f t="shared" si="13"/>
        <v/>
      </c>
      <c r="AF60" s="24">
        <f t="shared" si="28"/>
        <v>7.1125881560146809</v>
      </c>
      <c r="AG60" s="41" t="str">
        <f t="shared" si="14"/>
        <v/>
      </c>
      <c r="AH60" s="24">
        <f t="shared" si="29"/>
        <v>1.3510578721761703</v>
      </c>
      <c r="AI60" s="41" t="str">
        <f t="shared" si="15"/>
        <v/>
      </c>
      <c r="AJ60" s="24">
        <f t="shared" si="30"/>
        <v>4.2126944661140442</v>
      </c>
      <c r="AK60" s="41" t="str">
        <f t="shared" si="16"/>
        <v/>
      </c>
    </row>
    <row r="61" spans="1:37" ht="15" customHeight="1" x14ac:dyDescent="0.2">
      <c r="A61" s="581"/>
      <c r="B61" s="3" t="str">
        <f>Rydberg!B61</f>
        <v>Sea depth at standard atmosphere</v>
      </c>
      <c r="C61" s="3" t="str">
        <f>Rydberg!C61</f>
        <v>m</v>
      </c>
      <c r="D61" s="21">
        <f>D62/D60</f>
        <v>10.090394374791382</v>
      </c>
      <c r="E61" s="8">
        <v>6</v>
      </c>
      <c r="F61" s="21">
        <f>D61/F$3</f>
        <v>37.049075162688197</v>
      </c>
      <c r="G61" s="37" t="str">
        <f t="shared" si="17"/>
        <v>3;107097</v>
      </c>
      <c r="H61" s="276">
        <f t="shared" si="60"/>
        <v>1.3263557483296218E-3</v>
      </c>
      <c r="I61" s="284">
        <v>1</v>
      </c>
      <c r="J61" s="38">
        <v>1</v>
      </c>
      <c r="K61" s="61">
        <f t="shared" si="31"/>
        <v>3.0874229302240166</v>
      </c>
      <c r="L61" s="39" t="str">
        <f>INDEX(powers!$H$2:$H$75,33+J61)</f>
        <v>dozen</v>
      </c>
      <c r="M61" s="40" t="str">
        <f t="shared" si="4"/>
        <v>3</v>
      </c>
      <c r="N61" s="24">
        <f t="shared" si="19"/>
        <v>1.0490751626881991</v>
      </c>
      <c r="O61" s="41" t="str">
        <f t="shared" si="5"/>
        <v>1</v>
      </c>
      <c r="P61" s="24">
        <f t="shared" si="20"/>
        <v>0.58890195225838937</v>
      </c>
      <c r="Q61" s="41" t="str">
        <f t="shared" si="6"/>
        <v>0</v>
      </c>
      <c r="R61" s="24">
        <f t="shared" si="21"/>
        <v>7.0668234271006725</v>
      </c>
      <c r="S61" s="41" t="str">
        <f t="shared" si="7"/>
        <v>7</v>
      </c>
      <c r="T61" s="24">
        <f t="shared" si="22"/>
        <v>0.80188112520806953</v>
      </c>
      <c r="U61" s="41" t="str">
        <f t="shared" si="8"/>
        <v>0</v>
      </c>
      <c r="V61" s="24">
        <f t="shared" si="23"/>
        <v>9.6225735024968344</v>
      </c>
      <c r="W61" s="41" t="str">
        <f t="shared" si="9"/>
        <v>9</v>
      </c>
      <c r="X61" s="24">
        <f t="shared" si="24"/>
        <v>7.4708820299620129</v>
      </c>
      <c r="Y61" s="41" t="str">
        <f t="shared" si="10"/>
        <v>7</v>
      </c>
      <c r="Z61" s="24">
        <f t="shared" si="25"/>
        <v>5.6505843595441547</v>
      </c>
      <c r="AA61" s="41" t="str">
        <f t="shared" si="11"/>
        <v/>
      </c>
      <c r="AB61" s="24">
        <f t="shared" si="26"/>
        <v>7.8070123145298567</v>
      </c>
      <c r="AC61" s="41" t="str">
        <f t="shared" si="12"/>
        <v/>
      </c>
      <c r="AD61" s="24">
        <f t="shared" si="27"/>
        <v>9.68414777435828</v>
      </c>
      <c r="AE61" s="41" t="str">
        <f t="shared" si="13"/>
        <v/>
      </c>
      <c r="AF61" s="24">
        <f t="shared" si="28"/>
        <v>8.20977329229936</v>
      </c>
      <c r="AG61" s="41" t="str">
        <f t="shared" si="14"/>
        <v/>
      </c>
      <c r="AH61" s="24">
        <f t="shared" si="29"/>
        <v>2.5172795075923204</v>
      </c>
      <c r="AI61" s="41" t="str">
        <f t="shared" si="15"/>
        <v/>
      </c>
      <c r="AJ61" s="24">
        <f t="shared" si="30"/>
        <v>6.2073540911078453</v>
      </c>
      <c r="AK61" s="41" t="str">
        <f t="shared" si="16"/>
        <v/>
      </c>
    </row>
    <row r="62" spans="1:37" ht="15" customHeight="1" x14ac:dyDescent="0.2">
      <c r="A62" s="581"/>
      <c r="B62" s="3" t="str">
        <f>Rydberg!B62</f>
        <v>Standard atmosphere</v>
      </c>
      <c r="C62" s="3" t="str">
        <f>Rydberg!C62</f>
        <v>P</v>
      </c>
      <c r="D62" s="21">
        <f>Rydberg!D62</f>
        <v>101325</v>
      </c>
      <c r="E62" s="8">
        <v>10</v>
      </c>
      <c r="F62" s="21">
        <f>D62/F$11</f>
        <v>31941.507736107931</v>
      </c>
      <c r="G62" s="37" t="str">
        <f t="shared" si="17"/>
        <v>1;659961144</v>
      </c>
      <c r="H62" s="276">
        <f t="shared" si="60"/>
        <v>-8.287119585856928E-4</v>
      </c>
      <c r="I62" s="284">
        <v>2</v>
      </c>
      <c r="J62" s="38">
        <v>4</v>
      </c>
      <c r="K62" s="61">
        <f t="shared" si="31"/>
        <v>1.5403890690638471</v>
      </c>
      <c r="L62" s="39" t="str">
        <f>INDEX(powers!$H$2:$H$75,33+J62)</f>
        <v>hyper</v>
      </c>
      <c r="M62" s="40" t="str">
        <f t="shared" si="4"/>
        <v>1</v>
      </c>
      <c r="N62" s="24">
        <f t="shared" si="19"/>
        <v>6.4846688287661651</v>
      </c>
      <c r="O62" s="41" t="str">
        <f t="shared" si="5"/>
        <v>6</v>
      </c>
      <c r="P62" s="24">
        <f t="shared" si="20"/>
        <v>5.8160259451939815</v>
      </c>
      <c r="Q62" s="41" t="str">
        <f t="shared" si="6"/>
        <v>5</v>
      </c>
      <c r="R62" s="24">
        <f t="shared" si="21"/>
        <v>9.7923113423277783</v>
      </c>
      <c r="S62" s="41" t="str">
        <f t="shared" si="7"/>
        <v>9</v>
      </c>
      <c r="T62" s="24">
        <f t="shared" si="22"/>
        <v>9.50773610793334</v>
      </c>
      <c r="U62" s="41" t="str">
        <f t="shared" si="8"/>
        <v>9</v>
      </c>
      <c r="V62" s="24">
        <f t="shared" si="23"/>
        <v>6.0928332952000801</v>
      </c>
      <c r="W62" s="41" t="str">
        <f t="shared" si="9"/>
        <v>6</v>
      </c>
      <c r="X62" s="24">
        <f t="shared" si="24"/>
        <v>1.1139995424009612</v>
      </c>
      <c r="Y62" s="41" t="str">
        <f t="shared" si="10"/>
        <v>1</v>
      </c>
      <c r="Z62" s="24">
        <f t="shared" si="25"/>
        <v>1.3679945088115346</v>
      </c>
      <c r="AA62" s="41" t="str">
        <f t="shared" si="11"/>
        <v>1</v>
      </c>
      <c r="AB62" s="24">
        <f t="shared" si="26"/>
        <v>4.4159341057384154</v>
      </c>
      <c r="AC62" s="41" t="str">
        <f t="shared" si="12"/>
        <v>4</v>
      </c>
      <c r="AD62" s="24">
        <f t="shared" si="27"/>
        <v>4.9912092688609846</v>
      </c>
      <c r="AE62" s="41" t="str">
        <f t="shared" si="13"/>
        <v>4</v>
      </c>
      <c r="AF62" s="24">
        <f t="shared" si="28"/>
        <v>11.894511226331815</v>
      </c>
      <c r="AG62" s="41" t="str">
        <f t="shared" si="14"/>
        <v/>
      </c>
      <c r="AH62" s="24">
        <f t="shared" si="29"/>
        <v>10.734134715981781</v>
      </c>
      <c r="AI62" s="41" t="str">
        <f t="shared" si="15"/>
        <v/>
      </c>
      <c r="AJ62" s="24">
        <f t="shared" si="30"/>
        <v>8.8096165917813778</v>
      </c>
      <c r="AK62" s="41" t="str">
        <f t="shared" si="16"/>
        <v/>
      </c>
    </row>
    <row r="63" spans="1:37" ht="15" customHeight="1" x14ac:dyDescent="0.2">
      <c r="A63" s="581"/>
      <c r="B63" s="3" t="str">
        <f>Rydberg!B63</f>
        <v>Standard gravitational acceleration</v>
      </c>
      <c r="C63" s="3" t="str">
        <f>Rydberg!C63</f>
        <v>m/s^2</v>
      </c>
      <c r="D63" s="21">
        <f>Rydberg!D63</f>
        <v>9.8066499999999994</v>
      </c>
      <c r="E63" s="8">
        <v>7</v>
      </c>
      <c r="F63" s="21">
        <f>D63/(F$3/F$4/F$4)</f>
        <v>5.4942697212216061</v>
      </c>
      <c r="G63" s="37" t="str">
        <f t="shared" si="17"/>
        <v>5;5E21216</v>
      </c>
      <c r="H63" s="296">
        <f>K63*POWER(12,I63)/ROUND(K63*POWER(12,I63)+1,0)-1</f>
        <v>-8.4288379796399027E-2</v>
      </c>
      <c r="I63" s="297">
        <v>0</v>
      </c>
      <c r="J63" s="38">
        <v>0</v>
      </c>
      <c r="K63" s="61">
        <f t="shared" si="31"/>
        <v>5.4942697212216061</v>
      </c>
      <c r="L63" s="39" t="str">
        <f>INDEX(powers!$H$2:$H$75,33+J63)</f>
        <v xml:space="preserve"> </v>
      </c>
      <c r="M63" s="40" t="str">
        <f t="shared" si="4"/>
        <v>5</v>
      </c>
      <c r="N63" s="24">
        <f t="shared" si="19"/>
        <v>5.9312366546592727</v>
      </c>
      <c r="O63" s="41" t="str">
        <f t="shared" si="5"/>
        <v>5</v>
      </c>
      <c r="P63" s="24">
        <f t="shared" si="20"/>
        <v>11.174839855911273</v>
      </c>
      <c r="Q63" s="41" t="str">
        <f t="shared" si="6"/>
        <v>E</v>
      </c>
      <c r="R63" s="24">
        <f t="shared" si="21"/>
        <v>2.0980782709352752</v>
      </c>
      <c r="S63" s="41" t="str">
        <f t="shared" si="7"/>
        <v>2</v>
      </c>
      <c r="T63" s="24">
        <f t="shared" si="22"/>
        <v>1.1769392512233026</v>
      </c>
      <c r="U63" s="41" t="str">
        <f t="shared" si="8"/>
        <v>1</v>
      </c>
      <c r="V63" s="24">
        <f t="shared" si="23"/>
        <v>2.1232710146796308</v>
      </c>
      <c r="W63" s="41" t="str">
        <f t="shared" si="9"/>
        <v>2</v>
      </c>
      <c r="X63" s="24">
        <f t="shared" si="24"/>
        <v>1.479252176155569</v>
      </c>
      <c r="Y63" s="41" t="str">
        <f t="shared" si="10"/>
        <v>1</v>
      </c>
      <c r="Z63" s="24">
        <f t="shared" si="25"/>
        <v>5.7510261138668284</v>
      </c>
      <c r="AA63" s="41" t="str">
        <f t="shared" si="11"/>
        <v>6</v>
      </c>
      <c r="AB63" s="24">
        <f t="shared" si="26"/>
        <v>9.0123133664019406</v>
      </c>
      <c r="AC63" s="41" t="str">
        <f t="shared" si="12"/>
        <v/>
      </c>
      <c r="AD63" s="24">
        <f t="shared" si="27"/>
        <v>0.14776039682328701</v>
      </c>
      <c r="AE63" s="41" t="str">
        <f t="shared" si="13"/>
        <v/>
      </c>
      <c r="AF63" s="24">
        <f t="shared" si="28"/>
        <v>1.7731247618794441</v>
      </c>
      <c r="AG63" s="41" t="str">
        <f t="shared" si="14"/>
        <v/>
      </c>
      <c r="AH63" s="24">
        <f t="shared" si="29"/>
        <v>9.2774971425533295</v>
      </c>
      <c r="AI63" s="41" t="str">
        <f t="shared" si="15"/>
        <v/>
      </c>
      <c r="AJ63" s="24">
        <f t="shared" si="30"/>
        <v>3.3299657106399536</v>
      </c>
      <c r="AK63" s="41" t="str">
        <f t="shared" si="16"/>
        <v/>
      </c>
    </row>
    <row r="64" spans="1:37" ht="15" customHeight="1" x14ac:dyDescent="0.2">
      <c r="A64" s="581"/>
      <c r="B64" s="3" t="str">
        <f>Rydberg!B64</f>
        <v>Gravitational radius of the Earth</v>
      </c>
      <c r="C64" s="3" t="str">
        <f>Rydberg!C64</f>
        <v>m</v>
      </c>
      <c r="D64" s="21">
        <f>Rydberg!D64</f>
        <v>4.4350280391176706E-3</v>
      </c>
      <c r="E64" s="8">
        <v>10</v>
      </c>
      <c r="F64" s="21">
        <f>D64/F$3</f>
        <v>1.6284168989509629E-2</v>
      </c>
      <c r="G64" s="37" t="str">
        <f t="shared" si="17"/>
        <v>2;418032724E</v>
      </c>
      <c r="H64" s="275"/>
      <c r="I64" s="278"/>
      <c r="J64" s="38">
        <v>-2</v>
      </c>
      <c r="K64" s="61">
        <f t="shared" si="31"/>
        <v>2.3449203344893865</v>
      </c>
      <c r="L64" s="39" t="str">
        <f>INDEX(powers!$H$2:$H$75,33+J64)</f>
        <v>dino</v>
      </c>
      <c r="M64" s="40" t="str">
        <f t="shared" si="4"/>
        <v>2</v>
      </c>
      <c r="N64" s="24">
        <f t="shared" si="19"/>
        <v>4.1390440138726383</v>
      </c>
      <c r="O64" s="41" t="str">
        <f t="shared" si="5"/>
        <v>4</v>
      </c>
      <c r="P64" s="24">
        <f t="shared" si="20"/>
        <v>1.6685281664716598</v>
      </c>
      <c r="Q64" s="41" t="str">
        <f t="shared" si="6"/>
        <v>1</v>
      </c>
      <c r="R64" s="24">
        <f t="shared" si="21"/>
        <v>8.0223379976599176</v>
      </c>
      <c r="S64" s="41" t="str">
        <f t="shared" si="7"/>
        <v>8</v>
      </c>
      <c r="T64" s="24">
        <f t="shared" si="22"/>
        <v>0.26805597191901143</v>
      </c>
      <c r="U64" s="41" t="str">
        <f t="shared" si="8"/>
        <v>0</v>
      </c>
      <c r="V64" s="24">
        <f t="shared" si="23"/>
        <v>3.2166716630281371</v>
      </c>
      <c r="W64" s="41" t="str">
        <f t="shared" si="9"/>
        <v>3</v>
      </c>
      <c r="X64" s="24">
        <f t="shared" si="24"/>
        <v>2.6000599563376454</v>
      </c>
      <c r="Y64" s="41" t="str">
        <f t="shared" si="10"/>
        <v>2</v>
      </c>
      <c r="Z64" s="24">
        <f t="shared" si="25"/>
        <v>7.200719476051745</v>
      </c>
      <c r="AA64" s="41" t="str">
        <f t="shared" si="11"/>
        <v>7</v>
      </c>
      <c r="AB64" s="24">
        <f t="shared" si="26"/>
        <v>2.4086337126209401</v>
      </c>
      <c r="AC64" s="41" t="str">
        <f t="shared" si="12"/>
        <v>2</v>
      </c>
      <c r="AD64" s="24">
        <f t="shared" si="27"/>
        <v>4.9036045514512807</v>
      </c>
      <c r="AE64" s="41" t="str">
        <f t="shared" si="13"/>
        <v>4</v>
      </c>
      <c r="AF64" s="24">
        <f t="shared" si="28"/>
        <v>10.843254617415369</v>
      </c>
      <c r="AG64" s="41" t="str">
        <f t="shared" si="14"/>
        <v>E</v>
      </c>
      <c r="AH64" s="24">
        <f t="shared" si="29"/>
        <v>10.119055408984423</v>
      </c>
      <c r="AI64" s="41" t="str">
        <f t="shared" si="15"/>
        <v/>
      </c>
      <c r="AJ64" s="24">
        <f t="shared" si="30"/>
        <v>1.4286649078130722</v>
      </c>
      <c r="AK64" s="41" t="str">
        <f t="shared" si="16"/>
        <v/>
      </c>
    </row>
    <row r="65" spans="1:37" ht="15" customHeight="1" x14ac:dyDescent="0.2">
      <c r="A65" s="581"/>
      <c r="B65" s="3" t="str">
        <f>Rydberg!B65</f>
        <v>Equatorial radius of the Earth</v>
      </c>
      <c r="C65" s="3" t="str">
        <f>Rydberg!C65</f>
        <v>m</v>
      </c>
      <c r="D65" s="21">
        <f>Rydberg!D65</f>
        <v>6378137</v>
      </c>
      <c r="E65" s="8">
        <v>7</v>
      </c>
      <c r="F65" s="21">
        <f>D65/F$3</f>
        <v>23418715.694728054</v>
      </c>
      <c r="G65" s="37" t="str">
        <f t="shared" si="17"/>
        <v>0;7X145E8</v>
      </c>
      <c r="H65" s="275"/>
      <c r="I65" s="278"/>
      <c r="J65" s="38">
        <v>7</v>
      </c>
      <c r="K65" s="61">
        <f t="shared" si="31"/>
        <v>0.65357337521813175</v>
      </c>
      <c r="L65" s="39" t="str">
        <f>INDEX(powers!$H$2:$H$75,33+J65)</f>
        <v>unino cosmic</v>
      </c>
      <c r="M65" s="40" t="str">
        <f t="shared" si="4"/>
        <v>0</v>
      </c>
      <c r="N65" s="24">
        <f t="shared" si="19"/>
        <v>7.8428805026175805</v>
      </c>
      <c r="O65" s="41" t="str">
        <f t="shared" si="5"/>
        <v>7</v>
      </c>
      <c r="P65" s="24">
        <f t="shared" si="20"/>
        <v>10.114566031410966</v>
      </c>
      <c r="Q65" s="41" t="str">
        <f t="shared" si="6"/>
        <v>X</v>
      </c>
      <c r="R65" s="24">
        <f t="shared" si="21"/>
        <v>1.3747923769315946</v>
      </c>
      <c r="S65" s="41" t="str">
        <f t="shared" si="7"/>
        <v>1</v>
      </c>
      <c r="T65" s="24">
        <f t="shared" si="22"/>
        <v>4.4975085231791354</v>
      </c>
      <c r="U65" s="41" t="str">
        <f t="shared" si="8"/>
        <v>4</v>
      </c>
      <c r="V65" s="24">
        <f t="shared" si="23"/>
        <v>5.9701022781496249</v>
      </c>
      <c r="W65" s="41" t="str">
        <f t="shared" si="9"/>
        <v>5</v>
      </c>
      <c r="X65" s="24">
        <f t="shared" si="24"/>
        <v>11.641227337795499</v>
      </c>
      <c r="Y65" s="41" t="str">
        <f t="shared" si="10"/>
        <v>E</v>
      </c>
      <c r="Z65" s="24">
        <f t="shared" si="25"/>
        <v>7.6947280535459868</v>
      </c>
      <c r="AA65" s="41" t="str">
        <f t="shared" si="11"/>
        <v>8</v>
      </c>
      <c r="AB65" s="24">
        <f t="shared" si="26"/>
        <v>8.3367366425518412</v>
      </c>
      <c r="AC65" s="41" t="str">
        <f t="shared" si="12"/>
        <v/>
      </c>
      <c r="AD65" s="24">
        <f t="shared" si="27"/>
        <v>4.0408397106220946</v>
      </c>
      <c r="AE65" s="41" t="str">
        <f t="shared" si="13"/>
        <v/>
      </c>
      <c r="AF65" s="24">
        <f t="shared" si="28"/>
        <v>0.49007652746513486</v>
      </c>
      <c r="AG65" s="41" t="str">
        <f t="shared" si="14"/>
        <v/>
      </c>
      <c r="AH65" s="24">
        <f t="shared" si="29"/>
        <v>5.8809183295816183</v>
      </c>
      <c r="AI65" s="41" t="str">
        <f t="shared" si="15"/>
        <v/>
      </c>
      <c r="AJ65" s="24">
        <f t="shared" si="30"/>
        <v>10.57101995497942</v>
      </c>
      <c r="AK65" s="41" t="str">
        <f t="shared" si="16"/>
        <v/>
      </c>
    </row>
    <row r="66" spans="1:37" ht="15" customHeight="1" x14ac:dyDescent="0.2">
      <c r="A66" s="581"/>
      <c r="B66" s="3" t="str">
        <f>Rydberg!B66</f>
        <v>Meridian length of the Earth / 4</v>
      </c>
      <c r="C66" s="3" t="str">
        <f>Rydberg!C66</f>
        <v>m</v>
      </c>
      <c r="D66" s="21">
        <f>Rydberg!D66</f>
        <v>10001965.75</v>
      </c>
      <c r="E66" s="8">
        <v>7</v>
      </c>
      <c r="F66" s="21">
        <f>D66/F$3</f>
        <v>36724390.254969038</v>
      </c>
      <c r="G66" s="37" t="str">
        <f t="shared" si="17"/>
        <v>1;037065X</v>
      </c>
      <c r="H66" s="275">
        <f t="shared" ref="H66" si="61">K66*POWER(12,I66)/ROUND(K66*POWER(12,I66),0)-1</f>
        <v>2.4910332600828866E-2</v>
      </c>
      <c r="I66" s="278"/>
      <c r="J66" s="38">
        <v>7</v>
      </c>
      <c r="K66" s="61">
        <f t="shared" si="31"/>
        <v>1.0249103326008289</v>
      </c>
      <c r="L66" s="39" t="str">
        <f>INDEX(powers!$H$2:$H$75,33+J66)</f>
        <v>unino cosmic</v>
      </c>
      <c r="M66" s="40" t="str">
        <f t="shared" si="4"/>
        <v>1</v>
      </c>
      <c r="N66" s="24">
        <f t="shared" si="19"/>
        <v>0.29892399120994639</v>
      </c>
      <c r="O66" s="41" t="str">
        <f t="shared" si="5"/>
        <v>0</v>
      </c>
      <c r="P66" s="24">
        <f t="shared" si="20"/>
        <v>3.5870878945193567</v>
      </c>
      <c r="Q66" s="41" t="str">
        <f t="shared" si="6"/>
        <v>3</v>
      </c>
      <c r="R66" s="24">
        <f t="shared" si="21"/>
        <v>7.0450547342322807</v>
      </c>
      <c r="S66" s="41" t="str">
        <f t="shared" si="7"/>
        <v>7</v>
      </c>
      <c r="T66" s="24">
        <f t="shared" si="22"/>
        <v>0.54065681078736816</v>
      </c>
      <c r="U66" s="41" t="str">
        <f t="shared" si="8"/>
        <v>0</v>
      </c>
      <c r="V66" s="24">
        <f t="shared" si="23"/>
        <v>6.4878817294484179</v>
      </c>
      <c r="W66" s="41" t="str">
        <f t="shared" si="9"/>
        <v>6</v>
      </c>
      <c r="X66" s="24">
        <f t="shared" si="24"/>
        <v>5.8545807533810148</v>
      </c>
      <c r="Y66" s="41" t="str">
        <f t="shared" si="10"/>
        <v>5</v>
      </c>
      <c r="Z66" s="24">
        <f t="shared" si="25"/>
        <v>10.254969040572178</v>
      </c>
      <c r="AA66" s="41" t="str">
        <f t="shared" si="11"/>
        <v>X</v>
      </c>
      <c r="AB66" s="24">
        <f t="shared" si="26"/>
        <v>3.0596284868661314</v>
      </c>
      <c r="AC66" s="41" t="str">
        <f t="shared" si="12"/>
        <v/>
      </c>
      <c r="AD66" s="24">
        <f t="shared" si="27"/>
        <v>0.7155418423935771</v>
      </c>
      <c r="AE66" s="41" t="str">
        <f t="shared" si="13"/>
        <v/>
      </c>
      <c r="AF66" s="24">
        <f t="shared" si="28"/>
        <v>8.5865021087229252</v>
      </c>
      <c r="AG66" s="41" t="str">
        <f t="shared" si="14"/>
        <v/>
      </c>
      <c r="AH66" s="24">
        <f t="shared" si="29"/>
        <v>7.0380253046751022</v>
      </c>
      <c r="AI66" s="41" t="str">
        <f t="shared" si="15"/>
        <v/>
      </c>
      <c r="AJ66" s="24">
        <f t="shared" si="30"/>
        <v>0.45630365610122681</v>
      </c>
      <c r="AK66" s="41" t="str">
        <f t="shared" si="16"/>
        <v/>
      </c>
    </row>
    <row r="67" spans="1:37" ht="15" customHeight="1" x14ac:dyDescent="0.2">
      <c r="A67" s="581"/>
      <c r="B67" s="3" t="str">
        <f>Rydberg!B67</f>
        <v>Gravitational radius of the Sun</v>
      </c>
      <c r="C67" s="3" t="str">
        <f>Rydberg!C67</f>
        <v>m</v>
      </c>
      <c r="D67" s="21">
        <f>Rydberg!D67</f>
        <v>1476.6250385063113</v>
      </c>
      <c r="E67" s="8">
        <v>8</v>
      </c>
      <c r="F67" s="21">
        <f>D67/F$3</f>
        <v>5421.7496370015524</v>
      </c>
      <c r="G67" s="37" t="str">
        <f t="shared" si="17"/>
        <v>3;1798EE46</v>
      </c>
      <c r="H67" s="275"/>
      <c r="I67" s="278"/>
      <c r="J67" s="38">
        <v>3</v>
      </c>
      <c r="K67" s="61">
        <f t="shared" si="31"/>
        <v>3.1375865954870097</v>
      </c>
      <c r="L67" s="39" t="str">
        <f>INDEX(powers!$H$2:$H$75,33+J67)</f>
        <v>doz gross</v>
      </c>
      <c r="M67" s="40" t="str">
        <f t="shared" si="4"/>
        <v>3</v>
      </c>
      <c r="N67" s="24">
        <f t="shared" si="19"/>
        <v>1.6510391458441163</v>
      </c>
      <c r="O67" s="41" t="str">
        <f t="shared" si="5"/>
        <v>1</v>
      </c>
      <c r="P67" s="24">
        <f t="shared" si="20"/>
        <v>7.8124697501293952</v>
      </c>
      <c r="Q67" s="41" t="str">
        <f t="shared" si="6"/>
        <v>7</v>
      </c>
      <c r="R67" s="24">
        <f t="shared" si="21"/>
        <v>9.7496370015527418</v>
      </c>
      <c r="S67" s="41" t="str">
        <f t="shared" si="7"/>
        <v>9</v>
      </c>
      <c r="T67" s="24">
        <f t="shared" si="22"/>
        <v>8.9956440186329019</v>
      </c>
      <c r="U67" s="41" t="str">
        <f t="shared" si="8"/>
        <v>8</v>
      </c>
      <c r="V67" s="24">
        <f t="shared" si="23"/>
        <v>11.947728223594822</v>
      </c>
      <c r="W67" s="41" t="str">
        <f t="shared" si="9"/>
        <v>E</v>
      </c>
      <c r="X67" s="24">
        <f t="shared" si="24"/>
        <v>11.372738683137868</v>
      </c>
      <c r="Y67" s="41" t="str">
        <f t="shared" si="10"/>
        <v>E</v>
      </c>
      <c r="Z67" s="24">
        <f t="shared" si="25"/>
        <v>4.4728641976544168</v>
      </c>
      <c r="AA67" s="41" t="str">
        <f t="shared" si="11"/>
        <v>4</v>
      </c>
      <c r="AB67" s="24">
        <f t="shared" si="26"/>
        <v>5.6743703718530014</v>
      </c>
      <c r="AC67" s="41" t="str">
        <f t="shared" si="12"/>
        <v>6</v>
      </c>
      <c r="AD67" s="24">
        <f t="shared" si="27"/>
        <v>8.092444462236017</v>
      </c>
      <c r="AE67" s="41" t="str">
        <f t="shared" si="13"/>
        <v/>
      </c>
      <c r="AF67" s="24">
        <f t="shared" si="28"/>
        <v>1.1093335468322039</v>
      </c>
      <c r="AG67" s="41" t="str">
        <f t="shared" si="14"/>
        <v/>
      </c>
      <c r="AH67" s="24">
        <f t="shared" si="29"/>
        <v>1.3120025619864464</v>
      </c>
      <c r="AI67" s="41" t="str">
        <f t="shared" si="15"/>
        <v/>
      </c>
      <c r="AJ67" s="24">
        <f t="shared" si="30"/>
        <v>3.7440307438373566</v>
      </c>
      <c r="AK67" s="41" t="str">
        <f t="shared" si="16"/>
        <v/>
      </c>
    </row>
    <row r="68" spans="1:37" ht="15" customHeight="1" x14ac:dyDescent="0.2">
      <c r="A68" s="581"/>
      <c r="B68" s="5" t="str">
        <f>Rydberg!B68</f>
        <v>Astronomical unit</v>
      </c>
      <c r="C68" s="5" t="str">
        <f>Rydberg!C68</f>
        <v>m</v>
      </c>
      <c r="D68" s="21">
        <f>Rydberg!D68</f>
        <v>149597870000</v>
      </c>
      <c r="E68" s="30">
        <v>9</v>
      </c>
      <c r="F68" s="29">
        <f>D68/F$3</f>
        <v>549281080990.71674</v>
      </c>
      <c r="G68" s="37" t="str">
        <f t="shared" si="17"/>
        <v>8;X555157E4</v>
      </c>
      <c r="H68" s="275"/>
      <c r="I68" s="281"/>
      <c r="J68" s="43">
        <v>10</v>
      </c>
      <c r="K68" s="62">
        <f t="shared" si="31"/>
        <v>8.8711961155770265</v>
      </c>
      <c r="L68" s="39" t="str">
        <f>INDEX(powers!$H$2:$H$75,33+J68)</f>
        <v>gross cosmic</v>
      </c>
      <c r="M68" s="40" t="str">
        <f t="shared" si="4"/>
        <v>8</v>
      </c>
      <c r="N68" s="24">
        <f t="shared" si="19"/>
        <v>10.454353386924318</v>
      </c>
      <c r="O68" s="41" t="str">
        <f t="shared" si="5"/>
        <v>X</v>
      </c>
      <c r="P68" s="24">
        <f t="shared" si="20"/>
        <v>5.4522406430918124</v>
      </c>
      <c r="Q68" s="41" t="str">
        <f t="shared" si="6"/>
        <v>5</v>
      </c>
      <c r="R68" s="24">
        <f t="shared" si="21"/>
        <v>5.4268877171017493</v>
      </c>
      <c r="S68" s="41" t="str">
        <f t="shared" si="7"/>
        <v>5</v>
      </c>
      <c r="T68" s="24">
        <f t="shared" si="22"/>
        <v>5.122652605220992</v>
      </c>
      <c r="U68" s="41" t="str">
        <f t="shared" si="8"/>
        <v>5</v>
      </c>
      <c r="V68" s="24">
        <f t="shared" si="23"/>
        <v>1.4718312626519037</v>
      </c>
      <c r="W68" s="41" t="str">
        <f t="shared" si="9"/>
        <v>1</v>
      </c>
      <c r="X68" s="24">
        <f t="shared" si="24"/>
        <v>5.6619751518228441</v>
      </c>
      <c r="Y68" s="41" t="str">
        <f t="shared" si="10"/>
        <v>5</v>
      </c>
      <c r="Z68" s="24">
        <f t="shared" si="25"/>
        <v>7.9437018218741287</v>
      </c>
      <c r="AA68" s="41" t="str">
        <f t="shared" si="11"/>
        <v>7</v>
      </c>
      <c r="AB68" s="24">
        <f t="shared" si="26"/>
        <v>11.324421862489544</v>
      </c>
      <c r="AC68" s="41" t="str">
        <f t="shared" si="12"/>
        <v>E</v>
      </c>
      <c r="AD68" s="24">
        <f t="shared" si="27"/>
        <v>3.8930623498745263</v>
      </c>
      <c r="AE68" s="41" t="str">
        <f t="shared" si="13"/>
        <v>4</v>
      </c>
      <c r="AF68" s="24">
        <f t="shared" si="28"/>
        <v>10.716748198494315</v>
      </c>
      <c r="AG68" s="41" t="str">
        <f t="shared" si="14"/>
        <v/>
      </c>
      <c r="AH68" s="24">
        <f t="shared" si="29"/>
        <v>8.6009783819317818</v>
      </c>
      <c r="AI68" s="41" t="str">
        <f t="shared" si="15"/>
        <v/>
      </c>
      <c r="AJ68" s="24">
        <f t="shared" si="30"/>
        <v>7.2117405831813812</v>
      </c>
      <c r="AK68" s="41" t="str">
        <f t="shared" si="16"/>
        <v/>
      </c>
    </row>
    <row r="69" spans="1:37" ht="15" customHeight="1" x14ac:dyDescent="0.2">
      <c r="A69" s="581"/>
      <c r="B69" s="5" t="str">
        <f>Rydberg!B69</f>
        <v>Astronomical unit / c0</v>
      </c>
      <c r="C69" s="5" t="str">
        <f>Rydberg!C69</f>
        <v>s</v>
      </c>
      <c r="D69" s="29">
        <f>Rydberg!D69</f>
        <v>499.00478150120773</v>
      </c>
      <c r="E69" s="30">
        <v>9</v>
      </c>
      <c r="F69" s="29">
        <f>D69/F$4</f>
        <v>1277.4522406430917</v>
      </c>
      <c r="G69" s="37" t="str">
        <f t="shared" si="17"/>
        <v>8;X555157E4</v>
      </c>
      <c r="H69" s="275"/>
      <c r="I69" s="281"/>
      <c r="J69" s="43">
        <v>2</v>
      </c>
      <c r="K69" s="62">
        <f t="shared" si="31"/>
        <v>8.8711961155770265</v>
      </c>
      <c r="L69" s="39" t="str">
        <f>INDEX(powers!$H$2:$H$75,33+J69)</f>
        <v>gross</v>
      </c>
      <c r="M69" s="40" t="str">
        <f t="shared" si="4"/>
        <v>8</v>
      </c>
      <c r="N69" s="24">
        <f t="shared" si="19"/>
        <v>10.454353386924318</v>
      </c>
      <c r="O69" s="41" t="str">
        <f t="shared" si="5"/>
        <v>X</v>
      </c>
      <c r="P69" s="24">
        <f t="shared" si="20"/>
        <v>5.4522406430918124</v>
      </c>
      <c r="Q69" s="41" t="str">
        <f t="shared" si="6"/>
        <v>5</v>
      </c>
      <c r="R69" s="24">
        <f t="shared" si="21"/>
        <v>5.4268877171017493</v>
      </c>
      <c r="S69" s="41" t="str">
        <f t="shared" si="7"/>
        <v>5</v>
      </c>
      <c r="T69" s="24">
        <f t="shared" si="22"/>
        <v>5.122652605220992</v>
      </c>
      <c r="U69" s="41" t="str">
        <f t="shared" si="8"/>
        <v>5</v>
      </c>
      <c r="V69" s="24">
        <f t="shared" si="23"/>
        <v>1.4718312626519037</v>
      </c>
      <c r="W69" s="41" t="str">
        <f t="shared" si="9"/>
        <v>1</v>
      </c>
      <c r="X69" s="24">
        <f t="shared" si="24"/>
        <v>5.6619751518228441</v>
      </c>
      <c r="Y69" s="41" t="str">
        <f t="shared" si="10"/>
        <v>5</v>
      </c>
      <c r="Z69" s="24">
        <f t="shared" si="25"/>
        <v>7.9437018218741287</v>
      </c>
      <c r="AA69" s="41" t="str">
        <f t="shared" si="11"/>
        <v>7</v>
      </c>
      <c r="AB69" s="24">
        <f t="shared" si="26"/>
        <v>11.324421862489544</v>
      </c>
      <c r="AC69" s="41" t="str">
        <f t="shared" si="12"/>
        <v>E</v>
      </c>
      <c r="AD69" s="24">
        <f t="shared" si="27"/>
        <v>3.8930623498745263</v>
      </c>
      <c r="AE69" s="41" t="str">
        <f t="shared" si="13"/>
        <v>4</v>
      </c>
      <c r="AF69" s="24">
        <f t="shared" si="28"/>
        <v>10.716748198494315</v>
      </c>
      <c r="AG69" s="41" t="str">
        <f t="shared" si="14"/>
        <v/>
      </c>
      <c r="AH69" s="24">
        <f t="shared" si="29"/>
        <v>8.6009783819317818</v>
      </c>
      <c r="AI69" s="41" t="str">
        <f t="shared" si="15"/>
        <v/>
      </c>
      <c r="AJ69" s="24">
        <f t="shared" si="30"/>
        <v>7.2117405831813812</v>
      </c>
      <c r="AK69" s="41" t="str">
        <f t="shared" si="16"/>
        <v/>
      </c>
    </row>
    <row r="70" spans="1:37" ht="15" customHeight="1" thickBot="1" x14ac:dyDescent="0.25">
      <c r="A70" s="582"/>
      <c r="B70" s="5" t="str">
        <f>Rydberg!B70</f>
        <v>Astronomical unit / c0 / (12^(-3)day)</v>
      </c>
      <c r="C70" s="5" t="str">
        <f>Rydberg!C70</f>
        <v>-</v>
      </c>
      <c r="D70" s="29">
        <f>Rydberg!D70</f>
        <v>9.9800956300241541</v>
      </c>
      <c r="E70" s="30">
        <v>9</v>
      </c>
      <c r="F70" s="29">
        <f>D70</f>
        <v>9.9800956300241541</v>
      </c>
      <c r="G70" s="37" t="str">
        <f t="shared" si="17"/>
        <v>9;E91731X53</v>
      </c>
      <c r="H70" s="275"/>
      <c r="I70" s="281"/>
      <c r="J70" s="43">
        <v>0</v>
      </c>
      <c r="K70" s="62">
        <f t="shared" si="31"/>
        <v>9.9800956300241541</v>
      </c>
      <c r="L70" s="44" t="str">
        <f>INDEX(powers!$H$2:$H$75,33+J70)</f>
        <v xml:space="preserve"> </v>
      </c>
      <c r="M70" s="40" t="str">
        <f t="shared" si="4"/>
        <v>9</v>
      </c>
      <c r="N70" s="24">
        <f t="shared" si="19"/>
        <v>11.761147560289849</v>
      </c>
      <c r="O70" s="41" t="str">
        <f t="shared" si="5"/>
        <v>E</v>
      </c>
      <c r="P70" s="24">
        <f t="shared" si="20"/>
        <v>9.1337707234781931</v>
      </c>
      <c r="Q70" s="41" t="str">
        <f t="shared" si="6"/>
        <v>9</v>
      </c>
      <c r="R70" s="24">
        <f t="shared" si="21"/>
        <v>1.6052486817383169</v>
      </c>
      <c r="S70" s="41" t="str">
        <f t="shared" si="7"/>
        <v>1</v>
      </c>
      <c r="T70" s="24">
        <f t="shared" si="22"/>
        <v>7.262984180859803</v>
      </c>
      <c r="U70" s="41" t="str">
        <f t="shared" si="8"/>
        <v>7</v>
      </c>
      <c r="V70" s="24">
        <f t="shared" si="23"/>
        <v>3.1558101703176362</v>
      </c>
      <c r="W70" s="41" t="str">
        <f t="shared" si="9"/>
        <v>3</v>
      </c>
      <c r="X70" s="24">
        <f t="shared" si="24"/>
        <v>1.8697220438116346</v>
      </c>
      <c r="Y70" s="41" t="str">
        <f t="shared" si="10"/>
        <v>1</v>
      </c>
      <c r="Z70" s="24">
        <f t="shared" si="25"/>
        <v>10.436664525739616</v>
      </c>
      <c r="AA70" s="41" t="str">
        <f t="shared" si="11"/>
        <v>X</v>
      </c>
      <c r="AB70" s="24">
        <f t="shared" si="26"/>
        <v>5.2399743088753894</v>
      </c>
      <c r="AC70" s="41" t="str">
        <f t="shared" si="12"/>
        <v>5</v>
      </c>
      <c r="AD70" s="24">
        <f t="shared" si="27"/>
        <v>2.8796917065046728</v>
      </c>
      <c r="AE70" s="41" t="str">
        <f t="shared" si="13"/>
        <v>3</v>
      </c>
      <c r="AF70" s="24">
        <f t="shared" si="28"/>
        <v>10.556300478056073</v>
      </c>
      <c r="AG70" s="41" t="str">
        <f t="shared" si="14"/>
        <v/>
      </c>
      <c r="AH70" s="24">
        <f t="shared" si="29"/>
        <v>6.6756057366728783</v>
      </c>
      <c r="AI70" s="41" t="str">
        <f t="shared" si="15"/>
        <v/>
      </c>
      <c r="AJ70" s="24">
        <f t="shared" si="30"/>
        <v>8.1072688400745392</v>
      </c>
      <c r="AK70" s="41" t="str">
        <f t="shared" si="16"/>
        <v/>
      </c>
    </row>
    <row r="71" spans="1:37" ht="12" customHeight="1" x14ac:dyDescent="0.2">
      <c r="A71" s="577"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8"/>
      <c r="B72" s="8" t="s">
        <v>40</v>
      </c>
      <c r="C72" s="8"/>
      <c r="D72" s="21"/>
      <c r="E72" s="8">
        <v>9</v>
      </c>
      <c r="F72" s="21">
        <f>$D$32</f>
        <v>7.2973525643E-3</v>
      </c>
      <c r="G72" s="37" t="str">
        <f t="shared" ref="G72:G73" si="62">M72&amp;";"&amp;O72&amp;Q72&amp;S72&amp;U72&amp;W72&amp;Y72&amp;AA72&amp;AC72&amp;AE72&amp;AG72&amp;AI72&amp;AK72</f>
        <v>1;073994047</v>
      </c>
      <c r="H72" s="37"/>
      <c r="I72" s="285"/>
      <c r="J72" s="38">
        <v>-2</v>
      </c>
      <c r="K72" s="61">
        <f t="shared" ref="K72:K88" si="63">F72/POWER(12,J72)</f>
        <v>1.0508187692592001</v>
      </c>
      <c r="L72" s="39" t="str">
        <f>INDEX(powers!$H$2:$H$75,33+J72)</f>
        <v>dino</v>
      </c>
      <c r="M72" s="40" t="str">
        <f t="shared" ref="M72:M88" si="64">IF($E72&gt;=M$31,MID($J$31,IF($E72&gt;M$31,INT(K72),ROUND(K72,0))+1,1),"")</f>
        <v>1</v>
      </c>
      <c r="N72" s="24">
        <f>(K72-INT(K72))*12</f>
        <v>0.60982523111040177</v>
      </c>
      <c r="O72" s="41" t="str">
        <f t="shared" ref="O72:O88" si="65">IF($E72&gt;=O$31,MID($J$31,IF($E72&gt;O$31,INT(N72),ROUND(N72,0))+1,1),"")</f>
        <v>0</v>
      </c>
      <c r="P72" s="24">
        <f>(N72-INT(N72))*12</f>
        <v>7.3179027733248212</v>
      </c>
      <c r="Q72" s="41" t="str">
        <f t="shared" ref="Q72:Q88" si="66">IF($E72&gt;=Q$31,MID($J$31,IF($E72&gt;Q$31,INT(P72),ROUND(P72,0))+1,1),"")</f>
        <v>7</v>
      </c>
      <c r="R72" s="24">
        <f>(P72-INT(P72))*12</f>
        <v>3.8148332798978544</v>
      </c>
      <c r="S72" s="41" t="str">
        <f t="shared" ref="S72:S88" si="67">IF($E72&gt;=S$31,MID($J$31,IF($E72&gt;S$31,INT(R72),ROUND(R72,0))+1,1),"")</f>
        <v>3</v>
      </c>
      <c r="T72" s="24">
        <f>(R72-INT(R72))*12</f>
        <v>9.7779993587742524</v>
      </c>
      <c r="U72" s="41" t="str">
        <f t="shared" ref="U72:U88" si="68">IF($E72&gt;=U$31,MID($J$31,IF($E72&gt;U$31,INT(T72),ROUND(T72,0))+1,1),"")</f>
        <v>9</v>
      </c>
      <c r="V72" s="24">
        <f>(T72-INT(T72))*12</f>
        <v>9.335992305291029</v>
      </c>
      <c r="W72" s="41" t="str">
        <f t="shared" ref="W72:W88" si="69">IF($E72&gt;=W$31,MID($J$31,IF($E72&gt;W$31,INT(V72),ROUND(V72,0))+1,1),"")</f>
        <v>9</v>
      </c>
      <c r="X72" s="24">
        <f>(V72-INT(V72))*12</f>
        <v>4.0319076634923476</v>
      </c>
      <c r="Y72" s="41" t="str">
        <f t="shared" ref="Y72:Y88" si="70">IF($E72&gt;=Y$31,MID($J$31,IF($E72&gt;Y$31,INT(X72),ROUND(X72,0))+1,1),"")</f>
        <v>4</v>
      </c>
      <c r="Z72" s="24">
        <f>(X72-INT(X72))*12</f>
        <v>0.38289196190817165</v>
      </c>
      <c r="AA72" s="41" t="str">
        <f t="shared" ref="AA72:AA88" si="71">IF($E72&gt;=AA$31,MID($J$31,IF($E72&gt;AA$31,INT(Z72),ROUND(Z72,0))+1,1),"")</f>
        <v>0</v>
      </c>
      <c r="AB72" s="24">
        <f>(Z72-INT(Z72))*12</f>
        <v>4.5947035428980598</v>
      </c>
      <c r="AC72" s="41" t="str">
        <f t="shared" ref="AC72:AC88" si="72">IF($E72&gt;=AC$31,MID($J$31,IF($E72&gt;AC$31,INT(AB72),ROUND(AB72,0))+1,1),"")</f>
        <v>4</v>
      </c>
      <c r="AD72" s="24">
        <f>(AB72-INT(AB72))*12</f>
        <v>7.1364425147767179</v>
      </c>
      <c r="AE72" s="41" t="str">
        <f t="shared" ref="AE72:AE88" si="73">IF($E72&gt;=AE$31,MID($J$31,IF($E72&gt;AE$31,INT(AD72),ROUND(AD72,0))+1,1),"")</f>
        <v>7</v>
      </c>
      <c r="AF72" s="24">
        <f>(AD72-INT(AD72))*12</f>
        <v>1.6373101773206145</v>
      </c>
      <c r="AG72" s="41" t="str">
        <f t="shared" ref="AG72:AG88" si="74">IF($E72&gt;=AG$31,MID($J$31,IF($E72&gt;AG$31,INT(AF72),ROUND(AF72,0))+1,1),"")</f>
        <v/>
      </c>
      <c r="AH72" s="24">
        <f>(AF72-INT(AF72))*12</f>
        <v>7.6477221278473735</v>
      </c>
      <c r="AI72" s="41" t="str">
        <f t="shared" ref="AI72:AI88" si="75">IF($E72&gt;=AI$31,MID($J$31,IF($E72&gt;AI$31,INT(AH72),ROUND(AH72,0))+1,1),"")</f>
        <v/>
      </c>
      <c r="AJ72" s="24">
        <f>(AH72-INT(AH72))*12</f>
        <v>7.7726655341684818</v>
      </c>
      <c r="AK72" s="41" t="str">
        <f t="shared" ref="AK72:AK88" si="76">IF($E72&gt;=AK$31,MID($J$31,IF($E72&gt;AK$31,INT(AJ72),ROUND(AJ72,0))+1,1),"")</f>
        <v/>
      </c>
    </row>
    <row r="73" spans="1:37" ht="13.5" customHeight="1" x14ac:dyDescent="0.2">
      <c r="A73" s="578"/>
      <c r="B73" s="30" t="s">
        <v>34</v>
      </c>
      <c r="C73" s="30"/>
      <c r="D73" s="29"/>
      <c r="E73" s="8">
        <v>9</v>
      </c>
      <c r="F73" s="21">
        <f>1/$D$32</f>
        <v>137.03599917759013</v>
      </c>
      <c r="G73" s="37" t="str">
        <f t="shared" si="62"/>
        <v>0;E5052258</v>
      </c>
      <c r="H73" s="37"/>
      <c r="I73" s="285"/>
      <c r="J73" s="38">
        <v>2</v>
      </c>
      <c r="K73" s="61">
        <f t="shared" si="63"/>
        <v>0.95163888317770917</v>
      </c>
      <c r="L73" s="39" t="str">
        <f>INDEX(powers!$H$2:$H$75,33+J73)</f>
        <v>gross</v>
      </c>
      <c r="M73" s="40" t="str">
        <f t="shared" si="64"/>
        <v>0</v>
      </c>
      <c r="N73" s="24">
        <f t="shared" ref="N73:N88" si="77">(K73-INT(K73))*12</f>
        <v>11.41966659813251</v>
      </c>
      <c r="O73" s="41" t="str">
        <f t="shared" si="65"/>
        <v>E</v>
      </c>
      <c r="P73" s="24">
        <f t="shared" ref="P73:P88" si="78">(N73-INT(N73))*12</f>
        <v>5.0359991775901207</v>
      </c>
      <c r="Q73" s="41" t="str">
        <f t="shared" si="66"/>
        <v>5</v>
      </c>
      <c r="R73" s="24">
        <f t="shared" ref="R73:R88" si="79">(P73-INT(P73))*12</f>
        <v>0.43199013108144868</v>
      </c>
      <c r="S73" s="41" t="str">
        <f t="shared" si="67"/>
        <v>0</v>
      </c>
      <c r="T73" s="24">
        <f t="shared" ref="T73:T88" si="80">(R73-INT(R73))*12</f>
        <v>5.1838815729773842</v>
      </c>
      <c r="U73" s="41" t="str">
        <f t="shared" si="68"/>
        <v>5</v>
      </c>
      <c r="V73" s="24">
        <f t="shared" ref="V73:V88" si="81">(T73-INT(T73))*12</f>
        <v>2.20657887572861</v>
      </c>
      <c r="W73" s="41" t="str">
        <f t="shared" si="69"/>
        <v>2</v>
      </c>
      <c r="X73" s="24">
        <f t="shared" ref="X73:X88" si="82">(V73-INT(V73))*12</f>
        <v>2.47894650874332</v>
      </c>
      <c r="Y73" s="41" t="str">
        <f t="shared" si="70"/>
        <v>2</v>
      </c>
      <c r="Z73" s="24">
        <f t="shared" ref="Z73:Z88" si="83">(X73-INT(X73))*12</f>
        <v>5.7473581049198401</v>
      </c>
      <c r="AA73" s="41" t="str">
        <f t="shared" si="71"/>
        <v>5</v>
      </c>
      <c r="AB73" s="24">
        <f t="shared" ref="AB73:AB88" si="84">(Z73-INT(Z73))*12</f>
        <v>8.9682972590380814</v>
      </c>
      <c r="AC73" s="41" t="str">
        <f t="shared" si="72"/>
        <v>8</v>
      </c>
      <c r="AD73" s="24">
        <f t="shared" ref="AD73:AD88" si="85">(AB73-INT(AB73))*12</f>
        <v>11.619567108456977</v>
      </c>
      <c r="AE73" s="41" t="str">
        <f t="shared" si="73"/>
        <v/>
      </c>
      <c r="AF73" s="24">
        <f t="shared" ref="AF73:AF88" si="86">(AD73-INT(AD73))*12</f>
        <v>7.4348053014837205</v>
      </c>
      <c r="AG73" s="41" t="str">
        <f t="shared" si="74"/>
        <v/>
      </c>
      <c r="AH73" s="24">
        <f t="shared" ref="AH73:AH88" si="87">(AF73-INT(AF73))*12</f>
        <v>5.2176636178046465</v>
      </c>
      <c r="AI73" s="41" t="str">
        <f t="shared" si="75"/>
        <v/>
      </c>
      <c r="AJ73" s="24">
        <f t="shared" ref="AJ73:AJ88" si="88">(AH73-INT(AH73))*12</f>
        <v>2.6119634136557579</v>
      </c>
      <c r="AK73" s="41" t="str">
        <f t="shared" si="76"/>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63"/>
        <v>137.03599917759013</v>
      </c>
      <c r="L74" s="39" t="str">
        <f>INDEX(powers!$H$2:$H$75,33+J74)</f>
        <v xml:space="preserve"> </v>
      </c>
      <c r="M74" s="40" t="str">
        <f t="shared" si="64"/>
        <v/>
      </c>
      <c r="N74" s="24">
        <f t="shared" si="77"/>
        <v>0.43199013108153395</v>
      </c>
      <c r="O74" s="41" t="str">
        <f t="shared" si="65"/>
        <v>0</v>
      </c>
      <c r="P74" s="24">
        <f t="shared" si="78"/>
        <v>5.1838815729784073</v>
      </c>
      <c r="Q74" s="41" t="str">
        <f t="shared" si="66"/>
        <v>5</v>
      </c>
      <c r="R74" s="24">
        <f t="shared" si="79"/>
        <v>2.2065788757408882</v>
      </c>
      <c r="S74" s="41" t="str">
        <f t="shared" si="67"/>
        <v>2</v>
      </c>
      <c r="T74" s="24">
        <f t="shared" si="80"/>
        <v>2.4789465088906582</v>
      </c>
      <c r="U74" s="41" t="str">
        <f t="shared" si="68"/>
        <v>2</v>
      </c>
      <c r="V74" s="24">
        <f t="shared" si="81"/>
        <v>5.7473581066878978</v>
      </c>
      <c r="W74" s="41" t="str">
        <f t="shared" si="69"/>
        <v>5</v>
      </c>
      <c r="X74" s="24">
        <f t="shared" si="82"/>
        <v>8.9682972802547738</v>
      </c>
      <c r="Y74" s="41" t="str">
        <f t="shared" si="70"/>
        <v>8</v>
      </c>
      <c r="Z74" s="24">
        <f t="shared" si="83"/>
        <v>11.619567363057286</v>
      </c>
      <c r="AA74" s="41" t="str">
        <f t="shared" si="71"/>
        <v>E</v>
      </c>
      <c r="AB74" s="24">
        <f t="shared" si="84"/>
        <v>7.4348083566874266</v>
      </c>
      <c r="AC74" s="41" t="str">
        <f t="shared" si="72"/>
        <v>7</v>
      </c>
      <c r="AD74" s="24">
        <f t="shared" si="85"/>
        <v>5.2177002802491188</v>
      </c>
      <c r="AE74" s="41" t="str">
        <f t="shared" si="73"/>
        <v>5</v>
      </c>
      <c r="AF74" s="24">
        <f t="shared" si="86"/>
        <v>2.6124033629894257</v>
      </c>
      <c r="AG74" s="41" t="str">
        <f t="shared" si="74"/>
        <v/>
      </c>
      <c r="AH74" s="24">
        <f t="shared" si="87"/>
        <v>7.3488403558731079</v>
      </c>
      <c r="AI74" s="41" t="str">
        <f t="shared" si="75"/>
        <v/>
      </c>
      <c r="AJ74" s="24">
        <f t="shared" si="88"/>
        <v>4.1860842704772949</v>
      </c>
      <c r="AK74" s="41" t="str">
        <f t="shared" si="76"/>
        <v/>
      </c>
    </row>
    <row r="75" spans="1:37" ht="13.5" customHeight="1" x14ac:dyDescent="0.2">
      <c r="A75" s="578"/>
      <c r="B75" s="8" t="s">
        <v>39</v>
      </c>
      <c r="C75" s="8"/>
      <c r="D75" s="21"/>
      <c r="E75" s="8">
        <v>9</v>
      </c>
      <c r="F75" s="21">
        <f t="shared" ref="F75" si="89">SQRT($D$32)</f>
        <v>8.5424543102670447E-2</v>
      </c>
      <c r="G75" s="37" t="str">
        <f t="shared" ref="G75:G78" si="90">M75&amp;";"&amp;O75&amp;Q75&amp;S75&amp;U75&amp;W75&amp;Y75&amp;AA75&amp;AC75&amp;AE75&amp;AG75&amp;AI75&amp;AK75</f>
        <v>1;0374439E1</v>
      </c>
      <c r="H75" s="37"/>
      <c r="I75" s="285"/>
      <c r="J75" s="38">
        <v>-1</v>
      </c>
      <c r="K75" s="61">
        <f t="shared" si="63"/>
        <v>1.0250945172320454</v>
      </c>
      <c r="L75" s="39" t="str">
        <f>INDEX(powers!$H$2:$H$75,33+J75)</f>
        <v>unino</v>
      </c>
      <c r="M75" s="40" t="str">
        <f t="shared" si="64"/>
        <v>1</v>
      </c>
      <c r="N75" s="24">
        <f t="shared" si="77"/>
        <v>0.30113420678454439</v>
      </c>
      <c r="O75" s="41" t="str">
        <f t="shared" si="65"/>
        <v>0</v>
      </c>
      <c r="P75" s="24">
        <f t="shared" si="78"/>
        <v>3.6136104814145327</v>
      </c>
      <c r="Q75" s="41" t="str">
        <f t="shared" si="66"/>
        <v>3</v>
      </c>
      <c r="R75" s="24">
        <f t="shared" si="79"/>
        <v>7.3633257769743921</v>
      </c>
      <c r="S75" s="41" t="str">
        <f t="shared" si="67"/>
        <v>7</v>
      </c>
      <c r="T75" s="24">
        <f t="shared" si="80"/>
        <v>4.3599093236927047</v>
      </c>
      <c r="U75" s="41" t="str">
        <f t="shared" si="68"/>
        <v>4</v>
      </c>
      <c r="V75" s="24">
        <f t="shared" si="81"/>
        <v>4.3189118843124561</v>
      </c>
      <c r="W75" s="41" t="str">
        <f t="shared" si="69"/>
        <v>4</v>
      </c>
      <c r="X75" s="24">
        <f t="shared" si="82"/>
        <v>3.8269426117494731</v>
      </c>
      <c r="Y75" s="41" t="str">
        <f t="shared" si="70"/>
        <v>3</v>
      </c>
      <c r="Z75" s="24">
        <f t="shared" si="83"/>
        <v>9.9233113409936777</v>
      </c>
      <c r="AA75" s="41" t="str">
        <f t="shared" si="71"/>
        <v>9</v>
      </c>
      <c r="AB75" s="24">
        <f t="shared" si="84"/>
        <v>11.079736091924133</v>
      </c>
      <c r="AC75" s="41" t="str">
        <f t="shared" si="72"/>
        <v>E</v>
      </c>
      <c r="AD75" s="24">
        <f t="shared" si="85"/>
        <v>0.95683310308959335</v>
      </c>
      <c r="AE75" s="41" t="str">
        <f t="shared" si="73"/>
        <v>1</v>
      </c>
      <c r="AF75" s="24">
        <f t="shared" si="86"/>
        <v>11.48199723707512</v>
      </c>
      <c r="AG75" s="41" t="str">
        <f t="shared" si="74"/>
        <v/>
      </c>
      <c r="AH75" s="24">
        <f t="shared" si="87"/>
        <v>5.7839668449014425</v>
      </c>
      <c r="AI75" s="41" t="str">
        <f t="shared" si="75"/>
        <v/>
      </c>
      <c r="AJ75" s="24">
        <f t="shared" si="88"/>
        <v>9.4076021388173103</v>
      </c>
      <c r="AK75" s="41" t="str">
        <f t="shared" si="76"/>
        <v/>
      </c>
    </row>
    <row r="76" spans="1:37" ht="13.5" customHeight="1" x14ac:dyDescent="0.2">
      <c r="A76" s="578"/>
      <c r="B76" s="8" t="s">
        <v>35</v>
      </c>
      <c r="C76" s="8"/>
      <c r="D76" s="21"/>
      <c r="E76" s="8">
        <v>9</v>
      </c>
      <c r="F76" s="21">
        <f>1/SQRT($D$32)</f>
        <v>11.706237618363557</v>
      </c>
      <c r="G76" s="37" t="str">
        <f t="shared" si="90"/>
        <v>0;E85846629</v>
      </c>
      <c r="H76" s="37"/>
      <c r="I76" s="285"/>
      <c r="J76" s="38">
        <v>1</v>
      </c>
      <c r="K76" s="61">
        <f t="shared" si="63"/>
        <v>0.97551980153029649</v>
      </c>
      <c r="L76" s="39" t="str">
        <f>INDEX(powers!$H$2:$H$75,33+J76)</f>
        <v>dozen</v>
      </c>
      <c r="M76" s="40" t="str">
        <f t="shared" si="64"/>
        <v>0</v>
      </c>
      <c r="N76" s="24">
        <f t="shared" si="77"/>
        <v>11.706237618363557</v>
      </c>
      <c r="O76" s="41" t="str">
        <f t="shared" si="65"/>
        <v>E</v>
      </c>
      <c r="P76" s="24">
        <f t="shared" si="78"/>
        <v>8.4748514203626897</v>
      </c>
      <c r="Q76" s="41" t="str">
        <f t="shared" si="66"/>
        <v>8</v>
      </c>
      <c r="R76" s="24">
        <f t="shared" si="79"/>
        <v>5.6982170443522762</v>
      </c>
      <c r="S76" s="41" t="str">
        <f t="shared" si="67"/>
        <v>5</v>
      </c>
      <c r="T76" s="24">
        <f t="shared" si="80"/>
        <v>8.3786045322273139</v>
      </c>
      <c r="U76" s="41" t="str">
        <f t="shared" si="68"/>
        <v>8</v>
      </c>
      <c r="V76" s="24">
        <f t="shared" si="81"/>
        <v>4.5432543867277673</v>
      </c>
      <c r="W76" s="41" t="str">
        <f t="shared" si="69"/>
        <v>4</v>
      </c>
      <c r="X76" s="24">
        <f t="shared" si="82"/>
        <v>6.5190526407332072</v>
      </c>
      <c r="Y76" s="41" t="str">
        <f t="shared" si="70"/>
        <v>6</v>
      </c>
      <c r="Z76" s="24">
        <f t="shared" si="83"/>
        <v>6.2286316887984867</v>
      </c>
      <c r="AA76" s="41" t="str">
        <f t="shared" si="71"/>
        <v>6</v>
      </c>
      <c r="AB76" s="24">
        <f t="shared" si="84"/>
        <v>2.7435802655818406</v>
      </c>
      <c r="AC76" s="41" t="str">
        <f t="shared" si="72"/>
        <v>2</v>
      </c>
      <c r="AD76" s="24">
        <f t="shared" si="85"/>
        <v>8.9229631869820878</v>
      </c>
      <c r="AE76" s="41" t="str">
        <f t="shared" si="73"/>
        <v>9</v>
      </c>
      <c r="AF76" s="24">
        <f t="shared" si="86"/>
        <v>11.075558243785053</v>
      </c>
      <c r="AG76" s="41" t="str">
        <f t="shared" si="74"/>
        <v/>
      </c>
      <c r="AH76" s="24">
        <f t="shared" si="87"/>
        <v>0.9066989254206419</v>
      </c>
      <c r="AI76" s="41" t="str">
        <f t="shared" si="75"/>
        <v/>
      </c>
      <c r="AJ76" s="24">
        <f t="shared" si="88"/>
        <v>10.880387105047703</v>
      </c>
      <c r="AK76" s="41" t="str">
        <f t="shared" si="76"/>
        <v/>
      </c>
    </row>
    <row r="77" spans="1:37" ht="13.5" customHeight="1" x14ac:dyDescent="0.2">
      <c r="A77" s="578"/>
      <c r="B77" s="8" t="s">
        <v>36</v>
      </c>
      <c r="C77" s="8"/>
      <c r="D77" s="21"/>
      <c r="E77" s="8">
        <v>12</v>
      </c>
      <c r="F77" s="21">
        <f>4*PI()</f>
        <v>12.566370614359172</v>
      </c>
      <c r="G77" s="37" t="str">
        <f t="shared" si="90"/>
        <v>1;0696831713E1</v>
      </c>
      <c r="H77" s="37"/>
      <c r="I77" s="285"/>
      <c r="J77" s="38">
        <v>1</v>
      </c>
      <c r="K77" s="61">
        <f t="shared" si="63"/>
        <v>1.0471975511965976</v>
      </c>
      <c r="L77" s="39" t="str">
        <f>INDEX(powers!$H$2:$H$75,33+J77)</f>
        <v>dozen</v>
      </c>
      <c r="M77" s="40" t="str">
        <f t="shared" si="64"/>
        <v>1</v>
      </c>
      <c r="N77" s="24">
        <f t="shared" si="77"/>
        <v>0.56637061435917158</v>
      </c>
      <c r="O77" s="41" t="str">
        <f t="shared" si="65"/>
        <v>0</v>
      </c>
      <c r="P77" s="24">
        <f t="shared" si="78"/>
        <v>6.7964473723100589</v>
      </c>
      <c r="Q77" s="41" t="str">
        <f t="shared" si="66"/>
        <v>6</v>
      </c>
      <c r="R77" s="24">
        <f t="shared" si="79"/>
        <v>9.5573684677207069</v>
      </c>
      <c r="S77" s="41" t="str">
        <f t="shared" si="67"/>
        <v>9</v>
      </c>
      <c r="T77" s="24">
        <f t="shared" si="80"/>
        <v>6.688421612648483</v>
      </c>
      <c r="U77" s="41" t="str">
        <f t="shared" si="68"/>
        <v>6</v>
      </c>
      <c r="V77" s="24">
        <f t="shared" si="81"/>
        <v>8.2610593517817961</v>
      </c>
      <c r="W77" s="41" t="str">
        <f t="shared" si="69"/>
        <v>8</v>
      </c>
      <c r="X77" s="24">
        <f t="shared" si="82"/>
        <v>3.1327122213815528</v>
      </c>
      <c r="Y77" s="41" t="str">
        <f t="shared" si="70"/>
        <v>3</v>
      </c>
      <c r="Z77" s="24">
        <f t="shared" si="83"/>
        <v>1.5925466565786337</v>
      </c>
      <c r="AA77" s="41" t="str">
        <f t="shared" si="71"/>
        <v>1</v>
      </c>
      <c r="AB77" s="24">
        <f t="shared" si="84"/>
        <v>7.1105598789436044</v>
      </c>
      <c r="AC77" s="41" t="str">
        <f t="shared" si="72"/>
        <v>7</v>
      </c>
      <c r="AD77" s="24">
        <f t="shared" si="85"/>
        <v>1.326718547323253</v>
      </c>
      <c r="AE77" s="41" t="str">
        <f t="shared" si="73"/>
        <v>1</v>
      </c>
      <c r="AF77" s="24">
        <f t="shared" si="86"/>
        <v>3.9206225678790361</v>
      </c>
      <c r="AG77" s="41" t="str">
        <f t="shared" si="74"/>
        <v>3</v>
      </c>
      <c r="AH77" s="24">
        <f t="shared" si="87"/>
        <v>11.047470814548433</v>
      </c>
      <c r="AI77" s="41" t="str">
        <f t="shared" si="75"/>
        <v>E</v>
      </c>
      <c r="AJ77" s="24">
        <f t="shared" si="88"/>
        <v>0.56964977458119392</v>
      </c>
      <c r="AK77" s="41" t="str">
        <f t="shared" si="76"/>
        <v>1</v>
      </c>
    </row>
    <row r="78" spans="1:37" ht="13.5" customHeight="1" x14ac:dyDescent="0.2">
      <c r="A78" s="578"/>
      <c r="B78" s="30" t="s">
        <v>37</v>
      </c>
      <c r="C78" s="30"/>
      <c r="D78" s="29"/>
      <c r="E78" s="8">
        <v>12</v>
      </c>
      <c r="F78" s="21">
        <f>1/(4*PI())</f>
        <v>7.9577471545947673E-2</v>
      </c>
      <c r="G78" s="37" t="str">
        <f t="shared" si="90"/>
        <v>0;E5615082189E</v>
      </c>
      <c r="H78" s="37"/>
      <c r="I78" s="285"/>
      <c r="J78" s="38">
        <v>-1</v>
      </c>
      <c r="K78" s="61">
        <f t="shared" si="63"/>
        <v>0.95492965855137213</v>
      </c>
      <c r="L78" s="39" t="str">
        <f>INDEX(powers!$H$2:$H$75,33+J78)</f>
        <v>unino</v>
      </c>
      <c r="M78" s="40" t="str">
        <f t="shared" si="64"/>
        <v>0</v>
      </c>
      <c r="N78" s="24">
        <f t="shared" si="77"/>
        <v>11.459155902616466</v>
      </c>
      <c r="O78" s="41" t="str">
        <f t="shared" si="65"/>
        <v>E</v>
      </c>
      <c r="P78" s="24">
        <f t="shared" si="78"/>
        <v>5.5098708313975919</v>
      </c>
      <c r="Q78" s="41" t="str">
        <f t="shared" si="66"/>
        <v>5</v>
      </c>
      <c r="R78" s="24">
        <f t="shared" si="79"/>
        <v>6.1184499767711031</v>
      </c>
      <c r="S78" s="41" t="str">
        <f t="shared" si="67"/>
        <v>6</v>
      </c>
      <c r="T78" s="24">
        <f t="shared" si="80"/>
        <v>1.4213997212532377</v>
      </c>
      <c r="U78" s="41" t="str">
        <f t="shared" si="68"/>
        <v>1</v>
      </c>
      <c r="V78" s="24">
        <f t="shared" si="81"/>
        <v>5.0567966550388519</v>
      </c>
      <c r="W78" s="41" t="str">
        <f t="shared" si="69"/>
        <v>5</v>
      </c>
      <c r="X78" s="24">
        <f t="shared" si="82"/>
        <v>0.68155986046622274</v>
      </c>
      <c r="Y78" s="41" t="str">
        <f t="shared" si="70"/>
        <v>0</v>
      </c>
      <c r="Z78" s="24">
        <f t="shared" si="83"/>
        <v>8.1787183255946729</v>
      </c>
      <c r="AA78" s="41" t="str">
        <f t="shared" si="71"/>
        <v>8</v>
      </c>
      <c r="AB78" s="24">
        <f t="shared" si="84"/>
        <v>2.1446199071360752</v>
      </c>
      <c r="AC78" s="41" t="str">
        <f t="shared" si="72"/>
        <v>2</v>
      </c>
      <c r="AD78" s="24">
        <f t="shared" si="85"/>
        <v>1.7354388856329024</v>
      </c>
      <c r="AE78" s="41" t="str">
        <f t="shared" si="73"/>
        <v>1</v>
      </c>
      <c r="AF78" s="24">
        <f t="shared" si="86"/>
        <v>8.8252666275948286</v>
      </c>
      <c r="AG78" s="41" t="str">
        <f t="shared" si="74"/>
        <v>8</v>
      </c>
      <c r="AH78" s="24">
        <f t="shared" si="87"/>
        <v>9.9031995311379433</v>
      </c>
      <c r="AI78" s="41" t="str">
        <f t="shared" si="75"/>
        <v>9</v>
      </c>
      <c r="AJ78" s="24">
        <f t="shared" si="88"/>
        <v>10.838394373655319</v>
      </c>
      <c r="AK78" s="41" t="str">
        <f t="shared" si="76"/>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63"/>
        <v>137.50987083139759</v>
      </c>
      <c r="L79" s="39" t="str">
        <f>INDEX(powers!$H$2:$H$75,33+J79)</f>
        <v>terno</v>
      </c>
      <c r="M79" s="40" t="str">
        <f t="shared" si="64"/>
        <v/>
      </c>
      <c r="N79" s="24">
        <f t="shared" si="77"/>
        <v>6.1184499767711031</v>
      </c>
      <c r="O79" s="41" t="str">
        <f t="shared" si="65"/>
        <v>6</v>
      </c>
      <c r="P79" s="24">
        <f t="shared" si="78"/>
        <v>1.4213997212532377</v>
      </c>
      <c r="Q79" s="41" t="str">
        <f t="shared" si="66"/>
        <v>1</v>
      </c>
      <c r="R79" s="24">
        <f t="shared" si="79"/>
        <v>5.0567966550388519</v>
      </c>
      <c r="S79" s="41" t="str">
        <f t="shared" si="67"/>
        <v>5</v>
      </c>
      <c r="T79" s="24">
        <f t="shared" si="80"/>
        <v>0.68155986046622274</v>
      </c>
      <c r="U79" s="41" t="str">
        <f t="shared" si="68"/>
        <v>0</v>
      </c>
      <c r="V79" s="24">
        <f t="shared" si="81"/>
        <v>8.1787183255946729</v>
      </c>
      <c r="W79" s="41" t="str">
        <f t="shared" si="69"/>
        <v>8</v>
      </c>
      <c r="X79" s="24">
        <f t="shared" si="82"/>
        <v>2.1446199071360752</v>
      </c>
      <c r="Y79" s="41" t="str">
        <f t="shared" si="70"/>
        <v>2</v>
      </c>
      <c r="Z79" s="24">
        <f t="shared" si="83"/>
        <v>1.7354388856329024</v>
      </c>
      <c r="AA79" s="41" t="str">
        <f t="shared" si="71"/>
        <v>1</v>
      </c>
      <c r="AB79" s="24">
        <f t="shared" si="84"/>
        <v>8.8252666275948286</v>
      </c>
      <c r="AC79" s="41" t="str">
        <f t="shared" si="72"/>
        <v>8</v>
      </c>
      <c r="AD79" s="24">
        <f t="shared" si="85"/>
        <v>9.9031995311379433</v>
      </c>
      <c r="AE79" s="41" t="str">
        <f t="shared" si="73"/>
        <v>X</v>
      </c>
      <c r="AF79" s="24">
        <f t="shared" si="86"/>
        <v>10.838394373655319</v>
      </c>
      <c r="AG79" s="41" t="str">
        <f t="shared" si="74"/>
        <v/>
      </c>
      <c r="AH79" s="24">
        <f t="shared" si="87"/>
        <v>10.060732483863831</v>
      </c>
      <c r="AI79" s="41" t="str">
        <f t="shared" si="75"/>
        <v/>
      </c>
      <c r="AJ79" s="24">
        <f t="shared" si="88"/>
        <v>0.7287898063659668</v>
      </c>
      <c r="AK79" s="41" t="str">
        <f t="shared" si="76"/>
        <v/>
      </c>
    </row>
    <row r="80" spans="1:37" ht="13.5" customHeight="1" x14ac:dyDescent="0.2">
      <c r="A80" s="578"/>
      <c r="B80" s="8" t="s">
        <v>32</v>
      </c>
      <c r="C80" s="8"/>
      <c r="D80" s="21"/>
      <c r="E80" s="8">
        <v>9</v>
      </c>
      <c r="F80" s="21">
        <f>4*PI()/$D$32</f>
        <v>1722.0451531746162</v>
      </c>
      <c r="G80" s="37" t="str">
        <f t="shared" ref="G80:G88" si="91">M80&amp;";"&amp;O80&amp;Q80&amp;S80&amp;U80&amp;W80&amp;Y80&amp;AA80&amp;AC80&amp;AE80&amp;AG80&amp;AI80&amp;AK80</f>
        <v>0;EE6066037</v>
      </c>
      <c r="H80" s="37"/>
      <c r="I80" s="285"/>
      <c r="J80" s="38">
        <v>3</v>
      </c>
      <c r="K80" s="61">
        <f t="shared" si="63"/>
        <v>0.99655390808716215</v>
      </c>
      <c r="L80" s="39" t="str">
        <f>INDEX(powers!$H$2:$H$75,33+J80)</f>
        <v>doz gross</v>
      </c>
      <c r="M80" s="40" t="str">
        <f t="shared" si="64"/>
        <v>0</v>
      </c>
      <c r="N80" s="24">
        <f t="shared" si="77"/>
        <v>11.958646897045945</v>
      </c>
      <c r="O80" s="41" t="str">
        <f t="shared" si="65"/>
        <v>E</v>
      </c>
      <c r="P80" s="24">
        <f t="shared" si="78"/>
        <v>11.50376276455134</v>
      </c>
      <c r="Q80" s="41" t="str">
        <f t="shared" si="66"/>
        <v>E</v>
      </c>
      <c r="R80" s="24">
        <f t="shared" si="79"/>
        <v>6.0451531746160754</v>
      </c>
      <c r="S80" s="41" t="str">
        <f t="shared" si="67"/>
        <v>6</v>
      </c>
      <c r="T80" s="24">
        <f t="shared" si="80"/>
        <v>0.54183809539290451</v>
      </c>
      <c r="U80" s="41" t="str">
        <f t="shared" si="68"/>
        <v>0</v>
      </c>
      <c r="V80" s="24">
        <f t="shared" si="81"/>
        <v>6.5020571447148541</v>
      </c>
      <c r="W80" s="41" t="str">
        <f t="shared" si="69"/>
        <v>6</v>
      </c>
      <c r="X80" s="24">
        <f t="shared" si="82"/>
        <v>6.0246857365782489</v>
      </c>
      <c r="Y80" s="41" t="str">
        <f t="shared" si="70"/>
        <v>6</v>
      </c>
      <c r="Z80" s="24">
        <f t="shared" si="83"/>
        <v>0.29622883893898688</v>
      </c>
      <c r="AA80" s="41" t="str">
        <f t="shared" si="71"/>
        <v>0</v>
      </c>
      <c r="AB80" s="24">
        <f t="shared" si="84"/>
        <v>3.5547460672678426</v>
      </c>
      <c r="AC80" s="41" t="str">
        <f t="shared" si="72"/>
        <v>3</v>
      </c>
      <c r="AD80" s="24">
        <f t="shared" si="85"/>
        <v>6.6569528072141111</v>
      </c>
      <c r="AE80" s="41" t="str">
        <f t="shared" si="73"/>
        <v>7</v>
      </c>
      <c r="AF80" s="24">
        <f t="shared" si="86"/>
        <v>7.8834336865693331</v>
      </c>
      <c r="AG80" s="41" t="str">
        <f t="shared" si="74"/>
        <v/>
      </c>
      <c r="AH80" s="24">
        <f t="shared" si="87"/>
        <v>10.601204238831997</v>
      </c>
      <c r="AI80" s="41" t="str">
        <f t="shared" si="75"/>
        <v/>
      </c>
      <c r="AJ80" s="24">
        <f t="shared" si="88"/>
        <v>7.214450865983963</v>
      </c>
      <c r="AK80" s="41" t="str">
        <f t="shared" si="76"/>
        <v/>
      </c>
    </row>
    <row r="81" spans="1:37" ht="13.5" customHeight="1" x14ac:dyDescent="0.2">
      <c r="A81" s="578"/>
      <c r="B81" s="8" t="s">
        <v>38</v>
      </c>
      <c r="C81" s="8"/>
      <c r="D81" s="21"/>
      <c r="E81" s="8">
        <v>9</v>
      </c>
      <c r="F81" s="21">
        <f>$D$32/(4*PI())</f>
        <v>5.8070486604633147E-4</v>
      </c>
      <c r="G81" s="37" t="str">
        <f t="shared" si="91"/>
        <v>1;005E85684</v>
      </c>
      <c r="H81" s="37"/>
      <c r="I81" s="285"/>
      <c r="J81" s="38">
        <v>-3</v>
      </c>
      <c r="K81" s="61">
        <f t="shared" si="63"/>
        <v>1.0034580085280609</v>
      </c>
      <c r="L81" s="39" t="str">
        <f>INDEX(powers!$H$2:$H$75,33+J81)</f>
        <v>terno</v>
      </c>
      <c r="M81" s="40" t="str">
        <f t="shared" si="64"/>
        <v>1</v>
      </c>
      <c r="N81" s="24">
        <f t="shared" si="77"/>
        <v>4.1496102336730623E-2</v>
      </c>
      <c r="O81" s="41" t="str">
        <f t="shared" si="65"/>
        <v>0</v>
      </c>
      <c r="P81" s="24">
        <f t="shared" si="78"/>
        <v>0.49795322804076747</v>
      </c>
      <c r="Q81" s="41" t="str">
        <f t="shared" si="66"/>
        <v>0</v>
      </c>
      <c r="R81" s="24">
        <f t="shared" si="79"/>
        <v>5.9754387364892096</v>
      </c>
      <c r="S81" s="41" t="str">
        <f t="shared" si="67"/>
        <v>5</v>
      </c>
      <c r="T81" s="24">
        <f t="shared" si="80"/>
        <v>11.705264837870516</v>
      </c>
      <c r="U81" s="41" t="str">
        <f t="shared" si="68"/>
        <v>E</v>
      </c>
      <c r="V81" s="24">
        <f t="shared" si="81"/>
        <v>8.463178054446189</v>
      </c>
      <c r="W81" s="41" t="str">
        <f t="shared" si="69"/>
        <v>8</v>
      </c>
      <c r="X81" s="24">
        <f t="shared" si="82"/>
        <v>5.5581366533542678</v>
      </c>
      <c r="Y81" s="41" t="str">
        <f t="shared" si="70"/>
        <v>5</v>
      </c>
      <c r="Z81" s="24">
        <f t="shared" si="83"/>
        <v>6.6976398402512132</v>
      </c>
      <c r="AA81" s="41" t="str">
        <f t="shared" si="71"/>
        <v>6</v>
      </c>
      <c r="AB81" s="24">
        <f t="shared" si="84"/>
        <v>8.3716780830145581</v>
      </c>
      <c r="AC81" s="41" t="str">
        <f t="shared" si="72"/>
        <v>8</v>
      </c>
      <c r="AD81" s="24">
        <f t="shared" si="85"/>
        <v>4.4601369961746968</v>
      </c>
      <c r="AE81" s="41" t="str">
        <f t="shared" si="73"/>
        <v>4</v>
      </c>
      <c r="AF81" s="24">
        <f t="shared" si="86"/>
        <v>5.521643954096362</v>
      </c>
      <c r="AG81" s="41" t="str">
        <f t="shared" si="74"/>
        <v/>
      </c>
      <c r="AH81" s="24">
        <f t="shared" si="87"/>
        <v>6.2597274491563439</v>
      </c>
      <c r="AI81" s="41" t="str">
        <f t="shared" si="75"/>
        <v/>
      </c>
      <c r="AJ81" s="24">
        <f t="shared" si="88"/>
        <v>3.1167293898761272</v>
      </c>
      <c r="AK81" s="41" t="str">
        <f t="shared" si="76"/>
        <v/>
      </c>
    </row>
    <row r="82" spans="1:37" ht="13.5" customHeight="1" x14ac:dyDescent="0.2">
      <c r="A82" s="578"/>
      <c r="B82" s="8" t="s">
        <v>33</v>
      </c>
      <c r="C82" s="8"/>
      <c r="D82" s="21"/>
      <c r="E82" s="8">
        <v>9</v>
      </c>
      <c r="F82" s="21">
        <f>4*PI()/($D$32*$D$32)</f>
        <v>235982.17819420979</v>
      </c>
      <c r="G82" s="37" t="str">
        <f t="shared" si="91"/>
        <v>0;E4692217E</v>
      </c>
      <c r="H82" s="37"/>
      <c r="I82" s="285"/>
      <c r="J82" s="38">
        <v>5</v>
      </c>
      <c r="K82" s="61">
        <f t="shared" si="63"/>
        <v>0.94835944811844852</v>
      </c>
      <c r="L82" s="39" t="str">
        <f>INDEX(powers!$H$2:$H$75,33+J82)</f>
        <v>terno cosmic</v>
      </c>
      <c r="M82" s="40" t="str">
        <f t="shared" si="64"/>
        <v>0</v>
      </c>
      <c r="N82" s="24">
        <f t="shared" si="77"/>
        <v>11.380313377421382</v>
      </c>
      <c r="O82" s="41" t="str">
        <f t="shared" si="65"/>
        <v>E</v>
      </c>
      <c r="P82" s="24">
        <f t="shared" si="78"/>
        <v>4.5637605290565872</v>
      </c>
      <c r="Q82" s="41" t="str">
        <f t="shared" si="66"/>
        <v>4</v>
      </c>
      <c r="R82" s="24">
        <f t="shared" si="79"/>
        <v>6.7651263486790469</v>
      </c>
      <c r="S82" s="41" t="str">
        <f t="shared" si="67"/>
        <v>6</v>
      </c>
      <c r="T82" s="24">
        <f t="shared" si="80"/>
        <v>9.1815161841485633</v>
      </c>
      <c r="U82" s="41" t="str">
        <f t="shared" si="68"/>
        <v>9</v>
      </c>
      <c r="V82" s="24">
        <f t="shared" si="81"/>
        <v>2.1781942097827596</v>
      </c>
      <c r="W82" s="41" t="str">
        <f t="shared" si="69"/>
        <v>2</v>
      </c>
      <c r="X82" s="24">
        <f t="shared" si="82"/>
        <v>2.1383305173931149</v>
      </c>
      <c r="Y82" s="41" t="str">
        <f t="shared" si="70"/>
        <v>2</v>
      </c>
      <c r="Z82" s="24">
        <f t="shared" si="83"/>
        <v>1.6599662087173783</v>
      </c>
      <c r="AA82" s="41" t="str">
        <f t="shared" si="71"/>
        <v>1</v>
      </c>
      <c r="AB82" s="24">
        <f t="shared" si="84"/>
        <v>7.9195945046085399</v>
      </c>
      <c r="AC82" s="41" t="str">
        <f t="shared" si="72"/>
        <v>7</v>
      </c>
      <c r="AD82" s="24">
        <f t="shared" si="85"/>
        <v>11.035134055302478</v>
      </c>
      <c r="AE82" s="41" t="str">
        <f t="shared" si="73"/>
        <v>E</v>
      </c>
      <c r="AF82" s="24">
        <f t="shared" si="86"/>
        <v>0.42160866362974048</v>
      </c>
      <c r="AG82" s="41" t="str">
        <f t="shared" si="74"/>
        <v/>
      </c>
      <c r="AH82" s="24">
        <f t="shared" si="87"/>
        <v>5.0593039635568857</v>
      </c>
      <c r="AI82" s="41" t="str">
        <f t="shared" si="75"/>
        <v/>
      </c>
      <c r="AJ82" s="24">
        <f t="shared" si="88"/>
        <v>0.71164756268262863</v>
      </c>
      <c r="AK82" s="41" t="str">
        <f t="shared" si="76"/>
        <v/>
      </c>
    </row>
    <row r="83" spans="1:37" ht="14.25" customHeight="1" x14ac:dyDescent="0.2">
      <c r="A83" s="578"/>
      <c r="B83" s="30" t="s">
        <v>41</v>
      </c>
      <c r="C83" s="30"/>
      <c r="D83" s="29"/>
      <c r="E83" s="30">
        <v>9</v>
      </c>
      <c r="F83" s="29">
        <f>($D$32*$D$32)/(4*PI())</f>
        <v>4.2376081433446851E-6</v>
      </c>
      <c r="G83" s="108" t="str">
        <f t="shared" si="91"/>
        <v>1;07X1163X5</v>
      </c>
      <c r="H83" s="108"/>
      <c r="I83" s="286"/>
      <c r="J83" s="43">
        <v>-5</v>
      </c>
      <c r="K83" s="62">
        <f t="shared" si="63"/>
        <v>1.0544525095247446</v>
      </c>
      <c r="L83" s="44" t="str">
        <f>INDEX(powers!$H$2:$H$75,33+J83)</f>
        <v>doz gross atomic</v>
      </c>
      <c r="M83" s="40" t="str">
        <f t="shared" si="64"/>
        <v>1</v>
      </c>
      <c r="N83" s="24">
        <f t="shared" si="77"/>
        <v>0.65343011429693476</v>
      </c>
      <c r="O83" s="41" t="str">
        <f t="shared" si="65"/>
        <v>0</v>
      </c>
      <c r="P83" s="24">
        <f t="shared" si="78"/>
        <v>7.8411613715632171</v>
      </c>
      <c r="Q83" s="41" t="str">
        <f t="shared" si="66"/>
        <v>7</v>
      </c>
      <c r="R83" s="24">
        <f t="shared" si="79"/>
        <v>10.093936458758606</v>
      </c>
      <c r="S83" s="41" t="str">
        <f t="shared" si="67"/>
        <v>X</v>
      </c>
      <c r="T83" s="24">
        <f t="shared" si="80"/>
        <v>1.1272375051032668</v>
      </c>
      <c r="U83" s="41" t="str">
        <f t="shared" si="68"/>
        <v>1</v>
      </c>
      <c r="V83" s="24">
        <f t="shared" si="81"/>
        <v>1.5268500612392018</v>
      </c>
      <c r="W83" s="41" t="str">
        <f t="shared" si="69"/>
        <v>1</v>
      </c>
      <c r="X83" s="24">
        <f t="shared" si="82"/>
        <v>6.322200734870421</v>
      </c>
      <c r="Y83" s="41" t="str">
        <f t="shared" si="70"/>
        <v>6</v>
      </c>
      <c r="Z83" s="24">
        <f t="shared" si="83"/>
        <v>3.866408818445052</v>
      </c>
      <c r="AA83" s="41" t="str">
        <f t="shared" si="71"/>
        <v>3</v>
      </c>
      <c r="AB83" s="24">
        <f t="shared" si="84"/>
        <v>10.396905821340624</v>
      </c>
      <c r="AC83" s="41" t="str">
        <f t="shared" si="72"/>
        <v>X</v>
      </c>
      <c r="AD83" s="24">
        <f t="shared" si="85"/>
        <v>4.7628698560874909</v>
      </c>
      <c r="AE83" s="41" t="str">
        <f t="shared" si="73"/>
        <v>5</v>
      </c>
      <c r="AF83" s="24">
        <f t="shared" si="86"/>
        <v>9.154438273049891</v>
      </c>
      <c r="AG83" s="41" t="str">
        <f t="shared" si="74"/>
        <v/>
      </c>
      <c r="AH83" s="24">
        <f t="shared" si="87"/>
        <v>1.8532592765986919</v>
      </c>
      <c r="AI83" s="41" t="str">
        <f t="shared" si="75"/>
        <v/>
      </c>
      <c r="AJ83" s="24">
        <f t="shared" si="88"/>
        <v>10.239111319184303</v>
      </c>
      <c r="AK83" s="41" t="str">
        <f t="shared" si="76"/>
        <v/>
      </c>
    </row>
    <row r="84" spans="1:37" ht="14.25" customHeight="1" x14ac:dyDescent="0.2">
      <c r="A84" s="578"/>
      <c r="B84" s="30" t="s">
        <v>1220</v>
      </c>
      <c r="C84" s="30"/>
      <c r="D84" s="29"/>
      <c r="E84" s="30">
        <v>11</v>
      </c>
      <c r="F84" s="29">
        <v>1836.15267245</v>
      </c>
      <c r="G84" s="108" t="str">
        <f t="shared" si="91"/>
        <v>1;09019E9995E</v>
      </c>
      <c r="H84" s="108"/>
      <c r="I84" s="286"/>
      <c r="J84" s="43">
        <v>3</v>
      </c>
      <c r="K84" s="62">
        <f t="shared" si="63"/>
        <v>1.0625883521122685</v>
      </c>
      <c r="L84" s="44" t="str">
        <f>INDEX(powers!$H$2:$H$75,33+J84)</f>
        <v>doz gross</v>
      </c>
      <c r="M84" s="40" t="str">
        <f t="shared" si="64"/>
        <v>1</v>
      </c>
      <c r="N84" s="24">
        <f t="shared" si="77"/>
        <v>0.7510602253472225</v>
      </c>
      <c r="O84" s="41" t="str">
        <f t="shared" si="65"/>
        <v>0</v>
      </c>
      <c r="P84" s="24">
        <f t="shared" si="78"/>
        <v>9.01272270416667</v>
      </c>
      <c r="Q84" s="41" t="str">
        <f t="shared" si="66"/>
        <v>9</v>
      </c>
      <c r="R84" s="24">
        <f t="shared" si="79"/>
        <v>0.15267245000003982</v>
      </c>
      <c r="S84" s="41" t="str">
        <f t="shared" si="67"/>
        <v>0</v>
      </c>
      <c r="T84" s="24">
        <f t="shared" si="80"/>
        <v>1.8320694000004778</v>
      </c>
      <c r="U84" s="41" t="str">
        <f t="shared" si="68"/>
        <v>1</v>
      </c>
      <c r="V84" s="24">
        <f t="shared" si="81"/>
        <v>9.9848328000057336</v>
      </c>
      <c r="W84" s="41" t="str">
        <f t="shared" si="69"/>
        <v>9</v>
      </c>
      <c r="X84" s="24">
        <f t="shared" si="82"/>
        <v>11.817993600068803</v>
      </c>
      <c r="Y84" s="41" t="str">
        <f t="shared" si="70"/>
        <v>E</v>
      </c>
      <c r="Z84" s="24">
        <f t="shared" si="83"/>
        <v>9.8159232008256367</v>
      </c>
      <c r="AA84" s="41" t="str">
        <f t="shared" si="71"/>
        <v>9</v>
      </c>
      <c r="AB84" s="24">
        <f t="shared" si="84"/>
        <v>9.7910784099076409</v>
      </c>
      <c r="AC84" s="41" t="str">
        <f t="shared" si="72"/>
        <v>9</v>
      </c>
      <c r="AD84" s="24">
        <f t="shared" si="85"/>
        <v>9.4929409188916907</v>
      </c>
      <c r="AE84" s="41" t="str">
        <f t="shared" si="73"/>
        <v>9</v>
      </c>
      <c r="AF84" s="24">
        <f t="shared" si="86"/>
        <v>5.9152910267002881</v>
      </c>
      <c r="AG84" s="41" t="str">
        <f t="shared" si="74"/>
        <v>5</v>
      </c>
      <c r="AH84" s="24">
        <f t="shared" si="87"/>
        <v>10.983492320403457</v>
      </c>
      <c r="AI84" s="41" t="str">
        <f t="shared" si="75"/>
        <v>E</v>
      </c>
      <c r="AJ84" s="24">
        <f t="shared" si="88"/>
        <v>11.80190784484148</v>
      </c>
      <c r="AK84" s="41" t="str">
        <f t="shared" si="76"/>
        <v/>
      </c>
    </row>
    <row r="85" spans="1:37" ht="14.25" customHeight="1" x14ac:dyDescent="0.2">
      <c r="A85" s="578"/>
      <c r="B85" s="30" t="s">
        <v>1221</v>
      </c>
      <c r="C85" s="30"/>
      <c r="D85" s="29"/>
      <c r="E85" s="30">
        <v>11</v>
      </c>
      <c r="F85" s="29">
        <f>POWER(F84,9)*POWER(F72,-11)</f>
        <v>7.5920748287008189E+52</v>
      </c>
      <c r="G85" s="108" t="str">
        <f t="shared" si="91"/>
        <v>1;001XXX1088</v>
      </c>
      <c r="H85" s="108"/>
      <c r="I85" s="286"/>
      <c r="J85" s="43">
        <v>49</v>
      </c>
      <c r="K85" s="62">
        <f t="shared" si="63"/>
        <v>1.0011045231309914</v>
      </c>
      <c r="L85" s="44" t="str">
        <f>Rydberg!L85</f>
        <v>sexty-cosmic dirac</v>
      </c>
      <c r="M85" s="40" t="str">
        <f t="shared" si="64"/>
        <v>1</v>
      </c>
      <c r="N85" s="24">
        <f t="shared" si="77"/>
        <v>1.32542775718969E-2</v>
      </c>
      <c r="O85" s="41" t="str">
        <f t="shared" si="65"/>
        <v>0</v>
      </c>
      <c r="P85" s="24">
        <f t="shared" si="78"/>
        <v>0.1590513308627628</v>
      </c>
      <c r="Q85" s="41" t="str">
        <f t="shared" si="66"/>
        <v>0</v>
      </c>
      <c r="R85" s="24">
        <f t="shared" si="79"/>
        <v>1.9086159703531536</v>
      </c>
      <c r="S85" s="41" t="str">
        <f t="shared" si="67"/>
        <v>1</v>
      </c>
      <c r="T85" s="24">
        <f t="shared" si="80"/>
        <v>10.903391644237843</v>
      </c>
      <c r="U85" s="41" t="str">
        <f t="shared" si="68"/>
        <v>X</v>
      </c>
      <c r="V85" s="24">
        <f t="shared" si="81"/>
        <v>10.840699730854112</v>
      </c>
      <c r="W85" s="41" t="str">
        <f t="shared" si="69"/>
        <v>X</v>
      </c>
      <c r="X85" s="24">
        <f t="shared" si="82"/>
        <v>10.088396770249346</v>
      </c>
      <c r="Y85" s="41" t="str">
        <f t="shared" si="70"/>
        <v>X</v>
      </c>
      <c r="Z85" s="24">
        <f t="shared" si="83"/>
        <v>1.0607612429921573</v>
      </c>
      <c r="AA85" s="41" t="str">
        <f t="shared" si="71"/>
        <v>1</v>
      </c>
      <c r="AB85" s="24">
        <f t="shared" si="84"/>
        <v>0.72913491590588819</v>
      </c>
      <c r="AC85" s="41" t="str">
        <f t="shared" si="72"/>
        <v>0</v>
      </c>
      <c r="AD85" s="24">
        <f t="shared" si="85"/>
        <v>8.7496189908706583</v>
      </c>
      <c r="AE85" s="41" t="str">
        <f t="shared" si="73"/>
        <v>8</v>
      </c>
      <c r="AF85" s="24">
        <f t="shared" si="86"/>
        <v>8.9954278904478997</v>
      </c>
      <c r="AG85" s="41" t="str">
        <f t="shared" si="74"/>
        <v>8</v>
      </c>
      <c r="AH85" s="24">
        <f t="shared" si="87"/>
        <v>11.945134685374796</v>
      </c>
      <c r="AI85" s="41" t="str">
        <f t="shared" si="75"/>
        <v/>
      </c>
      <c r="AJ85" s="24">
        <f t="shared" si="88"/>
        <v>11.341616224497557</v>
      </c>
      <c r="AK85" s="41" t="str">
        <f t="shared" si="76"/>
        <v/>
      </c>
    </row>
    <row r="86" spans="1:37" ht="14.25" customHeight="1" x14ac:dyDescent="0.2">
      <c r="A86" s="578"/>
      <c r="B86" s="30" t="s">
        <v>339</v>
      </c>
      <c r="C86" s="30"/>
      <c r="D86" s="29"/>
      <c r="E86" s="30">
        <v>12</v>
      </c>
      <c r="F86" s="29">
        <f>POWER(2,43)</f>
        <v>8796093022208</v>
      </c>
      <c r="G86" s="108" t="str">
        <f t="shared" si="91"/>
        <v>0;EX08X990X0X8</v>
      </c>
      <c r="H86" s="108"/>
      <c r="I86" s="286"/>
      <c r="J86" s="43">
        <v>12</v>
      </c>
      <c r="K86" s="62">
        <f t="shared" si="63"/>
        <v>0.98654036854514426</v>
      </c>
      <c r="L86" s="44" t="str">
        <f>INDEX(powers!$H$2:$H$75,33+J86)</f>
        <v>cosmic hyper</v>
      </c>
      <c r="M86" s="40" t="str">
        <f t="shared" si="64"/>
        <v>0</v>
      </c>
      <c r="N86" s="24">
        <f t="shared" si="77"/>
        <v>11.838484422541731</v>
      </c>
      <c r="O86" s="41" t="str">
        <f t="shared" si="65"/>
        <v>E</v>
      </c>
      <c r="P86" s="24">
        <f t="shared" si="78"/>
        <v>10.061813070500769</v>
      </c>
      <c r="Q86" s="41" t="str">
        <f t="shared" si="66"/>
        <v>X</v>
      </c>
      <c r="R86" s="24">
        <f t="shared" si="79"/>
        <v>0.74175684600922409</v>
      </c>
      <c r="S86" s="41" t="str">
        <f t="shared" si="67"/>
        <v>0</v>
      </c>
      <c r="T86" s="24">
        <f t="shared" si="80"/>
        <v>8.9010821521106891</v>
      </c>
      <c r="U86" s="41" t="str">
        <f t="shared" si="68"/>
        <v>8</v>
      </c>
      <c r="V86" s="24">
        <f t="shared" si="81"/>
        <v>10.812985825328269</v>
      </c>
      <c r="W86" s="41" t="str">
        <f t="shared" si="69"/>
        <v>X</v>
      </c>
      <c r="X86" s="24">
        <f t="shared" si="82"/>
        <v>9.7558299039392296</v>
      </c>
      <c r="Y86" s="41" t="str">
        <f t="shared" si="70"/>
        <v>9</v>
      </c>
      <c r="Z86" s="24">
        <f t="shared" si="83"/>
        <v>9.0699588472707546</v>
      </c>
      <c r="AA86" s="41" t="str">
        <f t="shared" si="71"/>
        <v>9</v>
      </c>
      <c r="AB86" s="24">
        <f t="shared" si="84"/>
        <v>0.83950616724905558</v>
      </c>
      <c r="AC86" s="41" t="str">
        <f t="shared" si="72"/>
        <v>0</v>
      </c>
      <c r="AD86" s="24">
        <f t="shared" si="85"/>
        <v>10.074074006988667</v>
      </c>
      <c r="AE86" s="41" t="str">
        <f t="shared" si="73"/>
        <v>X</v>
      </c>
      <c r="AF86" s="24">
        <f t="shared" si="86"/>
        <v>0.88888808386400342</v>
      </c>
      <c r="AG86" s="41" t="str">
        <f t="shared" si="74"/>
        <v>0</v>
      </c>
      <c r="AH86" s="24">
        <f t="shared" si="87"/>
        <v>10.666657006368041</v>
      </c>
      <c r="AI86" s="41" t="str">
        <f t="shared" si="75"/>
        <v>X</v>
      </c>
      <c r="AJ86" s="24">
        <f t="shared" si="88"/>
        <v>7.9998840764164925</v>
      </c>
      <c r="AK86" s="41" t="str">
        <f t="shared" si="76"/>
        <v>8</v>
      </c>
    </row>
    <row r="87" spans="1:37" ht="14.25" customHeight="1" x14ac:dyDescent="0.2">
      <c r="A87" s="578"/>
      <c r="B87" s="30" t="s">
        <v>645</v>
      </c>
      <c r="C87" s="30"/>
      <c r="D87" s="29"/>
      <c r="E87" s="30">
        <v>12</v>
      </c>
      <c r="F87" s="29">
        <f>POWER(12,16)/POWER(2,48)</f>
        <v>656.84083557128906</v>
      </c>
      <c r="G87" s="108" t="str">
        <f t="shared" si="91"/>
        <v>4;68X10E696900</v>
      </c>
      <c r="H87" s="108"/>
      <c r="I87" s="286"/>
      <c r="J87" s="43">
        <v>2</v>
      </c>
      <c r="K87" s="62">
        <f t="shared" si="63"/>
        <v>4.5613946914672852</v>
      </c>
      <c r="L87" s="44" t="str">
        <f>INDEX(powers!$H$2:$H$75,33+J87)</f>
        <v>gross</v>
      </c>
      <c r="M87" s="40" t="str">
        <f t="shared" si="64"/>
        <v>4</v>
      </c>
      <c r="N87" s="24">
        <f t="shared" si="77"/>
        <v>6.7367362976074219</v>
      </c>
      <c r="O87" s="41" t="str">
        <f t="shared" si="65"/>
        <v>6</v>
      </c>
      <c r="P87" s="24">
        <f t="shared" si="78"/>
        <v>8.8408355712890625</v>
      </c>
      <c r="Q87" s="41" t="str">
        <f t="shared" si="66"/>
        <v>8</v>
      </c>
      <c r="R87" s="24">
        <f t="shared" si="79"/>
        <v>10.09002685546875</v>
      </c>
      <c r="S87" s="41" t="str">
        <f t="shared" si="67"/>
        <v>X</v>
      </c>
      <c r="T87" s="24">
        <f t="shared" si="80"/>
        <v>1.080322265625</v>
      </c>
      <c r="U87" s="41" t="str">
        <f t="shared" si="68"/>
        <v>1</v>
      </c>
      <c r="V87" s="24">
        <f t="shared" si="81"/>
        <v>0.9638671875</v>
      </c>
      <c r="W87" s="41" t="str">
        <f t="shared" si="69"/>
        <v>0</v>
      </c>
      <c r="X87" s="24">
        <f t="shared" si="82"/>
        <v>11.56640625</v>
      </c>
      <c r="Y87" s="41" t="str">
        <f t="shared" si="70"/>
        <v>E</v>
      </c>
      <c r="Z87" s="24">
        <f t="shared" si="83"/>
        <v>6.796875</v>
      </c>
      <c r="AA87" s="41" t="str">
        <f t="shared" si="71"/>
        <v>6</v>
      </c>
      <c r="AB87" s="24">
        <f t="shared" si="84"/>
        <v>9.5625</v>
      </c>
      <c r="AC87" s="41" t="str">
        <f t="shared" si="72"/>
        <v>9</v>
      </c>
      <c r="AD87" s="24">
        <f t="shared" si="85"/>
        <v>6.75</v>
      </c>
      <c r="AE87" s="41" t="str">
        <f t="shared" si="73"/>
        <v>6</v>
      </c>
      <c r="AF87" s="24">
        <f t="shared" si="86"/>
        <v>9</v>
      </c>
      <c r="AG87" s="41" t="str">
        <f t="shared" si="74"/>
        <v>9</v>
      </c>
      <c r="AH87" s="24">
        <f t="shared" si="87"/>
        <v>0</v>
      </c>
      <c r="AI87" s="41" t="str">
        <f t="shared" si="75"/>
        <v>0</v>
      </c>
      <c r="AJ87" s="24">
        <f t="shared" si="88"/>
        <v>0</v>
      </c>
      <c r="AK87" s="41" t="str">
        <f t="shared" si="76"/>
        <v>0</v>
      </c>
    </row>
    <row r="88" spans="1:37" ht="14.25" customHeight="1" thickBot="1" x14ac:dyDescent="0.25">
      <c r="A88" s="579"/>
      <c r="B88" s="33" t="s">
        <v>340</v>
      </c>
      <c r="C88" s="33"/>
      <c r="D88" s="32"/>
      <c r="E88" s="33">
        <v>12</v>
      </c>
      <c r="F88" s="32">
        <f>POWER(2,-17)*(2*PI())</f>
        <v>4.7936899621426287E-5</v>
      </c>
      <c r="G88" s="47" t="str">
        <f t="shared" si="91"/>
        <v>0;EE17EX582521</v>
      </c>
      <c r="H88" s="47"/>
      <c r="I88" s="287"/>
      <c r="J88" s="48">
        <v>-4</v>
      </c>
      <c r="K88" s="63">
        <f t="shared" si="63"/>
        <v>0.99401955054989555</v>
      </c>
      <c r="L88" s="49" t="str">
        <f>INDEX(powers!$H$2:$H$75,33+J88)</f>
        <v>sub</v>
      </c>
      <c r="M88" s="40" t="str">
        <f t="shared" si="64"/>
        <v>0</v>
      </c>
      <c r="N88" s="24">
        <f t="shared" si="77"/>
        <v>11.928234606598746</v>
      </c>
      <c r="O88" s="41" t="str">
        <f t="shared" si="65"/>
        <v>E</v>
      </c>
      <c r="P88" s="24">
        <f t="shared" si="78"/>
        <v>11.138815279184954</v>
      </c>
      <c r="Q88" s="41" t="str">
        <f t="shared" si="66"/>
        <v>E</v>
      </c>
      <c r="R88" s="24">
        <f t="shared" si="79"/>
        <v>1.6657833502194421</v>
      </c>
      <c r="S88" s="41" t="str">
        <f t="shared" si="67"/>
        <v>1</v>
      </c>
      <c r="T88" s="24">
        <f t="shared" si="80"/>
        <v>7.9894002026333055</v>
      </c>
      <c r="U88" s="41" t="str">
        <f t="shared" si="68"/>
        <v>7</v>
      </c>
      <c r="V88" s="24">
        <f t="shared" si="81"/>
        <v>11.872802431599666</v>
      </c>
      <c r="W88" s="41" t="str">
        <f t="shared" si="69"/>
        <v>E</v>
      </c>
      <c r="X88" s="24">
        <f t="shared" si="82"/>
        <v>10.473629179195996</v>
      </c>
      <c r="Y88" s="41" t="str">
        <f t="shared" si="70"/>
        <v>X</v>
      </c>
      <c r="Z88" s="24">
        <f t="shared" si="83"/>
        <v>5.6835501503519481</v>
      </c>
      <c r="AA88" s="41" t="str">
        <f t="shared" si="71"/>
        <v>5</v>
      </c>
      <c r="AB88" s="24">
        <f t="shared" si="84"/>
        <v>8.2026018042233773</v>
      </c>
      <c r="AC88" s="41" t="str">
        <f t="shared" si="72"/>
        <v>8</v>
      </c>
      <c r="AD88" s="24">
        <f t="shared" si="85"/>
        <v>2.4312216506805271</v>
      </c>
      <c r="AE88" s="41" t="str">
        <f t="shared" si="73"/>
        <v>2</v>
      </c>
      <c r="AF88" s="24">
        <f t="shared" si="86"/>
        <v>5.1746598081663251</v>
      </c>
      <c r="AG88" s="41" t="str">
        <f t="shared" si="74"/>
        <v>5</v>
      </c>
      <c r="AH88" s="24">
        <f t="shared" si="87"/>
        <v>2.0959176979959011</v>
      </c>
      <c r="AI88" s="41" t="str">
        <f t="shared" si="75"/>
        <v>2</v>
      </c>
      <c r="AJ88" s="24">
        <f t="shared" si="88"/>
        <v>1.1510123759508133</v>
      </c>
      <c r="AK88" s="41" t="str">
        <f t="shared" si="76"/>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2987092.2978457538</v>
      </c>
      <c r="G90" s="37" t="str">
        <f t="shared" ref="G90" si="92">M90&amp;";"&amp;O90&amp;Q90&amp;S90&amp;U90&amp;W90&amp;Y90&amp;AA90&amp;AC90&amp;AE90&amp;AG90&amp;AI90&amp;AK90</f>
        <v>1;00078436X817</v>
      </c>
      <c r="H90" s="37"/>
      <c r="I90" s="285"/>
      <c r="J90" s="38">
        <v>6</v>
      </c>
      <c r="K90" s="61">
        <f>F90/POWER(12,J90)</f>
        <v>1.0003711667061022</v>
      </c>
      <c r="L90" s="39" t="str">
        <f>INDEX(powers!$H$2:$H$75,33+J90)</f>
        <v>dino cosmic</v>
      </c>
      <c r="M90" s="40" t="str">
        <f t="shared" ref="M90" si="93">IF($E90&gt;=M$31,MID($J$31,IF($E90&gt;M$31,INT(K90),ROUND(K90,0))+1,1),"")</f>
        <v>1</v>
      </c>
      <c r="N90" s="24">
        <f t="shared" ref="N90" si="94">(K90-INT(K90))*12</f>
        <v>4.4540004732258609E-3</v>
      </c>
      <c r="O90" s="41" t="str">
        <f t="shared" ref="O90" si="95">IF($E90&gt;=O$31,MID($J$31,IF($E90&gt;O$31,INT(N90),ROUND(N90,0))+1,1),"")</f>
        <v>0</v>
      </c>
      <c r="P90" s="24">
        <f t="shared" ref="P90" si="96">(N90-INT(N90))*12</f>
        <v>5.3448005678710331E-2</v>
      </c>
      <c r="Q90" s="41" t="str">
        <f t="shared" ref="Q90" si="97">IF($E90&gt;=Q$31,MID($J$31,IF($E90&gt;Q$31,INT(P90),ROUND(P90,0))+1,1),"")</f>
        <v>0</v>
      </c>
      <c r="R90" s="24">
        <f t="shared" ref="R90" si="98">(P90-INT(P90))*12</f>
        <v>0.64137606814452397</v>
      </c>
      <c r="S90" s="41" t="str">
        <f t="shared" ref="S90" si="99">IF($E90&gt;=S$31,MID($J$31,IF($E90&gt;S$31,INT(R90),ROUND(R90,0))+1,1),"")</f>
        <v>0</v>
      </c>
      <c r="T90" s="24">
        <f t="shared" ref="T90" si="100">(R90-INT(R90))*12</f>
        <v>7.6965128177342876</v>
      </c>
      <c r="U90" s="41" t="str">
        <f t="shared" ref="U90" si="101">IF($E90&gt;=U$31,MID($J$31,IF($E90&gt;U$31,INT(T90),ROUND(T90,0))+1,1),"")</f>
        <v>7</v>
      </c>
      <c r="V90" s="24">
        <f t="shared" ref="V90" si="102">(T90-INT(T90))*12</f>
        <v>8.3581538128114516</v>
      </c>
      <c r="W90" s="41" t="str">
        <f t="shared" ref="W90" si="103">IF($E90&gt;=W$31,MID($J$31,IF($E90&gt;W$31,INT(V90),ROUND(V90,0))+1,1),"")</f>
        <v>8</v>
      </c>
      <c r="X90" s="24">
        <f t="shared" ref="X90" si="104">(V90-INT(V90))*12</f>
        <v>4.2978457537374197</v>
      </c>
      <c r="Y90" s="41" t="str">
        <f t="shared" ref="Y90" si="105">IF($E90&gt;=Y$31,MID($J$31,IF($E90&gt;Y$31,INT(X90),ROUND(X90,0))+1,1),"")</f>
        <v>4</v>
      </c>
      <c r="Z90" s="24">
        <f t="shared" ref="Z90" si="106">(X90-INT(X90))*12</f>
        <v>3.5741490448490367</v>
      </c>
      <c r="AA90" s="41" t="str">
        <f t="shared" ref="AA90" si="107">IF($E90&gt;=AA$31,MID($J$31,IF($E90&gt;AA$31,INT(Z90),ROUND(Z90,0))+1,1),"")</f>
        <v>3</v>
      </c>
      <c r="AB90" s="24">
        <f t="shared" ref="AB90" si="108">(Z90-INT(Z90))*12</f>
        <v>6.8897885381884407</v>
      </c>
      <c r="AC90" s="41" t="str">
        <f t="shared" ref="AC90" si="109">IF($E90&gt;=AC$31,MID($J$31,IF($E90&gt;AC$31,INT(AB90),ROUND(AB90,0))+1,1),"")</f>
        <v>6</v>
      </c>
      <c r="AD90" s="24">
        <f t="shared" ref="AD90" si="110">(AB90-INT(AB90))*12</f>
        <v>10.677462458261289</v>
      </c>
      <c r="AE90" s="41" t="str">
        <f t="shared" ref="AE90" si="111">IF($E90&gt;=AE$31,MID($J$31,IF($E90&gt;AE$31,INT(AD90),ROUND(AD90,0))+1,1),"")</f>
        <v>X</v>
      </c>
      <c r="AF90" s="24">
        <f t="shared" ref="AF90" si="112">(AD90-INT(AD90))*12</f>
        <v>8.1295494991354644</v>
      </c>
      <c r="AG90" s="41" t="str">
        <f t="shared" ref="AG90" si="113">IF($E90&gt;=AG$31,MID($J$31,IF($E90&gt;AG$31,INT(AF90),ROUND(AF90,0))+1,1),"")</f>
        <v>8</v>
      </c>
      <c r="AH90" s="24">
        <f t="shared" ref="AH90" si="114">(AF90-INT(AF90))*12</f>
        <v>1.5545939896255732</v>
      </c>
      <c r="AI90" s="41" t="str">
        <f t="shared" ref="AI90" si="115">IF($E90&gt;=AI$31,MID($J$31,IF($E90&gt;AI$31,INT(AH90),ROUND(AH90,0))+1,1),"")</f>
        <v>1</v>
      </c>
      <c r="AJ90" s="24">
        <f t="shared" ref="AJ90" si="116">(AH90-INT(AH90))*12</f>
        <v>6.6551278755068779</v>
      </c>
      <c r="AK90" s="41" t="str">
        <f t="shared" ref="AK90" si="117">IF($E90&gt;=AK$31,MID($J$31,IF($E90&gt;AK$31,INT(AJ90),ROUND(AJ90,0))+1,1),"")</f>
        <v>7</v>
      </c>
    </row>
    <row r="91" spans="1:37" x14ac:dyDescent="0.2">
      <c r="B91" s="137" t="s">
        <v>265</v>
      </c>
      <c r="D91" s="14">
        <f>1/(1+0.00054461702177)</f>
        <v>0.99945567942448077</v>
      </c>
    </row>
    <row r="92" spans="1:37" x14ac:dyDescent="0.2">
      <c r="B92" s="3" t="s">
        <v>1529</v>
      </c>
      <c r="C92" s="3"/>
      <c r="D92" s="21">
        <f>R23</f>
        <v>0.9687323029803051</v>
      </c>
      <c r="E92" s="8">
        <v>7</v>
      </c>
      <c r="F92" s="21">
        <f>D92</f>
        <v>0.9687323029803051</v>
      </c>
      <c r="G92" s="37" t="str">
        <f t="shared" ref="G92:G93" si="118">M92&amp;";"&amp;O92&amp;Q92&amp;S92&amp;U92&amp;W92&amp;Y92&amp;AA92&amp;AC92&amp;AE92&amp;AG92&amp;AI92&amp;AK92</f>
        <v>0;E75E772</v>
      </c>
      <c r="H92" s="37"/>
      <c r="I92" s="285"/>
      <c r="J92" s="38">
        <v>0</v>
      </c>
      <c r="K92" s="61">
        <f>F92/POWER(12,J92)</f>
        <v>0.9687323029803051</v>
      </c>
      <c r="L92" s="39" t="str">
        <f>INDEX(powers!$H$2:$H$75,33+J92)</f>
        <v xml:space="preserve"> </v>
      </c>
      <c r="M92" s="40" t="str">
        <f t="shared" ref="M92" si="119">IF($E92&gt;=M$31,MID($J$31,IF($E92&gt;M$31,INT(K92),ROUND(K92,0))+1,1),"")</f>
        <v>0</v>
      </c>
      <c r="N92" s="24">
        <f t="shared" ref="N92:N93" si="120">(K92-INT(K92))*12</f>
        <v>11.624787635763662</v>
      </c>
      <c r="O92" s="41" t="str">
        <f t="shared" ref="O92" si="121">IF($E92&gt;=O$31,MID($J$31,IF($E92&gt;O$31,INT(N92),ROUND(N92,0))+1,1),"")</f>
        <v>E</v>
      </c>
      <c r="P92" s="24">
        <f t="shared" ref="P92:P93" si="122">(N92-INT(N92))*12</f>
        <v>7.4974516291639404</v>
      </c>
      <c r="Q92" s="41" t="str">
        <f t="shared" ref="Q92" si="123">IF($E92&gt;=Q$31,MID($J$31,IF($E92&gt;Q$31,INT(P92),ROUND(P92,0))+1,1),"")</f>
        <v>7</v>
      </c>
      <c r="R92" s="24">
        <f t="shared" ref="R92:R93" si="124">(P92-INT(P92))*12</f>
        <v>5.9694195499672844</v>
      </c>
      <c r="S92" s="41" t="str">
        <f t="shared" ref="S92" si="125">IF($E92&gt;=S$31,MID($J$31,IF($E92&gt;S$31,INT(R92),ROUND(R92,0))+1,1),"")</f>
        <v>5</v>
      </c>
      <c r="T92" s="24">
        <f t="shared" ref="T92:T93" si="126">(R92-INT(R92))*12</f>
        <v>11.633034599607413</v>
      </c>
      <c r="U92" s="41" t="str">
        <f t="shared" ref="U92" si="127">IF($E92&gt;=U$31,MID($J$31,IF($E92&gt;U$31,INT(T92),ROUND(T92,0))+1,1),"")</f>
        <v>E</v>
      </c>
      <c r="V92" s="24">
        <f t="shared" ref="V92:V93" si="128">(T92-INT(T92))*12</f>
        <v>7.5964151952889551</v>
      </c>
      <c r="W92" s="41" t="str">
        <f t="shared" ref="W92" si="129">IF($E92&gt;=W$31,MID($J$31,IF($E92&gt;W$31,INT(V92),ROUND(V92,0))+1,1),"")</f>
        <v>7</v>
      </c>
      <c r="X92" s="24">
        <f t="shared" ref="X92:X93" si="130">(V92-INT(V92))*12</f>
        <v>7.1569823434674618</v>
      </c>
      <c r="Y92" s="41" t="str">
        <f t="shared" ref="Y92" si="131">IF($E92&gt;=Y$31,MID($J$31,IF($E92&gt;Y$31,INT(X92),ROUND(X92,0))+1,1),"")</f>
        <v>7</v>
      </c>
      <c r="Z92" s="24">
        <f t="shared" ref="Z92:Z93" si="132">(X92-INT(X92))*12</f>
        <v>1.8837881216095411</v>
      </c>
      <c r="AA92" s="41" t="str">
        <f t="shared" ref="AA92" si="133">IF($E92&gt;=AA$31,MID($J$31,IF($E92&gt;AA$31,INT(Z92),ROUND(Z92,0))+1,1),"")</f>
        <v>2</v>
      </c>
      <c r="AB92" s="24">
        <f t="shared" ref="AB92:AB93" si="134">(Z92-INT(Z92))*12</f>
        <v>10.605457459314493</v>
      </c>
      <c r="AC92" s="41" t="str">
        <f t="shared" ref="AC92" si="135">IF($E92&gt;=AC$31,MID($J$31,IF($E92&gt;AC$31,INT(AB92),ROUND(AB92,0))+1,1),"")</f>
        <v/>
      </c>
      <c r="AD92" s="24">
        <f t="shared" ref="AD92:AD93" si="136">(AB92-INT(AB92))*12</f>
        <v>7.2654895117739215</v>
      </c>
      <c r="AE92" s="41" t="str">
        <f t="shared" ref="AE92" si="137">IF($E92&gt;=AE$31,MID($J$31,IF($E92&gt;AE$31,INT(AD92),ROUND(AD92,0))+1,1),"")</f>
        <v/>
      </c>
      <c r="AF92" s="24">
        <f t="shared" ref="AF92:AF93" si="138">(AD92-INT(AD92))*12</f>
        <v>3.1858741412870586</v>
      </c>
      <c r="AG92" s="41" t="str">
        <f t="shared" ref="AG92" si="139">IF($E92&gt;=AG$31,MID($J$31,IF($E92&gt;AG$31,INT(AF92),ROUND(AF92,0))+1,1),"")</f>
        <v/>
      </c>
      <c r="AH92" s="24">
        <f t="shared" ref="AH92:AH93" si="140">(AF92-INT(AF92))*12</f>
        <v>2.2304896954447031</v>
      </c>
      <c r="AI92" s="41" t="str">
        <f t="shared" ref="AI92" si="141">IF($E92&gt;=AI$31,MID($J$31,IF($E92&gt;AI$31,INT(AH92),ROUND(AH92,0))+1,1),"")</f>
        <v/>
      </c>
      <c r="AJ92" s="24">
        <f t="shared" ref="AJ92:AJ93" si="142">(AH92-INT(AH92))*12</f>
        <v>2.7658763453364372</v>
      </c>
      <c r="AK92" s="41" t="str">
        <f t="shared" ref="AK92" si="143">IF($E92&gt;=AK$31,MID($J$31,IF($E92&gt;AK$31,INT(AJ92),ROUND(AJ92,0))+1,1),"")</f>
        <v/>
      </c>
    </row>
    <row r="93" spans="1:37" x14ac:dyDescent="0.2">
      <c r="B93" s="3" t="s">
        <v>725</v>
      </c>
      <c r="C93" s="3"/>
      <c r="D93" s="21">
        <v>540000000000000</v>
      </c>
      <c r="E93" s="8">
        <v>7</v>
      </c>
      <c r="F93" s="21">
        <f>D93/F22</f>
        <v>210937500000000</v>
      </c>
      <c r="G93" s="37" t="str">
        <f t="shared" si="118"/>
        <v>1;E7X9126</v>
      </c>
      <c r="H93" s="37"/>
      <c r="I93" s="285"/>
      <c r="J93" s="38">
        <v>13</v>
      </c>
      <c r="K93" s="61">
        <f>F93/POWER(12,J93)</f>
        <v>1.971503697385812</v>
      </c>
      <c r="L93" s="39" t="str">
        <f>INDEX(powers!$H$2:$H$75,33+J93)</f>
        <v>terno di-cosmic</v>
      </c>
      <c r="M93" s="40" t="str">
        <f>IF($E93&gt;=M$31,MID($J$31,IF($E93&gt;M$31,INT(K93),ROUND(K93,0))+1,1),"")</f>
        <v>1</v>
      </c>
      <c r="N93" s="24">
        <f t="shared" si="120"/>
        <v>11.658044368629744</v>
      </c>
      <c r="O93" s="41" t="str">
        <f>IF($E93&gt;=O$31,MID($J$31,IF($E93&gt;O$31,INT(N93),ROUND(N93,0))+1,1),"")</f>
        <v>E</v>
      </c>
      <c r="P93" s="24">
        <f t="shared" si="122"/>
        <v>7.896532423556927</v>
      </c>
      <c r="Q93" s="41" t="str">
        <f>IF($E93&gt;=Q$31,MID($J$31,IF($E93&gt;Q$31,INT(P93),ROUND(P93,0))+1,1),"")</f>
        <v>7</v>
      </c>
      <c r="R93" s="24">
        <f t="shared" si="124"/>
        <v>10.758389082683124</v>
      </c>
      <c r="S93" s="41" t="str">
        <f>IF($E93&gt;=S$31,MID($J$31,IF($E93&gt;S$31,INT(R93),ROUND(R93,0))+1,1),"")</f>
        <v>X</v>
      </c>
      <c r="T93" s="24">
        <f t="shared" si="126"/>
        <v>9.1006689921974839</v>
      </c>
      <c r="U93" s="41" t="str">
        <f>IF($E93&gt;=U$31,MID($J$31,IF($E93&gt;U$31,INT(T93),ROUND(T93,0))+1,1),"")</f>
        <v>9</v>
      </c>
      <c r="V93" s="24">
        <f t="shared" si="128"/>
        <v>1.2080279063698072</v>
      </c>
      <c r="W93" s="41" t="str">
        <f>IF($E93&gt;=W$31,MID($J$31,IF($E93&gt;W$31,INT(V93),ROUND(V93,0))+1,1),"")</f>
        <v>1</v>
      </c>
      <c r="X93" s="24">
        <f t="shared" si="130"/>
        <v>2.496334876437686</v>
      </c>
      <c r="Y93" s="41" t="str">
        <f>IF($E93&gt;=Y$31,MID($J$31,IF($E93&gt;Y$31,INT(X93),ROUND(X93,0))+1,1),"")</f>
        <v>2</v>
      </c>
      <c r="Z93" s="24">
        <f t="shared" si="132"/>
        <v>5.9560185172522324</v>
      </c>
      <c r="AA93" s="41" t="str">
        <f>IF($E93&gt;=AA$31,MID($J$31,IF($E93&gt;AA$31,INT(Z93),ROUND(Z93,0))+1,1),"")</f>
        <v>6</v>
      </c>
      <c r="AB93" s="24">
        <f t="shared" si="134"/>
        <v>11.472222207026789</v>
      </c>
      <c r="AC93" s="41" t="str">
        <f>IF($E93&gt;=AC$31,MID($J$31,IF($E93&gt;AC$31,INT(AB93),ROUND(AB93,0))+1,1),"")</f>
        <v/>
      </c>
      <c r="AD93" s="24">
        <f t="shared" si="136"/>
        <v>5.6666664843214676</v>
      </c>
      <c r="AE93" s="41" t="str">
        <f>IF($E93&gt;=AE$31,MID($J$31,IF($E93&gt;AE$31,INT(AD93),ROUND(AD93,0))+1,1),"")</f>
        <v/>
      </c>
      <c r="AF93" s="24">
        <f t="shared" si="138"/>
        <v>7.9999978118576109</v>
      </c>
      <c r="AG93" s="41" t="str">
        <f>IF($E93&gt;=AG$31,MID($J$31,IF($E93&gt;AG$31,INT(AF93),ROUND(AF93,0))+1,1),"")</f>
        <v/>
      </c>
      <c r="AH93" s="24">
        <f t="shared" si="140"/>
        <v>11.999973742291331</v>
      </c>
      <c r="AI93" s="41" t="str">
        <f>IF($E93&gt;=AI$31,MID($J$31,IF($E93&gt;AI$31,INT(AH93),ROUND(AH93,0))+1,1),"")</f>
        <v/>
      </c>
      <c r="AJ93" s="24">
        <f t="shared" si="142"/>
        <v>11.999684907495975</v>
      </c>
      <c r="AK93" s="41" t="str">
        <f>IF($E93&gt;=AK$31,MID($J$31,IF($E93&gt;AK$31,INT(AJ93),ROUND(AJ93,0))+1,1),"")</f>
        <v/>
      </c>
    </row>
    <row r="94" spans="1:37" x14ac:dyDescent="0.2">
      <c r="B94" s="14" t="s">
        <v>1508</v>
      </c>
      <c r="D94" s="193">
        <f>F22*F94</f>
        <v>547805211540848.63</v>
      </c>
      <c r="F94" s="193">
        <f>G94*POWER(12,J94)</f>
        <v>213986410758144</v>
      </c>
      <c r="G94" s="209">
        <v>2</v>
      </c>
      <c r="J94" s="14">
        <v>13</v>
      </c>
      <c r="K94" s="79"/>
      <c r="L94" s="79"/>
      <c r="M94" s="79"/>
    </row>
    <row r="95" spans="1:37" ht="12" thickBot="1" x14ac:dyDescent="0.25">
      <c r="K95" s="79"/>
      <c r="L95" s="79"/>
      <c r="M95" s="79"/>
    </row>
    <row r="96" spans="1:37" ht="12" thickBot="1" x14ac:dyDescent="0.25">
      <c r="B96" s="68" t="s">
        <v>115</v>
      </c>
      <c r="C96" s="69"/>
      <c r="D96" s="70"/>
      <c r="E96" s="69">
        <v>9</v>
      </c>
      <c r="F96" s="70">
        <f>(365+31/128)/(POWER(3,6)/2)</f>
        <v>1.0020361796982167</v>
      </c>
      <c r="G96" s="71" t="str">
        <f t="shared" ref="G96" si="144">M96&amp;";"&amp;O96&amp;Q96&amp;S96&amp;U96&amp;W96&amp;Y96&amp;AA96&amp;AC96&amp;AE96&amp;AG96&amp;AI96&amp;AK96</f>
        <v>1;003628000</v>
      </c>
      <c r="H96" s="71"/>
      <c r="I96" s="298"/>
      <c r="J96" s="72">
        <v>0</v>
      </c>
      <c r="K96" s="73">
        <f>F96/POWER(12,J96)+0.00000000000001</f>
        <v>1.0020361796982267</v>
      </c>
      <c r="L96" s="74" t="str">
        <f>INDEX(powers!$H$2:$H$75,33+J96)</f>
        <v xml:space="preserve"> </v>
      </c>
      <c r="M96" s="75" t="str">
        <f t="shared" ref="M96" si="145">IF($E96&gt;=M$31,MID($J$31,IF($E96&gt;M$31,INT(K96),ROUND(K96,0))+1,1),"")</f>
        <v>1</v>
      </c>
      <c r="N96" s="76">
        <f>(K96-INT(K96))*12</f>
        <v>2.443415637872004E-2</v>
      </c>
      <c r="O96" s="77" t="str">
        <f t="shared" ref="O96" si="146">IF($E96&gt;=O$31,MID($J$31,IF($E96&gt;O$31,INT(N96),ROUND(N96,0))+1,1),"")</f>
        <v>0</v>
      </c>
      <c r="P96" s="76">
        <f>(N96-INT(N96))*12</f>
        <v>0.29320987654464048</v>
      </c>
      <c r="Q96" s="77" t="str">
        <f t="shared" ref="Q96" si="147">IF($E96&gt;=Q$31,MID($J$31,IF($E96&gt;Q$31,INT(P96),ROUND(P96,0))+1,1),"")</f>
        <v>0</v>
      </c>
      <c r="R96" s="76">
        <f>(P96-INT(P96))*12</f>
        <v>3.5185185185356858</v>
      </c>
      <c r="S96" s="77" t="str">
        <f t="shared" ref="S96" si="148">IF($E96&gt;=S$31,MID($J$31,IF($E96&gt;S$31,INT(R96),ROUND(R96,0))+1,1),"")</f>
        <v>3</v>
      </c>
      <c r="T96" s="76">
        <f>(R96-INT(R96))*12</f>
        <v>6.2222222224282291</v>
      </c>
      <c r="U96" s="77" t="str">
        <f t="shared" ref="U96" si="149">IF($E96&gt;=U$31,MID($J$31,IF($E96&gt;U$31,INT(T96),ROUND(T96,0))+1,1),"")</f>
        <v>6</v>
      </c>
      <c r="V96" s="76">
        <f>(T96-INT(T96))*12</f>
        <v>2.6666666691387491</v>
      </c>
      <c r="W96" s="77" t="str">
        <f t="shared" ref="W96" si="150">IF($E96&gt;=W$31,MID($J$31,IF($E96&gt;W$31,INT(V96),ROUND(V96,0))+1,1),"")</f>
        <v>2</v>
      </c>
      <c r="X96" s="76">
        <f>(V96-INT(V96))*12</f>
        <v>8.0000000296649887</v>
      </c>
      <c r="Y96" s="77" t="str">
        <f t="shared" ref="Y96" si="151">IF($E96&gt;=Y$31,MID($J$31,IF($E96&gt;Y$31,INT(X96),ROUND(X96,0))+1,1),"")</f>
        <v>8</v>
      </c>
      <c r="Z96" s="76">
        <f>(X96-INT(X96))*12</f>
        <v>3.559798642527312E-7</v>
      </c>
      <c r="AA96" s="77" t="str">
        <f t="shared" ref="AA96" si="152">IF($E96&gt;=AA$31,MID($J$31,IF($E96&gt;AA$31,INT(Z96),ROUND(Z96,0))+1,1),"")</f>
        <v>0</v>
      </c>
      <c r="AB96" s="76">
        <f>(Z96-INT(Z96))*12</f>
        <v>4.2717583710327744E-6</v>
      </c>
      <c r="AC96" s="77" t="str">
        <f t="shared" ref="AC96" si="153">IF($E96&gt;=AC$31,MID($J$31,IF($E96&gt;AC$31,INT(AB96),ROUND(AB96,0))+1,1),"")</f>
        <v>0</v>
      </c>
      <c r="AD96" s="76">
        <f>(AB96-INT(AB96))*12</f>
        <v>5.1261100452393293E-5</v>
      </c>
      <c r="AE96" s="77" t="str">
        <f t="shared" ref="AE96" si="154">IF($E96&gt;=AE$31,MID($J$31,IF($E96&gt;AE$31,INT(AD96),ROUND(AD96,0))+1,1),"")</f>
        <v>0</v>
      </c>
      <c r="AF96" s="76">
        <f>(AD96-INT(AD96))*12</f>
        <v>6.1513320542871952E-4</v>
      </c>
      <c r="AG96" s="77" t="str">
        <f t="shared" ref="AG96" si="155">IF($E96&gt;=AG$31,MID($J$31,IF($E96&gt;AG$31,INT(AF96),ROUND(AF96,0))+1,1),"")</f>
        <v/>
      </c>
      <c r="AH96" s="76">
        <f>(AF96-INT(AF96))*12</f>
        <v>7.3815984651446342E-3</v>
      </c>
      <c r="AI96" s="77" t="str">
        <f t="shared" ref="AI96" si="156">IF($E96&gt;=AI$31,MID($J$31,IF($E96&gt;AI$31,INT(AH96),ROUND(AH96,0))+1,1),"")</f>
        <v/>
      </c>
      <c r="AJ96" s="76">
        <f>(AH96-INT(AH96))*12</f>
        <v>8.8579181581735611E-2</v>
      </c>
      <c r="AK96" s="78" t="str">
        <f t="shared" ref="AK96" si="157">IF($E96&gt;=AK$31,MID($J$31,IF($E96&gt;AK$31,INT(AJ96),ROUND(AJ96,0))+1,1),"")</f>
        <v/>
      </c>
    </row>
    <row r="97" spans="9:9" x14ac:dyDescent="0.2">
      <c r="I97" s="14"/>
    </row>
    <row r="98" spans="9:9" x14ac:dyDescent="0.2">
      <c r="I98" s="14"/>
    </row>
    <row r="99" spans="9:9" x14ac:dyDescent="0.2">
      <c r="I99" s="14"/>
    </row>
    <row r="100" spans="9:9" x14ac:dyDescent="0.2">
      <c r="I100" s="14"/>
    </row>
    <row r="101" spans="9:9" x14ac:dyDescent="0.2">
      <c r="I101" s="14"/>
    </row>
    <row r="102" spans="9:9" x14ac:dyDescent="0.2">
      <c r="I102" s="14"/>
    </row>
    <row r="103" spans="9:9" x14ac:dyDescent="0.2">
      <c r="I103" s="14"/>
    </row>
    <row r="104" spans="9:9" x14ac:dyDescent="0.2">
      <c r="I104" s="14"/>
    </row>
    <row r="105" spans="9:9" x14ac:dyDescent="0.2">
      <c r="I105" s="14"/>
    </row>
    <row r="106" spans="9:9" x14ac:dyDescent="0.2">
      <c r="I106" s="14"/>
    </row>
    <row r="107" spans="9:9" x14ac:dyDescent="0.2">
      <c r="I107" s="14"/>
    </row>
    <row r="108" spans="9:9" x14ac:dyDescent="0.2">
      <c r="I108" s="14"/>
    </row>
    <row r="109" spans="9:9" x14ac:dyDescent="0.2">
      <c r="I109" s="14"/>
    </row>
    <row r="110" spans="9:9" x14ac:dyDescent="0.2">
      <c r="I110" s="14"/>
    </row>
    <row r="111" spans="9:9" x14ac:dyDescent="0.2">
      <c r="I111" s="14"/>
    </row>
    <row r="112" spans="9:9" x14ac:dyDescent="0.2">
      <c r="I112" s="14"/>
    </row>
    <row r="113" spans="8:9" x14ac:dyDescent="0.2">
      <c r="I113" s="14"/>
    </row>
    <row r="114" spans="8:9" x14ac:dyDescent="0.2">
      <c r="I114" s="14"/>
    </row>
    <row r="115" spans="8:9" x14ac:dyDescent="0.2">
      <c r="I115" s="14"/>
    </row>
    <row r="116" spans="8:9" x14ac:dyDescent="0.2">
      <c r="I116" s="14"/>
    </row>
    <row r="117" spans="8:9" x14ac:dyDescent="0.2">
      <c r="I117" s="14"/>
    </row>
    <row r="118" spans="8:9" x14ac:dyDescent="0.2">
      <c r="I118" s="14"/>
    </row>
    <row r="119" spans="8:9" x14ac:dyDescent="0.2">
      <c r="I119" s="14"/>
    </row>
    <row r="120" spans="8:9" x14ac:dyDescent="0.2">
      <c r="H120" s="234"/>
      <c r="I120" s="292"/>
    </row>
  </sheetData>
  <mergeCells count="6">
    <mergeCell ref="A71:A88"/>
    <mergeCell ref="J31:K31"/>
    <mergeCell ref="A31:A70"/>
    <mergeCell ref="M2:N2"/>
    <mergeCell ref="M1:R1"/>
    <mergeCell ref="A1:A30"/>
  </mergeCells>
  <phoneticPr fontId="1"/>
  <printOptions horizontalCentered="1"/>
  <pageMargins left="0.70866141732283472" right="0.70866141732283472" top="0.74803149606299213" bottom="0.74803149606299213" header="0.31496062992125984" footer="0.31496062992125984"/>
  <pageSetup paperSize="9" scale="59" orientation="portrait" r:id="rId1"/>
  <headerFooter>
    <oddHeader>&amp;A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45"/>
  <sheetViews>
    <sheetView tabSelected="1" zoomScaleNormal="100" workbookViewId="0">
      <selection activeCell="G4" sqref="G4"/>
    </sheetView>
  </sheetViews>
  <sheetFormatPr defaultColWidth="9" defaultRowHeight="11.5" x14ac:dyDescent="0.2"/>
  <cols>
    <col min="1" max="1" width="2.7265625" style="14" customWidth="1"/>
    <col min="2" max="2" width="27.1796875" style="14" customWidth="1"/>
    <col min="3" max="3" width="8.6328125" style="14" customWidth="1"/>
    <col min="4" max="4" width="14.1796875" style="14" customWidth="1"/>
    <col min="5" max="5" width="3.453125" style="14" customWidth="1"/>
    <col min="6" max="6" width="14.6328125" style="14" customWidth="1"/>
    <col min="7" max="7" width="14.1796875" style="14" customWidth="1"/>
    <col min="8" max="8" width="7" style="14" customWidth="1"/>
    <col min="9" max="9" width="2.7265625" style="288" customWidth="1"/>
    <col min="10" max="10" width="3.6328125" style="14" customWidth="1"/>
    <col min="11" max="11" width="9.6328125" style="14" customWidth="1"/>
    <col min="12" max="12" width="15.7265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38" width="10.26953125" style="14" customWidth="1"/>
    <col min="39" max="39" width="10.1796875" style="14" customWidth="1"/>
    <col min="40" max="16384" width="9" style="14"/>
  </cols>
  <sheetData>
    <row r="1" spans="1:37" ht="11.25" customHeight="1" x14ac:dyDescent="0.2">
      <c r="A1" s="580" t="s">
        <v>26</v>
      </c>
      <c r="B1" s="17" t="s">
        <v>42</v>
      </c>
      <c r="C1" s="18" t="str">
        <f>Rydberg!C1</f>
        <v>Unit Symbol</v>
      </c>
      <c r="D1" s="17" t="s">
        <v>43</v>
      </c>
      <c r="E1" s="18" t="s">
        <v>44</v>
      </c>
      <c r="F1" s="17" t="s">
        <v>55</v>
      </c>
      <c r="G1" s="17" t="s">
        <v>203</v>
      </c>
      <c r="H1" s="18" t="str">
        <f>Rydberg!H$1</f>
        <v>difference</v>
      </c>
      <c r="I1" s="293" t="s">
        <v>724</v>
      </c>
      <c r="J1" s="19"/>
      <c r="K1" s="56" t="s">
        <v>46</v>
      </c>
      <c r="L1" s="20"/>
      <c r="M1" s="591" t="s">
        <v>116</v>
      </c>
      <c r="N1" s="592"/>
      <c r="O1" s="592"/>
      <c r="P1" s="592"/>
      <c r="Q1" s="592"/>
      <c r="R1" s="592"/>
    </row>
    <row r="2" spans="1:37" ht="13.5" customHeight="1" x14ac:dyDescent="0.2">
      <c r="A2" s="581"/>
      <c r="B2" s="2" t="str">
        <f>Rydberg!B2</f>
        <v>Local Time</v>
      </c>
      <c r="C2" s="2" t="str">
        <f>Rydberg!C2</f>
        <v>s</v>
      </c>
      <c r="D2" s="21"/>
      <c r="E2" s="8"/>
      <c r="F2" s="8"/>
      <c r="G2" s="8"/>
      <c r="H2" s="8"/>
      <c r="I2" s="278"/>
      <c r="J2" s="8"/>
      <c r="K2" s="57"/>
      <c r="L2" s="22"/>
      <c r="M2" s="589">
        <f>365.2421896698-(0.00000615359)*P2-(0.000000000729)*P2*P2+(0.000000000264)*P2*P2*P2</f>
        <v>365.24218750000171</v>
      </c>
      <c r="N2" s="590"/>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5">
        <f>(1+(12+7)/(12*12*12*12))/D$34</f>
        <v>9.1210202714325912E-8</v>
      </c>
      <c r="E3" s="8">
        <v>6</v>
      </c>
      <c r="F3" s="21">
        <f t="shared" ref="F3:F30" si="0">D3*POWER(12,E3)</f>
        <v>0.27235220594173376</v>
      </c>
      <c r="G3" s="26" t="s">
        <v>79</v>
      </c>
      <c r="H3" s="26"/>
      <c r="I3" s="279"/>
      <c r="J3" s="8">
        <v>-3</v>
      </c>
      <c r="K3" s="58">
        <f>F3/POWER(10,J3)</f>
        <v>272.35220594173376</v>
      </c>
      <c r="L3" s="118" t="str">
        <f>Rydberg!L3</f>
        <v>mm</v>
      </c>
      <c r="M3" s="23"/>
      <c r="N3" s="82">
        <f>-LOG(F3)/(LOG(12)-LOG(10))</f>
        <v>7.1338748878587435</v>
      </c>
      <c r="O3" s="24"/>
      <c r="P3" s="83">
        <f>POWER(12,N3)*F3/POWER(10,N3)</f>
        <v>0.99999999999999667</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8">
        <f>D$3/D$35</f>
        <v>3.0424448741244154E-16</v>
      </c>
      <c r="E4" s="8">
        <v>14</v>
      </c>
      <c r="F4" s="21">
        <f t="shared" si="0"/>
        <v>0.39062511512603815</v>
      </c>
      <c r="G4" s="457">
        <f>(F4-Clock!F4)*(365+31/128)*128*12*12*12</f>
        <v>9.3005408034706605</v>
      </c>
      <c r="H4" s="253"/>
      <c r="I4" s="280"/>
      <c r="J4" s="8">
        <v>-3</v>
      </c>
      <c r="K4" s="58">
        <f t="shared" ref="K4:K30" si="1">F4/POWER(10,J4)</f>
        <v>390.62511512603811</v>
      </c>
      <c r="L4" s="118" t="str">
        <f>Rydberg!L4</f>
        <v>ms</v>
      </c>
      <c r="M4" s="23"/>
      <c r="N4" s="82">
        <f t="shared" ref="N4:N30" si="2">-LOG(F4)/(LOG(12)-LOG(10))</f>
        <v>5.1557642458657673</v>
      </c>
      <c r="O4" s="24"/>
      <c r="P4" s="83">
        <f t="shared" ref="P4:P30" si="3">POWER(12,N4)*F4/POWER(10,N4)</f>
        <v>0.99999999999999856</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D$36/D$4</f>
        <v>3.4661986043367556E-19</v>
      </c>
      <c r="E5" s="8">
        <v>16</v>
      </c>
      <c r="F5" s="21">
        <f t="shared" si="0"/>
        <v>6.4084556014581059E-2</v>
      </c>
      <c r="G5" s="21"/>
      <c r="H5" s="21"/>
      <c r="I5" s="278"/>
      <c r="J5" s="8">
        <v>-3</v>
      </c>
      <c r="K5" s="58">
        <f t="shared" si="1"/>
        <v>64.084556014581054</v>
      </c>
      <c r="L5" s="118" t="str">
        <f>Rydberg!L5</f>
        <v>mJ</v>
      </c>
      <c r="M5" s="23"/>
      <c r="N5" s="82">
        <f t="shared" si="2"/>
        <v>15.06981362055963</v>
      </c>
      <c r="O5" s="24"/>
      <c r="P5" s="83">
        <f t="shared" si="3"/>
        <v>0.999999999999994</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25105.574293949841</v>
      </c>
      <c r="E6" s="132">
        <v>-8</v>
      </c>
      <c r="F6" s="135">
        <f t="shared" si="0"/>
        <v>5.8387541905853228E-5</v>
      </c>
      <c r="G6" s="21"/>
      <c r="H6" s="21"/>
      <c r="I6" s="278"/>
      <c r="J6" s="132">
        <v>-6</v>
      </c>
      <c r="K6" s="136">
        <f t="shared" si="1"/>
        <v>58.387541905853233</v>
      </c>
      <c r="L6" s="133" t="str">
        <f>Rydberg!L6</f>
        <v>μK</v>
      </c>
      <c r="M6" s="23"/>
      <c r="N6" s="82">
        <f t="shared" si="2"/>
        <v>53.468213994210103</v>
      </c>
      <c r="O6" s="24"/>
      <c r="P6" s="83">
        <f t="shared" si="3"/>
        <v>0.99999999999997857</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24</v>
      </c>
      <c r="F7" s="21">
        <f t="shared" si="0"/>
        <v>132.00762049838045</v>
      </c>
      <c r="G7" s="21"/>
      <c r="H7" s="21"/>
      <c r="I7" s="278"/>
      <c r="J7" s="8">
        <v>0</v>
      </c>
      <c r="K7" s="58">
        <f t="shared" si="1"/>
        <v>132.00762049838045</v>
      </c>
      <c r="L7" s="118" t="str">
        <f>Rydberg!L7</f>
        <v>mol</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3.8566660714082653E-36</v>
      </c>
      <c r="E8" s="8">
        <v>32</v>
      </c>
      <c r="F8" s="21">
        <f t="shared" si="0"/>
        <v>0.13182928928460486</v>
      </c>
      <c r="G8" s="21"/>
      <c r="H8" s="21"/>
      <c r="I8" s="278"/>
      <c r="J8" s="8">
        <v>-3</v>
      </c>
      <c r="K8" s="58">
        <f t="shared" si="1"/>
        <v>131.82928928460484</v>
      </c>
      <c r="L8" s="118" t="str">
        <f>Rydberg!L8</f>
        <v>g</v>
      </c>
      <c r="M8" s="23"/>
      <c r="N8" s="82">
        <f t="shared" si="2"/>
        <v>11.11359233657368</v>
      </c>
      <c r="O8" s="24"/>
      <c r="P8" s="83">
        <f t="shared" si="3"/>
        <v>0.999999999999994</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1.1392806600429505E-3</v>
      </c>
      <c r="E9" s="8">
        <v>2</v>
      </c>
      <c r="F9" s="21">
        <f t="shared" si="0"/>
        <v>0.16405641504618487</v>
      </c>
      <c r="G9" s="21"/>
      <c r="H9" s="21"/>
      <c r="I9" s="278"/>
      <c r="J9" s="8">
        <v>-3</v>
      </c>
      <c r="K9" s="58">
        <f t="shared" si="1"/>
        <v>164.05641504618487</v>
      </c>
      <c r="L9" s="118" t="str">
        <f>Rydberg!L9</f>
        <v>mW</v>
      </c>
      <c r="M9" s="23"/>
      <c r="N9" s="82">
        <f t="shared" si="2"/>
        <v>9.914049374693862</v>
      </c>
      <c r="O9" s="24"/>
      <c r="P9" s="83">
        <f t="shared" si="3"/>
        <v>0.99999999999999556</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3.8002312254398026E-12</v>
      </c>
      <c r="E10" s="8">
        <v>10</v>
      </c>
      <c r="F10" s="21">
        <f t="shared" si="0"/>
        <v>0.23530030092097412</v>
      </c>
      <c r="G10" s="21"/>
      <c r="H10" s="21"/>
      <c r="I10" s="278"/>
      <c r="J10" s="8">
        <v>-3</v>
      </c>
      <c r="K10" s="58">
        <f t="shared" si="1"/>
        <v>235.30030092097411</v>
      </c>
      <c r="L10" s="118" t="str">
        <f>Rydberg!L10</f>
        <v>mN</v>
      </c>
      <c r="M10" s="23"/>
      <c r="N10" s="82">
        <f t="shared" si="2"/>
        <v>7.9359387327008859</v>
      </c>
      <c r="O10" s="24"/>
      <c r="P10" s="83">
        <f t="shared" si="3"/>
        <v>0.99999999999999745</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456.79693393312402</v>
      </c>
      <c r="E11" s="8">
        <v>-2</v>
      </c>
      <c r="F11" s="21">
        <f t="shared" si="0"/>
        <v>3.1722009300911389</v>
      </c>
      <c r="G11" s="21"/>
      <c r="H11" s="21"/>
      <c r="I11" s="278"/>
      <c r="J11" s="8">
        <v>0</v>
      </c>
      <c r="K11" s="58">
        <f t="shared" si="1"/>
        <v>3.1722009300911389</v>
      </c>
      <c r="L11" s="118" t="str">
        <f>Rydberg!L11</f>
        <v>Pa</v>
      </c>
      <c r="M11" s="23"/>
      <c r="N11" s="82">
        <f t="shared" si="2"/>
        <v>-6.3318110430166019</v>
      </c>
      <c r="O11" s="24"/>
      <c r="P11" s="83">
        <f t="shared" si="3"/>
        <v>1.0000000000000024</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SQRT(D$36/29.9792458)</f>
        <v>1.8755460382902114E-18</v>
      </c>
      <c r="E12" s="8">
        <v>15</v>
      </c>
      <c r="F12" s="21">
        <f t="shared" si="0"/>
        <v>2.8896578276067276E-2</v>
      </c>
      <c r="G12" s="21"/>
      <c r="H12" s="21"/>
      <c r="I12" s="278"/>
      <c r="J12" s="8">
        <v>-3</v>
      </c>
      <c r="K12" s="58">
        <f t="shared" si="1"/>
        <v>28.896578276067274</v>
      </c>
      <c r="L12" s="118" t="str">
        <f>Rydberg!L12</f>
        <v>mC</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6.164601548713268E-3</v>
      </c>
      <c r="E13" s="8">
        <v>1</v>
      </c>
      <c r="F13" s="21">
        <f t="shared" si="0"/>
        <v>7.3975218584559216E-2</v>
      </c>
      <c r="G13" s="21"/>
      <c r="H13" s="21"/>
      <c r="I13" s="278"/>
      <c r="J13" s="8">
        <v>-3</v>
      </c>
      <c r="K13" s="58">
        <f t="shared" si="1"/>
        <v>73.975218584559215</v>
      </c>
      <c r="L13" s="118" t="str">
        <f>Rydberg!L13</f>
        <v>mA</v>
      </c>
      <c r="M13" s="23"/>
      <c r="N13" s="82">
        <f t="shared" si="2"/>
        <v>14.282595934607103</v>
      </c>
      <c r="O13" s="24"/>
      <c r="P13" s="83">
        <f t="shared" si="3"/>
        <v>0.99999999999999678</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67586.754170704487</v>
      </c>
      <c r="E14" s="8">
        <v>-5</v>
      </c>
      <c r="F14" s="21">
        <f t="shared" ref="F14" si="4">D14*POWER(12,E14)</f>
        <v>0.27161600666596136</v>
      </c>
      <c r="G14" s="21"/>
      <c r="H14" s="21"/>
      <c r="I14" s="278"/>
      <c r="J14" s="8">
        <v>-3</v>
      </c>
      <c r="K14" s="58">
        <f t="shared" ref="K14" si="5">F14/POWER(10,J14)</f>
        <v>271.61600666596138</v>
      </c>
      <c r="L14" s="118" t="str">
        <f>Rydberg!L14</f>
        <v>mA/m</v>
      </c>
      <c r="M14" s="23"/>
      <c r="N14" s="82">
        <f t="shared" ref="N14" si="6">-LOG(F14)/(LOG(12)-LOG(10))</f>
        <v>7.1487210467483582</v>
      </c>
      <c r="O14" s="24"/>
      <c r="P14" s="83">
        <f t="shared" ref="P14" si="7">POWER(12,N14)*F14/POWER(10,N14)</f>
        <v>0.99999999999999678</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2.2544514502330967E-4</v>
      </c>
      <c r="E15" s="8">
        <v>3</v>
      </c>
      <c r="F15" s="21">
        <f t="shared" ref="F15" si="8">D15*POWER(12,E15)</f>
        <v>0.3895692106002791</v>
      </c>
      <c r="G15" s="21"/>
      <c r="H15" s="21"/>
      <c r="I15" s="278"/>
      <c r="J15" s="8">
        <v>-3</v>
      </c>
      <c r="K15" s="58">
        <f t="shared" ref="K15" si="9">F15/POWER(10,J15)</f>
        <v>389.56921060027912</v>
      </c>
      <c r="L15" s="118" t="str">
        <f>Rydberg!L15</f>
        <v>mC/m^2</v>
      </c>
      <c r="M15" s="23"/>
      <c r="N15" s="82">
        <f t="shared" ref="N15" si="10">-LOG(F15)/(LOG(12)-LOG(10))</f>
        <v>5.1706104047553847</v>
      </c>
      <c r="O15" s="24"/>
      <c r="P15" s="83">
        <f t="shared" ref="P15" si="11">POWER(12,N15)*F15/POWER(10,N15)</f>
        <v>0.99999999999999845</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
        <v>108</v>
      </c>
      <c r="D16" s="21">
        <f>Rydberg!D16</f>
        <v>29.979245795870352</v>
      </c>
      <c r="E16" s="8">
        <v>0</v>
      </c>
      <c r="F16" s="21">
        <f t="shared" si="0"/>
        <v>29.979245795870352</v>
      </c>
      <c r="G16" s="21"/>
      <c r="H16" s="21"/>
      <c r="I16" s="278"/>
      <c r="J16" s="8">
        <v>0</v>
      </c>
      <c r="K16" s="58">
        <f t="shared" si="1"/>
        <v>29.979245795870352</v>
      </c>
      <c r="L16" s="118" t="str">
        <f>Rydberg!L16</f>
        <v>Ω</v>
      </c>
      <c r="M16" s="23"/>
      <c r="N16" s="82">
        <f t="shared" si="2"/>
        <v>-18.651142493764809</v>
      </c>
      <c r="O16" s="24"/>
      <c r="P16" s="83">
        <f t="shared" si="3"/>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0.18481010506247811</v>
      </c>
      <c r="E17" s="8">
        <v>1</v>
      </c>
      <c r="F17" s="21">
        <f t="shared" si="0"/>
        <v>2.2177212607497374</v>
      </c>
      <c r="G17" s="21"/>
      <c r="H17" s="21"/>
      <c r="I17" s="278"/>
      <c r="J17" s="8">
        <v>0</v>
      </c>
      <c r="K17" s="58">
        <f t="shared" si="1"/>
        <v>2.2177212607497374</v>
      </c>
      <c r="L17" s="118" t="str">
        <f>Rydberg!L17</f>
        <v>V</v>
      </c>
      <c r="M17" s="23"/>
      <c r="N17" s="82">
        <f t="shared" si="2"/>
        <v>-4.3685465591577062</v>
      </c>
      <c r="O17" s="24"/>
      <c r="P17" s="83">
        <f t="shared" si="3"/>
        <v>1.0000000000000018</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1.0148503717673621E-17</v>
      </c>
      <c r="E18" s="8">
        <v>14</v>
      </c>
      <c r="F18" s="21">
        <f t="shared" si="0"/>
        <v>1.3029851310663953E-2</v>
      </c>
      <c r="G18" s="21"/>
      <c r="H18" s="21"/>
      <c r="I18" s="278"/>
      <c r="J18" s="8">
        <v>-3</v>
      </c>
      <c r="K18" s="58">
        <f t="shared" si="1"/>
        <v>13.029851310663952</v>
      </c>
      <c r="L18" s="118" t="str">
        <f>Rydberg!L18</f>
        <v>mF</v>
      </c>
      <c r="M18" s="115"/>
      <c r="N18" s="116">
        <f t="shared" si="2"/>
        <v>23.806906739630577</v>
      </c>
      <c r="O18" s="76"/>
      <c r="P18" s="117">
        <f t="shared" si="3"/>
        <v>0.99999999999999367</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15</v>
      </c>
      <c r="F19" s="21">
        <f t="shared" si="0"/>
        <v>0.8662976227978284</v>
      </c>
      <c r="G19" s="21"/>
      <c r="H19" s="21"/>
      <c r="I19" s="278"/>
      <c r="J19" s="8">
        <v>0</v>
      </c>
      <c r="K19" s="58">
        <f t="shared" si="1"/>
        <v>0.8662976227978284</v>
      </c>
      <c r="L19" s="118" t="str">
        <f>Rydberg!L19</f>
        <v>Wb</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6.7586754161394376E-3</v>
      </c>
      <c r="E20" s="8">
        <v>3</v>
      </c>
      <c r="F20" s="21">
        <f t="shared" si="0"/>
        <v>11.678991119088948</v>
      </c>
      <c r="G20" s="21"/>
      <c r="H20" s="21"/>
      <c r="I20" s="278"/>
      <c r="J20" s="8">
        <v>0</v>
      </c>
      <c r="K20" s="58">
        <f t="shared" si="1"/>
        <v>11.678991119088948</v>
      </c>
      <c r="L20" s="118" t="str">
        <f>Rydberg!L20</f>
        <v>T</v>
      </c>
      <c r="M20" s="115"/>
      <c r="N20" s="116">
        <f t="shared" si="2"/>
        <v>-13.480532089009426</v>
      </c>
      <c r="O20" s="76"/>
      <c r="P20" s="117">
        <f t="shared" si="3"/>
        <v>1.0000000000000064</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9.1210202701761676E-15</v>
      </c>
      <c r="E21" s="30">
        <v>14</v>
      </c>
      <c r="F21" s="29">
        <f t="shared" si="0"/>
        <v>11.710646340403649</v>
      </c>
      <c r="G21" s="29"/>
      <c r="H21" s="29"/>
      <c r="I21" s="281"/>
      <c r="J21" s="30">
        <v>0</v>
      </c>
      <c r="K21" s="59">
        <f t="shared" si="1"/>
        <v>11.710646340403649</v>
      </c>
      <c r="L21" s="119" t="str">
        <f>Rydberg!L21</f>
        <v>H</v>
      </c>
      <c r="M21" s="115"/>
      <c r="N21" s="116">
        <f t="shared" si="2"/>
        <v>-13.495378247899041</v>
      </c>
      <c r="O21" s="76"/>
      <c r="P21" s="117">
        <f t="shared" si="3"/>
        <v>1.0000000000000064</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3286830300541730.5</v>
      </c>
      <c r="E22" s="30">
        <f>-E4</f>
        <v>-14</v>
      </c>
      <c r="F22" s="29">
        <f t="shared" si="0"/>
        <v>2.5599992455102187</v>
      </c>
      <c r="G22" s="21"/>
      <c r="H22" s="21"/>
      <c r="I22" s="278"/>
      <c r="J22" s="8">
        <v>0</v>
      </c>
      <c r="K22" s="58">
        <f t="shared" si="1"/>
        <v>2.5599992455102187</v>
      </c>
      <c r="L22" s="118" t="s">
        <v>674</v>
      </c>
      <c r="M22" s="23"/>
      <c r="N22" s="82">
        <f t="shared" si="2"/>
        <v>-5.1557642458657673</v>
      </c>
      <c r="O22" s="24"/>
      <c r="P22" s="83">
        <f t="shared" si="3"/>
        <v>1.0000000000000016</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0.80324452663297929</v>
      </c>
      <c r="E23" s="8">
        <f>E9</f>
        <v>2</v>
      </c>
      <c r="F23" s="21">
        <f t="shared" si="0"/>
        <v>115.66721183514902</v>
      </c>
      <c r="G23" s="21"/>
      <c r="H23" s="21"/>
      <c r="I23" s="278"/>
      <c r="J23" s="8">
        <v>0</v>
      </c>
      <c r="K23" s="58">
        <f t="shared" si="1"/>
        <v>115.66721183514902</v>
      </c>
      <c r="L23" s="118" t="s">
        <v>659</v>
      </c>
      <c r="M23" s="23"/>
      <c r="N23" s="82">
        <f t="shared" si="2"/>
        <v>-26.056804735979213</v>
      </c>
      <c r="O23" s="24"/>
      <c r="P23" s="83">
        <f t="shared" si="3"/>
        <v>1.0000000000000131</v>
      </c>
      <c r="Q23" s="24"/>
      <c r="R23" s="258">
        <f>1/K58</f>
        <v>0.96873201747303028</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0.80324452663297929</v>
      </c>
      <c r="E24" s="8">
        <f>E9</f>
        <v>2</v>
      </c>
      <c r="F24" s="21">
        <f t="shared" si="0"/>
        <v>115.66721183514902</v>
      </c>
      <c r="G24" s="21"/>
      <c r="H24" s="21"/>
      <c r="I24" s="278"/>
      <c r="J24" s="8">
        <v>0</v>
      </c>
      <c r="K24" s="58">
        <f t="shared" si="1"/>
        <v>115.66721183514902</v>
      </c>
      <c r="L24" s="118" t="s">
        <v>662</v>
      </c>
      <c r="M24" s="23"/>
      <c r="N24" s="82">
        <f t="shared" si="2"/>
        <v>-26.056804735979213</v>
      </c>
      <c r="O24" s="24"/>
      <c r="P24" s="83">
        <f t="shared" si="3"/>
        <v>1.0000000000000131</v>
      </c>
      <c r="Q24" s="24"/>
      <c r="R24" s="593" t="s">
        <v>1531</v>
      </c>
      <c r="S24" s="594"/>
      <c r="T24" s="594"/>
      <c r="U24" s="594"/>
      <c r="V24" s="594"/>
      <c r="W24" s="595"/>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6.3920168462574117E-2</v>
      </c>
      <c r="E25" s="8">
        <f>E9</f>
        <v>2</v>
      </c>
      <c r="F25" s="21">
        <f t="shared" si="0"/>
        <v>9.2045042586106725</v>
      </c>
      <c r="G25" s="21"/>
      <c r="H25" s="21"/>
      <c r="I25" s="278"/>
      <c r="J25" s="8">
        <v>0</v>
      </c>
      <c r="K25" s="58">
        <f t="shared" si="1"/>
        <v>9.2045042586106725</v>
      </c>
      <c r="L25" s="118" t="s">
        <v>662</v>
      </c>
      <c r="M25" s="23"/>
      <c r="N25" s="82">
        <f t="shared" si="2"/>
        <v>-12.17460511309177</v>
      </c>
      <c r="O25" s="24"/>
      <c r="P25" s="83">
        <f t="shared" si="3"/>
        <v>1.0000000000000069</v>
      </c>
      <c r="Q25" s="24"/>
      <c r="R25" s="596"/>
      <c r="S25" s="597"/>
      <c r="T25" s="597"/>
      <c r="U25" s="597"/>
      <c r="V25" s="597"/>
      <c r="W25" s="598"/>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96551924132470.313</v>
      </c>
      <c r="E26" s="8">
        <f>E9-2*E3</f>
        <v>-10</v>
      </c>
      <c r="F26" s="21">
        <f t="shared" si="0"/>
        <v>1559.3674786150777</v>
      </c>
      <c r="G26" s="21"/>
      <c r="H26" s="21"/>
      <c r="I26" s="278"/>
      <c r="J26" s="8">
        <v>3</v>
      </c>
      <c r="K26" s="58">
        <f t="shared" si="1"/>
        <v>1.5593674786150777</v>
      </c>
      <c r="L26" s="118" t="s">
        <v>663</v>
      </c>
      <c r="M26" s="23"/>
      <c r="N26" s="82">
        <f t="shared" si="2"/>
        <v>-40.324554511696704</v>
      </c>
      <c r="O26" s="24"/>
      <c r="P26" s="83">
        <f t="shared" si="3"/>
        <v>1.0000000000000127</v>
      </c>
      <c r="Q26" s="24"/>
      <c r="R26" s="599"/>
      <c r="S26" s="600"/>
      <c r="T26" s="600"/>
      <c r="U26" s="600"/>
      <c r="V26" s="600"/>
      <c r="W26" s="601"/>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5.457910121220299E-9</v>
      </c>
      <c r="E27" s="8">
        <f>E7-E4</f>
        <v>10</v>
      </c>
      <c r="F27" s="21">
        <f t="shared" si="0"/>
        <v>337.93940887745322</v>
      </c>
      <c r="G27" s="21"/>
      <c r="H27" s="21"/>
      <c r="I27" s="278"/>
      <c r="J27" s="8">
        <v>0</v>
      </c>
      <c r="K27" s="58">
        <f t="shared" si="1"/>
        <v>337.93940887745322</v>
      </c>
      <c r="L27" s="118" t="s">
        <v>666</v>
      </c>
      <c r="M27" s="23"/>
      <c r="N27" s="82">
        <f t="shared" si="2"/>
        <v>-31.937345852732761</v>
      </c>
      <c r="O27" s="24"/>
      <c r="P27" s="83">
        <f t="shared" si="3"/>
        <v>1.0000000000000082</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3286830300541730.5</v>
      </c>
      <c r="E28" s="8">
        <f>-E4</f>
        <v>-14</v>
      </c>
      <c r="F28" s="21">
        <f t="shared" si="0"/>
        <v>2.5599992455102187</v>
      </c>
      <c r="G28" s="21"/>
      <c r="H28" s="21"/>
      <c r="I28" s="278"/>
      <c r="J28" s="8">
        <v>0</v>
      </c>
      <c r="K28" s="58">
        <f t="shared" si="1"/>
        <v>2.5599992455102187</v>
      </c>
      <c r="L28" s="118" t="s">
        <v>668</v>
      </c>
      <c r="M28" s="23"/>
      <c r="N28" s="82">
        <f t="shared" si="2"/>
        <v>-5.1557642458657673</v>
      </c>
      <c r="O28" s="24"/>
      <c r="P28" s="83">
        <f t="shared" si="3"/>
        <v>1.0000000000000016</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-16</v>
      </c>
      <c r="F29" s="21">
        <f t="shared" si="0"/>
        <v>0.48611773879952869</v>
      </c>
      <c r="G29" s="21"/>
      <c r="H29" s="21"/>
      <c r="I29" s="278"/>
      <c r="J29" s="8">
        <v>0</v>
      </c>
      <c r="K29" s="58">
        <f t="shared" si="1"/>
        <v>0.48611773879952869</v>
      </c>
      <c r="L29" s="118" t="s">
        <v>670</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-16</v>
      </c>
      <c r="F30" s="32">
        <f t="shared" si="0"/>
        <v>0.48611773879952869</v>
      </c>
      <c r="G30" s="32"/>
      <c r="H30" s="32"/>
      <c r="I30" s="282"/>
      <c r="J30" s="33">
        <v>0</v>
      </c>
      <c r="K30" s="60">
        <f t="shared" si="1"/>
        <v>0.48611773879952869</v>
      </c>
      <c r="L30" s="124" t="s">
        <v>671</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17" t="s">
        <v>42</v>
      </c>
      <c r="C31" s="18" t="str">
        <f>Rydberg!C31</f>
        <v>Unit Symbol</v>
      </c>
      <c r="D31" s="17" t="s">
        <v>43</v>
      </c>
      <c r="E31" s="18" t="s">
        <v>54</v>
      </c>
      <c r="F31" s="17" t="s">
        <v>47</v>
      </c>
      <c r="G31" s="17" t="s">
        <v>92</v>
      </c>
      <c r="H31" s="18" t="str">
        <f>Rydberg!H$1</f>
        <v>difference</v>
      </c>
      <c r="I31" s="277"/>
      <c r="J31" s="575" t="str">
        <f>Rydberg!J31</f>
        <v>0123456789XE</v>
      </c>
      <c r="K31" s="576">
        <f>Rydberg!K31</f>
        <v>0</v>
      </c>
      <c r="L31" s="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1" si="12">IF($E32&gt;=M$31,MID($J$31,IF($E32&gt;M$31,INT(K32),ROUND(K32,0))+1,1),"")</f>
        <v>1</v>
      </c>
      <c r="N32" s="24">
        <f>(K32-INT(K32))*12</f>
        <v>0.60982523111040177</v>
      </c>
      <c r="O32" s="41" t="str">
        <f t="shared" ref="O32:O71" si="13">IF($E32&gt;=O$31,MID($J$31,IF($E32&gt;O$31,INT(N32),ROUND(N32,0))+1,1),"")</f>
        <v>0</v>
      </c>
      <c r="P32" s="24">
        <f>(N32-INT(N32))*12</f>
        <v>7.3179027733248212</v>
      </c>
      <c r="Q32" s="41" t="str">
        <f t="shared" ref="Q32:Q71" si="14">IF($E32&gt;=Q$31,MID($J$31,IF($E32&gt;Q$31,INT(P32),ROUND(P32,0))+1,1),"")</f>
        <v>7</v>
      </c>
      <c r="R32" s="24">
        <f>(P32-INT(P32))*12</f>
        <v>3.8148332798978544</v>
      </c>
      <c r="S32" s="41" t="str">
        <f t="shared" ref="S32:S71" si="15">IF($E32&gt;=S$31,MID($J$31,IF($E32&gt;S$31,INT(R32),ROUND(R32,0))+1,1),"")</f>
        <v>3</v>
      </c>
      <c r="T32" s="24">
        <f>(R32-INT(R32))*12</f>
        <v>9.7779993587742524</v>
      </c>
      <c r="U32" s="41" t="str">
        <f t="shared" ref="U32:U71" si="16">IF($E32&gt;=U$31,MID($J$31,IF($E32&gt;U$31,INT(T32),ROUND(T32,0))+1,1),"")</f>
        <v>9</v>
      </c>
      <c r="V32" s="24">
        <f>(T32-INT(T32))*12</f>
        <v>9.335992305291029</v>
      </c>
      <c r="W32" s="41" t="str">
        <f t="shared" ref="W32:W71" si="17">IF($E32&gt;=W$31,MID($J$31,IF($E32&gt;W$31,INT(V32),ROUND(V32,0))+1,1),"")</f>
        <v>9</v>
      </c>
      <c r="X32" s="24">
        <f>(V32-INT(V32))*12</f>
        <v>4.0319076634923476</v>
      </c>
      <c r="Y32" s="41" t="str">
        <f t="shared" ref="Y32:Y71" si="18">IF($E32&gt;=Y$31,MID($J$31,IF($E32&gt;Y$31,INT(X32),ROUND(X32,0))+1,1),"")</f>
        <v>4</v>
      </c>
      <c r="Z32" s="24">
        <f>(X32-INT(X32))*12</f>
        <v>0.38289196190817165</v>
      </c>
      <c r="AA32" s="41" t="str">
        <f t="shared" ref="AA32:AA71" si="19">IF($E32&gt;=AA$31,MID($J$31,IF($E32&gt;AA$31,INT(Z32),ROUND(Z32,0))+1,1),"")</f>
        <v>0</v>
      </c>
      <c r="AB32" s="24">
        <f>(Z32-INT(Z32))*12</f>
        <v>4.5947035428980598</v>
      </c>
      <c r="AC32" s="41" t="str">
        <f t="shared" ref="AC32:AC71" si="20">IF($E32&gt;=AC$31,MID($J$31,IF($E32&gt;AC$31,INT(AB32),ROUND(AB32,0))+1,1),"")</f>
        <v>4</v>
      </c>
      <c r="AD32" s="24">
        <f>(AB32-INT(AB32))*12</f>
        <v>7.1364425147767179</v>
      </c>
      <c r="AE32" s="41" t="str">
        <f t="shared" ref="AE32:AE71" si="21">IF($E32&gt;=AE$31,MID($J$31,IF($E32&gt;AE$31,INT(AD32),ROUND(AD32,0))+1,1),"")</f>
        <v>7</v>
      </c>
      <c r="AF32" s="24">
        <f>(AD32-INT(AD32))*12</f>
        <v>1.6373101773206145</v>
      </c>
      <c r="AG32" s="41" t="str">
        <f t="shared" ref="AG32:AG71" si="22">IF($E32&gt;=AG$31,MID($J$31,IF($E32&gt;AG$31,INT(AF32),ROUND(AF32,0))+1,1),"")</f>
        <v>2</v>
      </c>
      <c r="AH32" s="24">
        <f>(AF32-INT(AF32))*12</f>
        <v>7.6477221278473735</v>
      </c>
      <c r="AI32" s="41" t="str">
        <f t="shared" ref="AI32:AI71" si="23">IF($E32&gt;=AI$31,MID($J$31,IF($E32&gt;AI$31,INT(AH32),ROUND(AH32,0))+1,1),"")</f>
        <v/>
      </c>
      <c r="AJ32" s="24">
        <f>(AH32-INT(AH32))*12</f>
        <v>7.7726655341684818</v>
      </c>
      <c r="AK32" s="41" t="str">
        <f t="shared" ref="AK32:AK71" si="24">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7.9496847203390844E+25</v>
      </c>
      <c r="G33" s="37" t="str">
        <f t="shared" ref="G33:G71" si="25">M33&amp;";"&amp;O33&amp;Q33&amp;S33&amp;U33&amp;W33&amp;Y33&amp;AA33&amp;AC33&amp;AE33&amp;AG33&amp;AI33&amp;AK33</f>
        <v>1;0000000000</v>
      </c>
      <c r="H33" s="275">
        <f t="shared" ref="H33:H50" si="26">K33*POWER(12,I33)/ROUND(K33*POWER(12,I33),0)-1</f>
        <v>1.000088900582341E-12</v>
      </c>
      <c r="I33" s="278"/>
      <c r="J33" s="38">
        <v>24</v>
      </c>
      <c r="K33" s="61">
        <f>F33/POWER(12,J33)+0.000000000001</f>
        <v>1.0000000000010001</v>
      </c>
      <c r="L33" s="39" t="str">
        <f>INDEX(powers!$H$2:$H$75,33+J33)</f>
        <v>ter-cosmic</v>
      </c>
      <c r="M33" s="40" t="str">
        <f t="shared" si="12"/>
        <v>1</v>
      </c>
      <c r="N33" s="24">
        <f t="shared" ref="N33:N71" si="27">(K33-INT(K33))*12</f>
        <v>1.2001066806988092E-11</v>
      </c>
      <c r="O33" s="41" t="str">
        <f t="shared" si="13"/>
        <v>0</v>
      </c>
      <c r="P33" s="24">
        <f t="shared" ref="P33:P71" si="28">(N33-INT(N33))*12</f>
        <v>1.4401280168385711E-10</v>
      </c>
      <c r="Q33" s="41" t="str">
        <f t="shared" si="14"/>
        <v>0</v>
      </c>
      <c r="R33" s="24">
        <f t="shared" ref="R33:R71" si="29">(P33-INT(P33))*12</f>
        <v>1.7281536202062853E-9</v>
      </c>
      <c r="S33" s="41" t="str">
        <f t="shared" si="15"/>
        <v>0</v>
      </c>
      <c r="T33" s="24">
        <f t="shared" ref="T33:T71" si="30">(R33-INT(R33))*12</f>
        <v>2.0737843442475423E-8</v>
      </c>
      <c r="U33" s="41" t="str">
        <f t="shared" si="16"/>
        <v>0</v>
      </c>
      <c r="V33" s="24">
        <f t="shared" ref="V33:V71" si="31">(T33-INT(T33))*12</f>
        <v>2.4885412130970508E-7</v>
      </c>
      <c r="W33" s="41" t="str">
        <f t="shared" si="17"/>
        <v>0</v>
      </c>
      <c r="X33" s="24">
        <f t="shared" ref="X33:X71" si="32">(V33-INT(V33))*12</f>
        <v>2.9862494557164609E-6</v>
      </c>
      <c r="Y33" s="41" t="str">
        <f t="shared" si="18"/>
        <v>0</v>
      </c>
      <c r="Z33" s="24">
        <f t="shared" ref="Z33:Z71" si="33">(X33-INT(X33))*12</f>
        <v>3.5834993468597531E-5</v>
      </c>
      <c r="AA33" s="41" t="str">
        <f t="shared" si="19"/>
        <v>0</v>
      </c>
      <c r="AB33" s="24">
        <f t="shared" ref="AB33:AB71" si="34">(Z33-INT(Z33))*12</f>
        <v>4.3001992162317038E-4</v>
      </c>
      <c r="AC33" s="41" t="str">
        <f t="shared" si="20"/>
        <v>0</v>
      </c>
      <c r="AD33" s="24">
        <f t="shared" ref="AD33:AD71" si="35">(AB33-INT(AB33))*12</f>
        <v>5.1602390594780445E-3</v>
      </c>
      <c r="AE33" s="41" t="str">
        <f t="shared" si="21"/>
        <v>0</v>
      </c>
      <c r="AF33" s="24">
        <f t="shared" ref="AF33:AF71" si="36">(AD33-INT(AD33))*12</f>
        <v>6.1922868713736534E-2</v>
      </c>
      <c r="AG33" s="41" t="str">
        <f t="shared" si="22"/>
        <v>0</v>
      </c>
      <c r="AH33" s="24">
        <f t="shared" ref="AH33:AH71" si="37">(AF33-INT(AF33))*12</f>
        <v>0.74307442456483841</v>
      </c>
      <c r="AI33" s="41" t="str">
        <f t="shared" si="23"/>
        <v/>
      </c>
      <c r="AJ33" s="24">
        <f t="shared" ref="AJ33:AJ71" si="38">(AH33-INT(AH33))*12</f>
        <v>8.9168930947780609</v>
      </c>
      <c r="AK33" s="41" t="str">
        <f t="shared" si="24"/>
        <v/>
      </c>
    </row>
    <row r="34" spans="1:37" ht="15" customHeight="1" x14ac:dyDescent="0.2">
      <c r="A34" s="581"/>
      <c r="B34" s="3" t="str">
        <f>Rydberg!B34</f>
        <v>Rydberg constant</v>
      </c>
      <c r="C34" s="3" t="str">
        <f>Rydberg!C34</f>
        <v>Ω_1/m</v>
      </c>
      <c r="D34" s="21">
        <f>Rydberg!D34</f>
        <v>10973731.568157</v>
      </c>
      <c r="E34" s="8">
        <v>12</v>
      </c>
      <c r="F34" s="21">
        <f>D34/(1/F$3)</f>
        <v>2988720.0000000005</v>
      </c>
      <c r="G34" s="42" t="str">
        <f t="shared" si="25"/>
        <v>1;001700000000</v>
      </c>
      <c r="H34" s="275">
        <f t="shared" si="26"/>
        <v>9.1628086419759391E-4</v>
      </c>
      <c r="I34" s="278"/>
      <c r="J34" s="38">
        <v>6</v>
      </c>
      <c r="K34" s="61">
        <f>F34/POWER(12,J34)</f>
        <v>1.0009162808641976</v>
      </c>
      <c r="L34" s="39" t="str">
        <f>INDEX(powers!$H$2:$H$75,33+J34)</f>
        <v>dino cosmic</v>
      </c>
      <c r="M34" s="40" t="str">
        <f t="shared" si="12"/>
        <v>1</v>
      </c>
      <c r="N34" s="24">
        <f t="shared" si="27"/>
        <v>1.0995370370371127E-2</v>
      </c>
      <c r="O34" s="41" t="str">
        <f t="shared" si="13"/>
        <v>0</v>
      </c>
      <c r="P34" s="24">
        <f t="shared" si="28"/>
        <v>0.13194444444445352</v>
      </c>
      <c r="Q34" s="41" t="str">
        <f t="shared" si="14"/>
        <v>0</v>
      </c>
      <c r="R34" s="24">
        <f t="shared" si="29"/>
        <v>1.5833333333334423</v>
      </c>
      <c r="S34" s="41" t="str">
        <f t="shared" si="15"/>
        <v>1</v>
      </c>
      <c r="T34" s="24">
        <f t="shared" si="30"/>
        <v>7.0000000000013074</v>
      </c>
      <c r="U34" s="41" t="str">
        <f t="shared" si="16"/>
        <v>7</v>
      </c>
      <c r="V34" s="24">
        <f t="shared" si="31"/>
        <v>1.5688783605583012E-11</v>
      </c>
      <c r="W34" s="41" t="str">
        <f t="shared" si="17"/>
        <v>0</v>
      </c>
      <c r="X34" s="24">
        <f t="shared" si="32"/>
        <v>1.8826540326699615E-10</v>
      </c>
      <c r="Y34" s="41" t="str">
        <f t="shared" si="18"/>
        <v>0</v>
      </c>
      <c r="Z34" s="24">
        <f t="shared" si="33"/>
        <v>2.2591848392039537E-9</v>
      </c>
      <c r="AA34" s="41" t="str">
        <f t="shared" si="19"/>
        <v>0</v>
      </c>
      <c r="AB34" s="24">
        <f t="shared" si="34"/>
        <v>2.7110218070447445E-8</v>
      </c>
      <c r="AC34" s="41" t="str">
        <f t="shared" si="20"/>
        <v>0</v>
      </c>
      <c r="AD34" s="24">
        <f t="shared" si="35"/>
        <v>3.2532261684536934E-7</v>
      </c>
      <c r="AE34" s="41" t="str">
        <f t="shared" si="21"/>
        <v>0</v>
      </c>
      <c r="AF34" s="24">
        <f t="shared" si="36"/>
        <v>3.9038714021444321E-6</v>
      </c>
      <c r="AG34" s="41" t="str">
        <f t="shared" si="22"/>
        <v>0</v>
      </c>
      <c r="AH34" s="24">
        <f t="shared" si="37"/>
        <v>4.6846456825733185E-5</v>
      </c>
      <c r="AI34" s="41" t="str">
        <f t="shared" si="23"/>
        <v>0</v>
      </c>
      <c r="AJ34" s="24">
        <f t="shared" si="38"/>
        <v>5.6215748190879822E-4</v>
      </c>
      <c r="AK34" s="41" t="str">
        <f t="shared" si="24"/>
        <v>0</v>
      </c>
    </row>
    <row r="35" spans="1:37" ht="15" customHeight="1" x14ac:dyDescent="0.2">
      <c r="A35" s="581"/>
      <c r="B35" s="3" t="str">
        <f>Rydberg!B35</f>
        <v>Speed of light in vacuum</v>
      </c>
      <c r="C35" s="3" t="str">
        <f>Rydberg!C35</f>
        <v>m/s</v>
      </c>
      <c r="D35" s="21">
        <f>Rydberg!D35</f>
        <v>299792458</v>
      </c>
      <c r="E35" s="8">
        <v>12</v>
      </c>
      <c r="F35" s="21">
        <f>D35/(F$3/F$4)</f>
        <v>429981696</v>
      </c>
      <c r="G35" s="37" t="str">
        <f t="shared" si="25"/>
        <v>1;000000000000</v>
      </c>
      <c r="H35" s="275">
        <f t="shared" si="26"/>
        <v>9.9920072216264089E-15</v>
      </c>
      <c r="I35" s="278"/>
      <c r="J35" s="38">
        <v>8</v>
      </c>
      <c r="K35" s="61">
        <f>F35/POWER(12,J35)+0.00000000000001</f>
        <v>1.00000000000001</v>
      </c>
      <c r="L35" s="39" t="str">
        <f>INDEX(powers!$H$2:$H$75,33+J35)</f>
        <v>cosmic</v>
      </c>
      <c r="M35" s="40" t="str">
        <f t="shared" si="12"/>
        <v>1</v>
      </c>
      <c r="N35" s="24">
        <f t="shared" si="27"/>
        <v>1.1990408665951691E-13</v>
      </c>
      <c r="O35" s="41" t="str">
        <f t="shared" si="13"/>
        <v>0</v>
      </c>
      <c r="P35" s="24">
        <f t="shared" si="28"/>
        <v>1.4388490399142029E-12</v>
      </c>
      <c r="Q35" s="41" t="str">
        <f t="shared" si="14"/>
        <v>0</v>
      </c>
      <c r="R35" s="24">
        <f t="shared" si="29"/>
        <v>1.7266188478970435E-11</v>
      </c>
      <c r="S35" s="41" t="str">
        <f t="shared" si="15"/>
        <v>0</v>
      </c>
      <c r="T35" s="24">
        <f t="shared" si="30"/>
        <v>2.0719426174764521E-10</v>
      </c>
      <c r="U35" s="41" t="str">
        <f t="shared" si="16"/>
        <v>0</v>
      </c>
      <c r="V35" s="24">
        <f t="shared" si="31"/>
        <v>2.4863311409717426E-9</v>
      </c>
      <c r="W35" s="41" t="str">
        <f t="shared" si="17"/>
        <v>0</v>
      </c>
      <c r="X35" s="24">
        <f t="shared" si="32"/>
        <v>2.9835973691660911E-8</v>
      </c>
      <c r="Y35" s="41" t="str">
        <f t="shared" si="18"/>
        <v>0</v>
      </c>
      <c r="Z35" s="24">
        <f t="shared" si="33"/>
        <v>3.5803168429993093E-7</v>
      </c>
      <c r="AA35" s="41" t="str">
        <f t="shared" si="19"/>
        <v>0</v>
      </c>
      <c r="AB35" s="24">
        <f t="shared" si="34"/>
        <v>4.2963802115991712E-6</v>
      </c>
      <c r="AC35" s="41" t="str">
        <f t="shared" si="20"/>
        <v>0</v>
      </c>
      <c r="AD35" s="24">
        <f t="shared" si="35"/>
        <v>5.1556562539190054E-5</v>
      </c>
      <c r="AE35" s="41" t="str">
        <f t="shared" si="21"/>
        <v>0</v>
      </c>
      <c r="AF35" s="24">
        <f t="shared" si="36"/>
        <v>6.1867875047028065E-4</v>
      </c>
      <c r="AG35" s="41" t="str">
        <f t="shared" si="22"/>
        <v>0</v>
      </c>
      <c r="AH35" s="24">
        <f t="shared" si="37"/>
        <v>7.4241450056433678E-3</v>
      </c>
      <c r="AI35" s="41" t="str">
        <f t="shared" si="23"/>
        <v>0</v>
      </c>
      <c r="AJ35" s="24">
        <f t="shared" si="38"/>
        <v>8.9089740067720413E-2</v>
      </c>
      <c r="AK35" s="41" t="str">
        <f t="shared" si="24"/>
        <v>0</v>
      </c>
    </row>
    <row r="36" spans="1:37" ht="15" customHeight="1" x14ac:dyDescent="0.2">
      <c r="A36" s="581"/>
      <c r="B36" s="3" t="str">
        <f>Rydberg!B36</f>
        <v>Quantum of action</v>
      </c>
      <c r="C36" s="3" t="str">
        <f>Rydberg!C36</f>
        <v>Js</v>
      </c>
      <c r="D36" s="21">
        <f>Rydberg!D36</f>
        <v>1.0545718176461565E-34</v>
      </c>
      <c r="E36" s="8">
        <v>10</v>
      </c>
      <c r="F36" s="21">
        <f>D36/(F$5*F$4)</f>
        <v>4.2127202330874253E-33</v>
      </c>
      <c r="G36" s="37" t="str">
        <f t="shared" si="25"/>
        <v>1;0000000000</v>
      </c>
      <c r="H36" s="275">
        <f t="shared" si="26"/>
        <v>1.000088900582341E-12</v>
      </c>
      <c r="I36" s="278"/>
      <c r="J36" s="38">
        <v>-30</v>
      </c>
      <c r="K36" s="61">
        <f>F36/POWER(12,J36)+0.000000000001</f>
        <v>1.0000000000010001</v>
      </c>
      <c r="L36" s="39" t="str">
        <f>INDEX(powers!$H$2:$H$75,33+J36)</f>
        <v>gross tetra-atomic</v>
      </c>
      <c r="M36" s="40" t="str">
        <f t="shared" si="12"/>
        <v>1</v>
      </c>
      <c r="N36" s="24">
        <f t="shared" si="27"/>
        <v>1.2001066806988092E-11</v>
      </c>
      <c r="O36" s="41" t="str">
        <f t="shared" si="13"/>
        <v>0</v>
      </c>
      <c r="P36" s="24">
        <f t="shared" si="28"/>
        <v>1.4401280168385711E-10</v>
      </c>
      <c r="Q36" s="41" t="str">
        <f t="shared" si="14"/>
        <v>0</v>
      </c>
      <c r="R36" s="24">
        <f t="shared" si="29"/>
        <v>1.7281536202062853E-9</v>
      </c>
      <c r="S36" s="41" t="str">
        <f t="shared" si="15"/>
        <v>0</v>
      </c>
      <c r="T36" s="24">
        <f t="shared" si="30"/>
        <v>2.0737843442475423E-8</v>
      </c>
      <c r="U36" s="41" t="str">
        <f t="shared" si="16"/>
        <v>0</v>
      </c>
      <c r="V36" s="24">
        <f t="shared" si="31"/>
        <v>2.4885412130970508E-7</v>
      </c>
      <c r="W36" s="41" t="str">
        <f t="shared" si="17"/>
        <v>0</v>
      </c>
      <c r="X36" s="24">
        <f t="shared" si="32"/>
        <v>2.9862494557164609E-6</v>
      </c>
      <c r="Y36" s="41" t="str">
        <f t="shared" si="18"/>
        <v>0</v>
      </c>
      <c r="Z36" s="24">
        <f t="shared" si="33"/>
        <v>3.5834993468597531E-5</v>
      </c>
      <c r="AA36" s="41" t="str">
        <f t="shared" si="19"/>
        <v>0</v>
      </c>
      <c r="AB36" s="24">
        <f t="shared" si="34"/>
        <v>4.3001992162317038E-4</v>
      </c>
      <c r="AC36" s="41" t="str">
        <f t="shared" si="20"/>
        <v>0</v>
      </c>
      <c r="AD36" s="24">
        <f t="shared" si="35"/>
        <v>5.1602390594780445E-3</v>
      </c>
      <c r="AE36" s="41" t="str">
        <f t="shared" si="21"/>
        <v>0</v>
      </c>
      <c r="AF36" s="24">
        <f t="shared" si="36"/>
        <v>6.1922868713736534E-2</v>
      </c>
      <c r="AG36" s="41" t="str">
        <f t="shared" si="22"/>
        <v>0</v>
      </c>
      <c r="AH36" s="24">
        <f t="shared" si="37"/>
        <v>0.74307442456483841</v>
      </c>
      <c r="AI36" s="41" t="str">
        <f t="shared" si="23"/>
        <v/>
      </c>
      <c r="AJ36" s="24">
        <f t="shared" si="38"/>
        <v>8.9168930947780609</v>
      </c>
      <c r="AK36" s="41" t="str">
        <f t="shared" si="24"/>
        <v/>
      </c>
    </row>
    <row r="37" spans="1:37" ht="15" customHeight="1" x14ac:dyDescent="0.2">
      <c r="A37" s="581"/>
      <c r="B37" s="3" t="str">
        <f>Rydberg!B37</f>
        <v>Boltzmann constant</v>
      </c>
      <c r="C37" s="3" t="str">
        <f>Rydberg!C37</f>
        <v>J/K</v>
      </c>
      <c r="D37" s="21">
        <f>Rydberg!D37</f>
        <v>1.3806490000000001E-23</v>
      </c>
      <c r="E37" s="8">
        <v>10</v>
      </c>
      <c r="F37" s="21">
        <f>D37/(F$5/F$6)</f>
        <v>1.2579115212475324E-26</v>
      </c>
      <c r="G37" s="37" t="str">
        <f t="shared" si="25"/>
        <v>1;0000000000</v>
      </c>
      <c r="H37" s="275">
        <f t="shared" si="26"/>
        <v>0</v>
      </c>
      <c r="I37" s="278"/>
      <c r="J37" s="131">
        <v>-24</v>
      </c>
      <c r="K37" s="61">
        <f t="shared" ref="K37:K71" si="39">F37/POWER(12,J37)</f>
        <v>1.0000000000000002</v>
      </c>
      <c r="L37" s="134" t="str">
        <f>INDEX(powers!$H$2:$H$75,33+J37)</f>
        <v>ter-atomic</v>
      </c>
      <c r="M37" s="40" t="str">
        <f t="shared" si="12"/>
        <v>1</v>
      </c>
      <c r="N37" s="24">
        <f t="shared" si="27"/>
        <v>2.6645352591003757E-15</v>
      </c>
      <c r="O37" s="41" t="str">
        <f t="shared" si="13"/>
        <v>0</v>
      </c>
      <c r="P37" s="24">
        <f t="shared" si="28"/>
        <v>3.1974423109204508E-14</v>
      </c>
      <c r="Q37" s="41" t="str">
        <f t="shared" si="14"/>
        <v>0</v>
      </c>
      <c r="R37" s="24">
        <f t="shared" si="29"/>
        <v>3.836930773104541E-13</v>
      </c>
      <c r="S37" s="41" t="str">
        <f t="shared" si="15"/>
        <v>0</v>
      </c>
      <c r="T37" s="24">
        <f t="shared" si="30"/>
        <v>4.6043169277254492E-12</v>
      </c>
      <c r="U37" s="41" t="str">
        <f t="shared" si="16"/>
        <v>0</v>
      </c>
      <c r="V37" s="24">
        <f t="shared" si="31"/>
        <v>5.525180313270539E-11</v>
      </c>
      <c r="W37" s="41" t="str">
        <f t="shared" si="17"/>
        <v>0</v>
      </c>
      <c r="X37" s="24">
        <f t="shared" si="32"/>
        <v>6.6302163759246469E-10</v>
      </c>
      <c r="Y37" s="41" t="str">
        <f t="shared" si="18"/>
        <v>0</v>
      </c>
      <c r="Z37" s="24">
        <f t="shared" si="33"/>
        <v>7.9562596511095762E-9</v>
      </c>
      <c r="AA37" s="41" t="str">
        <f t="shared" si="19"/>
        <v>0</v>
      </c>
      <c r="AB37" s="24">
        <f t="shared" si="34"/>
        <v>9.5475115813314915E-8</v>
      </c>
      <c r="AC37" s="41" t="str">
        <f t="shared" si="20"/>
        <v>0</v>
      </c>
      <c r="AD37" s="24">
        <f t="shared" si="35"/>
        <v>1.145701389759779E-6</v>
      </c>
      <c r="AE37" s="41" t="str">
        <f t="shared" si="21"/>
        <v>0</v>
      </c>
      <c r="AF37" s="24">
        <f t="shared" si="36"/>
        <v>1.3748416677117348E-5</v>
      </c>
      <c r="AG37" s="41" t="str">
        <f t="shared" si="22"/>
        <v>0</v>
      </c>
      <c r="AH37" s="24">
        <f t="shared" si="37"/>
        <v>1.6498100012540817E-4</v>
      </c>
      <c r="AI37" s="41" t="str">
        <f t="shared" si="23"/>
        <v/>
      </c>
      <c r="AJ37" s="24">
        <f t="shared" si="38"/>
        <v>1.9797720015048981E-3</v>
      </c>
      <c r="AK37" s="41" t="str">
        <f t="shared" si="24"/>
        <v/>
      </c>
    </row>
    <row r="38" spans="1:37" ht="15" customHeight="1" x14ac:dyDescent="0.2">
      <c r="A38" s="581"/>
      <c r="B38" s="3" t="str">
        <f>Rydberg!B38</f>
        <v>Gas constant</v>
      </c>
      <c r="C38" s="3" t="str">
        <f>Rydberg!C38</f>
        <v>J/(mol K)</v>
      </c>
      <c r="D38" s="21">
        <f>Rydberg!D38</f>
        <v>8.3144626181532395</v>
      </c>
      <c r="E38" s="8">
        <v>10</v>
      </c>
      <c r="F38" s="21">
        <f>ROUND(D38/(F$5/F$6/F$7),0)</f>
        <v>1</v>
      </c>
      <c r="G38" s="37" t="str">
        <f t="shared" si="25"/>
        <v>1;0000000000</v>
      </c>
      <c r="H38" s="275">
        <f t="shared" si="26"/>
        <v>0</v>
      </c>
      <c r="I38" s="278"/>
      <c r="J38" s="131">
        <v>0</v>
      </c>
      <c r="K38" s="61">
        <f t="shared" si="39"/>
        <v>1</v>
      </c>
      <c r="L38" s="134" t="str">
        <f>INDEX(powers!$H$2:$H$75,33+J38)</f>
        <v xml:space="preserve"> </v>
      </c>
      <c r="M38" s="40" t="str">
        <f t="shared" si="12"/>
        <v>1</v>
      </c>
      <c r="N38" s="24">
        <f t="shared" si="27"/>
        <v>0</v>
      </c>
      <c r="O38" s="41" t="str">
        <f t="shared" si="13"/>
        <v>0</v>
      </c>
      <c r="P38" s="24">
        <f t="shared" si="28"/>
        <v>0</v>
      </c>
      <c r="Q38" s="41" t="str">
        <f t="shared" si="14"/>
        <v>0</v>
      </c>
      <c r="R38" s="24">
        <f t="shared" si="29"/>
        <v>0</v>
      </c>
      <c r="S38" s="41" t="str">
        <f t="shared" si="15"/>
        <v>0</v>
      </c>
      <c r="T38" s="24">
        <f t="shared" si="30"/>
        <v>0</v>
      </c>
      <c r="U38" s="41" t="str">
        <f t="shared" si="16"/>
        <v>0</v>
      </c>
      <c r="V38" s="24">
        <f t="shared" si="31"/>
        <v>0</v>
      </c>
      <c r="W38" s="41" t="str">
        <f t="shared" si="17"/>
        <v>0</v>
      </c>
      <c r="X38" s="24">
        <f t="shared" si="32"/>
        <v>0</v>
      </c>
      <c r="Y38" s="41" t="str">
        <f t="shared" si="18"/>
        <v>0</v>
      </c>
      <c r="Z38" s="24">
        <f t="shared" si="33"/>
        <v>0</v>
      </c>
      <c r="AA38" s="41" t="str">
        <f t="shared" si="19"/>
        <v>0</v>
      </c>
      <c r="AB38" s="24">
        <f t="shared" si="34"/>
        <v>0</v>
      </c>
      <c r="AC38" s="41" t="str">
        <f t="shared" si="20"/>
        <v>0</v>
      </c>
      <c r="AD38" s="24">
        <f t="shared" si="35"/>
        <v>0</v>
      </c>
      <c r="AE38" s="41" t="str">
        <f t="shared" si="21"/>
        <v>0</v>
      </c>
      <c r="AF38" s="24">
        <f t="shared" si="36"/>
        <v>0</v>
      </c>
      <c r="AG38" s="41" t="str">
        <f t="shared" si="22"/>
        <v>0</v>
      </c>
      <c r="AH38" s="24">
        <f t="shared" si="37"/>
        <v>0</v>
      </c>
      <c r="AI38" s="41" t="str">
        <f t="shared" si="23"/>
        <v/>
      </c>
      <c r="AJ38" s="24">
        <f t="shared" si="38"/>
        <v>0</v>
      </c>
      <c r="AK38" s="41" t="str">
        <f t="shared" si="24"/>
        <v/>
      </c>
    </row>
    <row r="39" spans="1:37" ht="15" customHeight="1" x14ac:dyDescent="0.2">
      <c r="A39" s="581"/>
      <c r="B39" s="3" t="str">
        <f>Rydberg!B39</f>
        <v>Unified atomic mass unit</v>
      </c>
      <c r="C39" s="3" t="str">
        <f>Rydberg!C39</f>
        <v>kg</v>
      </c>
      <c r="D39" s="21">
        <f>Rydberg!D39</f>
        <v>1.6605390689199999E-27</v>
      </c>
      <c r="E39" s="8">
        <v>10</v>
      </c>
      <c r="F39" s="21">
        <f>D39/F$8</f>
        <v>1.2596131542020831E-26</v>
      </c>
      <c r="G39" s="37" t="str">
        <f t="shared" si="25"/>
        <v>1;0024073349</v>
      </c>
      <c r="H39" s="275">
        <f t="shared" si="26"/>
        <v>1.3527445498420221E-3</v>
      </c>
      <c r="I39" s="278"/>
      <c r="J39" s="38">
        <v>-24</v>
      </c>
      <c r="K39" s="61">
        <f t="shared" si="39"/>
        <v>1.001352744549842</v>
      </c>
      <c r="L39" s="39" t="str">
        <f>INDEX(powers!$H$2:$H$75,33+J39)</f>
        <v>ter-atomic</v>
      </c>
      <c r="M39" s="40" t="str">
        <f t="shared" si="12"/>
        <v>1</v>
      </c>
      <c r="N39" s="24">
        <f t="shared" si="27"/>
        <v>1.6232934598104265E-2</v>
      </c>
      <c r="O39" s="41" t="str">
        <f t="shared" si="13"/>
        <v>0</v>
      </c>
      <c r="P39" s="24">
        <f t="shared" si="28"/>
        <v>0.19479521517725118</v>
      </c>
      <c r="Q39" s="41" t="str">
        <f t="shared" si="14"/>
        <v>0</v>
      </c>
      <c r="R39" s="24">
        <f t="shared" si="29"/>
        <v>2.3375425821270142</v>
      </c>
      <c r="S39" s="41" t="str">
        <f t="shared" si="15"/>
        <v>2</v>
      </c>
      <c r="T39" s="24">
        <f t="shared" si="30"/>
        <v>4.0505109855241699</v>
      </c>
      <c r="U39" s="41" t="str">
        <f t="shared" si="16"/>
        <v>4</v>
      </c>
      <c r="V39" s="24">
        <f t="shared" si="31"/>
        <v>0.60613182629003859</v>
      </c>
      <c r="W39" s="41" t="str">
        <f t="shared" si="17"/>
        <v>0</v>
      </c>
      <c r="X39" s="24">
        <f t="shared" si="32"/>
        <v>7.2735819154804631</v>
      </c>
      <c r="Y39" s="41" t="str">
        <f t="shared" si="18"/>
        <v>7</v>
      </c>
      <c r="Z39" s="24">
        <f t="shared" si="33"/>
        <v>3.2829829857655568</v>
      </c>
      <c r="AA39" s="41" t="str">
        <f t="shared" si="19"/>
        <v>3</v>
      </c>
      <c r="AB39" s="24">
        <f t="shared" si="34"/>
        <v>3.3957958291866817</v>
      </c>
      <c r="AC39" s="41" t="str">
        <f t="shared" si="20"/>
        <v>3</v>
      </c>
      <c r="AD39" s="24">
        <f t="shared" si="35"/>
        <v>4.7495499502401799</v>
      </c>
      <c r="AE39" s="41" t="str">
        <f t="shared" si="21"/>
        <v>4</v>
      </c>
      <c r="AF39" s="24">
        <f t="shared" si="36"/>
        <v>8.9945994028821588</v>
      </c>
      <c r="AG39" s="41" t="str">
        <f t="shared" si="22"/>
        <v>9</v>
      </c>
      <c r="AH39" s="24">
        <f t="shared" si="37"/>
        <v>11.935192834585905</v>
      </c>
      <c r="AI39" s="41" t="str">
        <f t="shared" si="23"/>
        <v/>
      </c>
      <c r="AJ39" s="24">
        <f t="shared" si="38"/>
        <v>11.222314015030861</v>
      </c>
      <c r="AK39" s="41" t="str">
        <f t="shared" si="24"/>
        <v/>
      </c>
    </row>
    <row r="40" spans="1:37" ht="15" customHeight="1" x14ac:dyDescent="0.2">
      <c r="A40" s="581"/>
      <c r="B40" s="3" t="str">
        <f>Rydberg!B40</f>
        <v>Bohr Radius</v>
      </c>
      <c r="C40" s="3" t="str">
        <f>Rydberg!C40</f>
        <v>m</v>
      </c>
      <c r="D40" s="21">
        <f>Rydberg!D40</f>
        <v>5.2917721054102549E-11</v>
      </c>
      <c r="E40" s="8">
        <v>10</v>
      </c>
      <c r="F40" s="21">
        <f>D40/F$3</f>
        <v>1.9429885236701042E-10</v>
      </c>
      <c r="G40" s="37" t="str">
        <f t="shared" si="25"/>
        <v>1;00447X73X8</v>
      </c>
      <c r="H40" s="275">
        <f t="shared" si="26"/>
        <v>2.5394008594490369E-3</v>
      </c>
      <c r="I40" s="278"/>
      <c r="J40" s="38">
        <v>-9</v>
      </c>
      <c r="K40" s="61">
        <f t="shared" si="39"/>
        <v>1.002539400859449</v>
      </c>
      <c r="L40" s="39" t="str">
        <f>INDEX(powers!$H$2:$H$75,33+J40)</f>
        <v>unino atomic</v>
      </c>
      <c r="M40" s="40" t="str">
        <f t="shared" si="12"/>
        <v>1</v>
      </c>
      <c r="N40" s="24">
        <f t="shared" si="27"/>
        <v>3.0472810313388443E-2</v>
      </c>
      <c r="O40" s="41" t="str">
        <f t="shared" si="13"/>
        <v>0</v>
      </c>
      <c r="P40" s="24">
        <f t="shared" si="28"/>
        <v>0.36567372376066132</v>
      </c>
      <c r="Q40" s="41" t="str">
        <f t="shared" si="14"/>
        <v>0</v>
      </c>
      <c r="R40" s="24">
        <f t="shared" si="29"/>
        <v>4.3880846851279358</v>
      </c>
      <c r="S40" s="41" t="str">
        <f t="shared" si="15"/>
        <v>4</v>
      </c>
      <c r="T40" s="24">
        <f t="shared" si="30"/>
        <v>4.6570162215352298</v>
      </c>
      <c r="U40" s="41" t="str">
        <f t="shared" si="16"/>
        <v>4</v>
      </c>
      <c r="V40" s="24">
        <f t="shared" si="31"/>
        <v>7.8841946584227571</v>
      </c>
      <c r="W40" s="41" t="str">
        <f t="shared" si="17"/>
        <v>7</v>
      </c>
      <c r="X40" s="24">
        <f t="shared" si="32"/>
        <v>10.610335901073086</v>
      </c>
      <c r="Y40" s="41" t="str">
        <f t="shared" si="18"/>
        <v>X</v>
      </c>
      <c r="Z40" s="24">
        <f t="shared" si="33"/>
        <v>7.3240308128770266</v>
      </c>
      <c r="AA40" s="41" t="str">
        <f t="shared" si="19"/>
        <v>7</v>
      </c>
      <c r="AB40" s="24">
        <f t="shared" si="34"/>
        <v>3.8883697545243194</v>
      </c>
      <c r="AC40" s="41" t="str">
        <f t="shared" si="20"/>
        <v>3</v>
      </c>
      <c r="AD40" s="24">
        <f t="shared" si="35"/>
        <v>10.660437054291833</v>
      </c>
      <c r="AE40" s="41" t="str">
        <f t="shared" si="21"/>
        <v>X</v>
      </c>
      <c r="AF40" s="24">
        <f t="shared" si="36"/>
        <v>7.9252446515019983</v>
      </c>
      <c r="AG40" s="41" t="str">
        <f t="shared" si="22"/>
        <v>8</v>
      </c>
      <c r="AH40" s="24">
        <f t="shared" si="37"/>
        <v>11.10293581802398</v>
      </c>
      <c r="AI40" s="41" t="str">
        <f t="shared" si="23"/>
        <v/>
      </c>
      <c r="AJ40" s="24">
        <f t="shared" si="38"/>
        <v>1.235229816287756</v>
      </c>
      <c r="AK40" s="41" t="str">
        <f t="shared" si="24"/>
        <v/>
      </c>
    </row>
    <row r="41" spans="1:37" ht="15" customHeight="1" x14ac:dyDescent="0.2">
      <c r="A41" s="581"/>
      <c r="B41" s="3" t="str">
        <f>Rydberg!B41</f>
        <v>Elementary electric charge</v>
      </c>
      <c r="C41" s="3" t="str">
        <f>Rydberg!C41</f>
        <v>C</v>
      </c>
      <c r="D41" s="21">
        <f>Rydberg!D41</f>
        <v>1.6021766339999999E-19</v>
      </c>
      <c r="E41" s="8">
        <v>10</v>
      </c>
      <c r="F41" s="21">
        <f>D41/F$12</f>
        <v>5.5445202497451214E-18</v>
      </c>
      <c r="G41" s="37" t="str">
        <f t="shared" si="25"/>
        <v>1;0374439E14</v>
      </c>
      <c r="H41" s="503">
        <f t="shared" si="26"/>
        <v>2.5094517302649111E-2</v>
      </c>
      <c r="I41" s="278"/>
      <c r="J41" s="38">
        <v>-16</v>
      </c>
      <c r="K41" s="61">
        <f t="shared" si="39"/>
        <v>1.0250945173026491</v>
      </c>
      <c r="L41" s="39" t="str">
        <f>INDEX(powers!$H$2:$H$75,33+J41)</f>
        <v>di-atomic</v>
      </c>
      <c r="M41" s="40" t="str">
        <f t="shared" si="12"/>
        <v>1</v>
      </c>
      <c r="N41" s="24">
        <f t="shared" si="27"/>
        <v>0.30113420763178933</v>
      </c>
      <c r="O41" s="41" t="str">
        <f t="shared" si="13"/>
        <v>0</v>
      </c>
      <c r="P41" s="24">
        <f t="shared" si="28"/>
        <v>3.613610491581472</v>
      </c>
      <c r="Q41" s="41" t="str">
        <f t="shared" si="14"/>
        <v>3</v>
      </c>
      <c r="R41" s="24">
        <f t="shared" si="29"/>
        <v>7.3633258989776635</v>
      </c>
      <c r="S41" s="41" t="str">
        <f t="shared" si="15"/>
        <v>7</v>
      </c>
      <c r="T41" s="24">
        <f t="shared" si="30"/>
        <v>4.3599107877319625</v>
      </c>
      <c r="U41" s="41" t="str">
        <f t="shared" si="16"/>
        <v>4</v>
      </c>
      <c r="V41" s="24">
        <f t="shared" si="31"/>
        <v>4.31892945278355</v>
      </c>
      <c r="W41" s="41" t="str">
        <f t="shared" si="17"/>
        <v>4</v>
      </c>
      <c r="X41" s="24">
        <f t="shared" si="32"/>
        <v>3.8271534334026001</v>
      </c>
      <c r="Y41" s="41" t="str">
        <f t="shared" si="18"/>
        <v>3</v>
      </c>
      <c r="Z41" s="24">
        <f t="shared" si="33"/>
        <v>9.9258412008312007</v>
      </c>
      <c r="AA41" s="41" t="str">
        <f t="shared" si="19"/>
        <v>9</v>
      </c>
      <c r="AB41" s="24">
        <f t="shared" si="34"/>
        <v>11.110094409974408</v>
      </c>
      <c r="AC41" s="41" t="str">
        <f t="shared" si="20"/>
        <v>E</v>
      </c>
      <c r="AD41" s="24">
        <f t="shared" si="35"/>
        <v>1.3211329196929</v>
      </c>
      <c r="AE41" s="41" t="str">
        <f t="shared" si="21"/>
        <v>1</v>
      </c>
      <c r="AF41" s="24">
        <f t="shared" si="36"/>
        <v>3.8535950363148004</v>
      </c>
      <c r="AG41" s="41" t="str">
        <f t="shared" si="22"/>
        <v>4</v>
      </c>
      <c r="AH41" s="24">
        <f t="shared" si="37"/>
        <v>10.243140435777605</v>
      </c>
      <c r="AI41" s="41" t="str">
        <f t="shared" si="23"/>
        <v/>
      </c>
      <c r="AJ41" s="24">
        <f t="shared" si="38"/>
        <v>2.917685229331255</v>
      </c>
      <c r="AK41" s="41" t="str">
        <f t="shared" si="24"/>
        <v/>
      </c>
    </row>
    <row r="42" spans="1:37" ht="15" customHeight="1" x14ac:dyDescent="0.2">
      <c r="A42" s="581"/>
      <c r="B42" s="3" t="str">
        <f>Rydberg!B42</f>
        <v>Electron mass</v>
      </c>
      <c r="C42" s="3" t="str">
        <f>Rydberg!C42</f>
        <v>kg</v>
      </c>
      <c r="D42" s="21">
        <f>Rydberg!D42</f>
        <v>9.1093837139983745E-31</v>
      </c>
      <c r="E42" s="8">
        <v>10</v>
      </c>
      <c r="F42" s="21">
        <f>D42/F$8</f>
        <v>6.9099846956864205E-30</v>
      </c>
      <c r="G42" s="37" t="str">
        <f t="shared" si="25"/>
        <v>0;E48324X245</v>
      </c>
      <c r="H42" s="275">
        <f t="shared" si="26"/>
        <v>-5.0771588266859569E-2</v>
      </c>
      <c r="I42" s="278"/>
      <c r="J42" s="38">
        <v>-27</v>
      </c>
      <c r="K42" s="61">
        <f t="shared" si="39"/>
        <v>0.94922841173314043</v>
      </c>
      <c r="L42" s="39" t="str">
        <f>INDEX(powers!$H$2:$H$75,33+J42)</f>
        <v>terno ter-atomic</v>
      </c>
      <c r="M42" s="40" t="str">
        <f t="shared" si="12"/>
        <v>0</v>
      </c>
      <c r="N42" s="24">
        <f t="shared" si="27"/>
        <v>11.390740940797684</v>
      </c>
      <c r="O42" s="41" t="str">
        <f t="shared" si="13"/>
        <v>E</v>
      </c>
      <c r="P42" s="24">
        <f t="shared" si="28"/>
        <v>4.6888912895722115</v>
      </c>
      <c r="Q42" s="41" t="str">
        <f t="shared" si="14"/>
        <v>4</v>
      </c>
      <c r="R42" s="24">
        <f t="shared" si="29"/>
        <v>8.2666954748665376</v>
      </c>
      <c r="S42" s="41" t="str">
        <f t="shared" si="15"/>
        <v>8</v>
      </c>
      <c r="T42" s="24">
        <f t="shared" si="30"/>
        <v>3.2003456983984506</v>
      </c>
      <c r="U42" s="41" t="str">
        <f t="shared" si="16"/>
        <v>3</v>
      </c>
      <c r="V42" s="24">
        <f t="shared" si="31"/>
        <v>2.4041483807814075</v>
      </c>
      <c r="W42" s="41" t="str">
        <f t="shared" si="17"/>
        <v>2</v>
      </c>
      <c r="X42" s="24">
        <f t="shared" si="32"/>
        <v>4.8497805693768896</v>
      </c>
      <c r="Y42" s="41" t="str">
        <f t="shared" si="18"/>
        <v>4</v>
      </c>
      <c r="Z42" s="24">
        <f t="shared" si="33"/>
        <v>10.197366832522675</v>
      </c>
      <c r="AA42" s="41" t="str">
        <f t="shared" si="19"/>
        <v>X</v>
      </c>
      <c r="AB42" s="24">
        <f t="shared" si="34"/>
        <v>2.3684019902721047</v>
      </c>
      <c r="AC42" s="41" t="str">
        <f t="shared" si="20"/>
        <v>2</v>
      </c>
      <c r="AD42" s="24">
        <f t="shared" si="35"/>
        <v>4.4208238832652569</v>
      </c>
      <c r="AE42" s="41" t="str">
        <f t="shared" si="21"/>
        <v>4</v>
      </c>
      <c r="AF42" s="24">
        <f t="shared" si="36"/>
        <v>5.0498865991830826</v>
      </c>
      <c r="AG42" s="41" t="str">
        <f t="shared" si="22"/>
        <v>5</v>
      </c>
      <c r="AH42" s="24">
        <f t="shared" si="37"/>
        <v>0.59863919019699097</v>
      </c>
      <c r="AI42" s="41" t="str">
        <f t="shared" si="23"/>
        <v/>
      </c>
      <c r="AJ42" s="24">
        <f t="shared" si="38"/>
        <v>7.1836702823638916</v>
      </c>
      <c r="AK42" s="41" t="str">
        <f t="shared" si="24"/>
        <v/>
      </c>
    </row>
    <row r="43" spans="1:37" ht="15" customHeight="1" x14ac:dyDescent="0.2">
      <c r="A43" s="581"/>
      <c r="B43" s="3" t="str">
        <f>Rydberg!B43</f>
        <v>Proton mass</v>
      </c>
      <c r="C43" s="3" t="str">
        <f>Rydberg!C43</f>
        <v>kg</v>
      </c>
      <c r="D43" s="21">
        <f>Rydberg!D43</f>
        <v>1.6726219259579541E-27</v>
      </c>
      <c r="E43" s="8">
        <v>10</v>
      </c>
      <c r="F43" s="21">
        <f>D43/F$8</f>
        <v>1.2687786872209774E-26</v>
      </c>
      <c r="G43" s="37" t="str">
        <f t="shared" ref="G43" si="40">M43&amp;";"&amp;O43&amp;Q43&amp;S43&amp;U43&amp;W43&amp;Y43&amp;AA43&amp;AC43&amp;AE43&amp;AG43&amp;AI43&amp;AK43</f>
        <v>1;012E180E29</v>
      </c>
      <c r="H43" s="275">
        <f t="shared" ref="H43" si="41">K43*POWER(12,I43)/ROUND(K43*POWER(12,I43),0)-1</f>
        <v>8.6390543292487187E-3</v>
      </c>
      <c r="I43" s="278"/>
      <c r="J43" s="38">
        <v>-24</v>
      </c>
      <c r="K43" s="61">
        <f t="shared" ref="K43" si="42">F43/POWER(12,J43)</f>
        <v>1.0086390543292487</v>
      </c>
      <c r="L43" s="39" t="str">
        <f>INDEX(powers!$H$2:$H$75,33+J43)</f>
        <v>ter-atomic</v>
      </c>
      <c r="M43" s="40" t="str">
        <f t="shared" ref="M43" si="43">IF($E43&gt;=M$31,MID($J$31,IF($E43&gt;M$31,INT(K43),ROUND(K43,0))+1,1),"")</f>
        <v>1</v>
      </c>
      <c r="N43" s="24">
        <f t="shared" ref="N43" si="44">(K43-INT(K43))*12</f>
        <v>0.10366865195098462</v>
      </c>
      <c r="O43" s="41" t="str">
        <f t="shared" ref="O43" si="45">IF($E43&gt;=O$31,MID($J$31,IF($E43&gt;O$31,INT(N43),ROUND(N43,0))+1,1),"")</f>
        <v>0</v>
      </c>
      <c r="P43" s="24">
        <f t="shared" ref="P43" si="46">(N43-INT(N43))*12</f>
        <v>1.2440238234118155</v>
      </c>
      <c r="Q43" s="41" t="str">
        <f t="shared" ref="Q43" si="47">IF($E43&gt;=Q$31,MID($J$31,IF($E43&gt;Q$31,INT(P43),ROUND(P43,0))+1,1),"")</f>
        <v>1</v>
      </c>
      <c r="R43" s="24">
        <f t="shared" ref="R43" si="48">(P43-INT(P43))*12</f>
        <v>2.928285880941786</v>
      </c>
      <c r="S43" s="41" t="str">
        <f t="shared" ref="S43" si="49">IF($E43&gt;=S$31,MID($J$31,IF($E43&gt;S$31,INT(R43),ROUND(R43,0))+1,1),"")</f>
        <v>2</v>
      </c>
      <c r="T43" s="24">
        <f t="shared" ref="T43" si="50">(R43-INT(R43))*12</f>
        <v>11.139430571301432</v>
      </c>
      <c r="U43" s="41" t="str">
        <f t="shared" ref="U43" si="51">IF($E43&gt;=U$31,MID($J$31,IF($E43&gt;U$31,INT(T43),ROUND(T43,0))+1,1),"")</f>
        <v>E</v>
      </c>
      <c r="V43" s="24">
        <f t="shared" ref="V43" si="52">(T43-INT(T43))*12</f>
        <v>1.6731668556171826</v>
      </c>
      <c r="W43" s="41" t="str">
        <f t="shared" ref="W43" si="53">IF($E43&gt;=W$31,MID($J$31,IF($E43&gt;W$31,INT(V43),ROUND(V43,0))+1,1),"")</f>
        <v>1</v>
      </c>
      <c r="X43" s="24">
        <f t="shared" ref="X43" si="54">(V43-INT(V43))*12</f>
        <v>8.0780022674061911</v>
      </c>
      <c r="Y43" s="41" t="str">
        <f t="shared" ref="Y43" si="55">IF($E43&gt;=Y$31,MID($J$31,IF($E43&gt;Y$31,INT(X43),ROUND(X43,0))+1,1),"")</f>
        <v>8</v>
      </c>
      <c r="Z43" s="24">
        <f t="shared" ref="Z43" si="56">(X43-INT(X43))*12</f>
        <v>0.93602720887429314</v>
      </c>
      <c r="AA43" s="41" t="str">
        <f t="shared" ref="AA43" si="57">IF($E43&gt;=AA$31,MID($J$31,IF($E43&gt;AA$31,INT(Z43),ROUND(Z43,0))+1,1),"")</f>
        <v>0</v>
      </c>
      <c r="AB43" s="24">
        <f t="shared" ref="AB43" si="58">(Z43-INT(Z43))*12</f>
        <v>11.232326506491518</v>
      </c>
      <c r="AC43" s="41" t="str">
        <f t="shared" ref="AC43" si="59">IF($E43&gt;=AC$31,MID($J$31,IF($E43&gt;AC$31,INT(AB43),ROUND(AB43,0))+1,1),"")</f>
        <v>E</v>
      </c>
      <c r="AD43" s="24">
        <f t="shared" ref="AD43" si="60">(AB43-INT(AB43))*12</f>
        <v>2.7879180778982118</v>
      </c>
      <c r="AE43" s="41" t="str">
        <f t="shared" ref="AE43" si="61">IF($E43&gt;=AE$31,MID($J$31,IF($E43&gt;AE$31,INT(AD43),ROUND(AD43,0))+1,1),"")</f>
        <v>2</v>
      </c>
      <c r="AF43" s="24">
        <f t="shared" ref="AF43" si="62">(AD43-INT(AD43))*12</f>
        <v>9.4550169347785413</v>
      </c>
      <c r="AG43" s="41" t="str">
        <f t="shared" ref="AG43" si="63">IF($E43&gt;=AG$31,MID($J$31,IF($E43&gt;AG$31,INT(AF43),ROUND(AF43,0))+1,1),"")</f>
        <v>9</v>
      </c>
      <c r="AH43" s="24">
        <f t="shared" ref="AH43" si="64">(AF43-INT(AF43))*12</f>
        <v>5.4602032173424959</v>
      </c>
      <c r="AI43" s="41" t="str">
        <f t="shared" ref="AI43" si="65">IF($E43&gt;=AI$31,MID($J$31,IF($E43&gt;AI$31,INT(AH43),ROUND(AH43,0))+1,1),"")</f>
        <v/>
      </c>
      <c r="AJ43" s="24">
        <f t="shared" ref="AJ43" si="66">(AH43-INT(AH43))*12</f>
        <v>5.522438608109951</v>
      </c>
      <c r="AK43" s="41" t="str">
        <f t="shared" ref="AK43" si="67">IF($E43&gt;=AK$31,MID($J$31,IF($E43&gt;AK$31,INT(AJ43),ROUND(AJ43,0))+1,1),"")</f>
        <v/>
      </c>
    </row>
    <row r="44" spans="1:37" ht="15" customHeight="1" x14ac:dyDescent="0.2">
      <c r="A44" s="581"/>
      <c r="B44" s="3" t="str">
        <f>Rydberg!B44</f>
        <v>Newtonian constant of gravitation</v>
      </c>
      <c r="C44" s="3" t="str">
        <f>Rydberg!C44</f>
        <v>(m/s)^4/N</v>
      </c>
      <c r="D44" s="21">
        <f>Rydberg!D44</f>
        <v>6.6742999999999994E-11</v>
      </c>
      <c r="E44" s="8">
        <v>5</v>
      </c>
      <c r="F44" s="21">
        <f>D44/(POWER(F$3/F$4,4)/F$10)</f>
        <v>6.6457694051389522E-11</v>
      </c>
      <c r="G44" s="37" t="str">
        <f t="shared" si="25"/>
        <v>4;14663</v>
      </c>
      <c r="H44" s="275">
        <f t="shared" si="26"/>
        <v>2.8721312016760869E-2</v>
      </c>
      <c r="I44" s="278"/>
      <c r="J44" s="38">
        <v>-10</v>
      </c>
      <c r="K44" s="61">
        <f t="shared" si="39"/>
        <v>4.1148852480670435</v>
      </c>
      <c r="L44" s="39" t="str">
        <f>INDEX(powers!$H$2:$H$75,33+J44)</f>
        <v>dino atomic</v>
      </c>
      <c r="M44" s="40" t="str">
        <f t="shared" si="12"/>
        <v>4</v>
      </c>
      <c r="N44" s="24">
        <f t="shared" si="27"/>
        <v>1.3786229768045217</v>
      </c>
      <c r="O44" s="41" t="str">
        <f t="shared" si="13"/>
        <v>1</v>
      </c>
      <c r="P44" s="24">
        <f t="shared" si="28"/>
        <v>4.5434757216542607</v>
      </c>
      <c r="Q44" s="41" t="str">
        <f t="shared" si="14"/>
        <v>4</v>
      </c>
      <c r="R44" s="24">
        <f t="shared" si="29"/>
        <v>6.5217086598511287</v>
      </c>
      <c r="S44" s="41" t="str">
        <f t="shared" si="15"/>
        <v>6</v>
      </c>
      <c r="T44" s="24">
        <f t="shared" si="30"/>
        <v>6.2605039182135442</v>
      </c>
      <c r="U44" s="41" t="str">
        <f t="shared" si="16"/>
        <v>6</v>
      </c>
      <c r="V44" s="24">
        <f t="shared" si="31"/>
        <v>3.1260470185625309</v>
      </c>
      <c r="W44" s="41" t="str">
        <f t="shared" si="17"/>
        <v>3</v>
      </c>
      <c r="X44" s="24">
        <f t="shared" si="32"/>
        <v>1.5125642227503704</v>
      </c>
      <c r="Y44" s="41" t="str">
        <f t="shared" si="18"/>
        <v/>
      </c>
      <c r="Z44" s="24">
        <f t="shared" si="33"/>
        <v>6.1507706730044447</v>
      </c>
      <c r="AA44" s="41" t="str">
        <f t="shared" si="19"/>
        <v/>
      </c>
      <c r="AB44" s="24">
        <f t="shared" si="34"/>
        <v>1.8092480760533363</v>
      </c>
      <c r="AC44" s="41" t="str">
        <f t="shared" si="20"/>
        <v/>
      </c>
      <c r="AD44" s="24">
        <f t="shared" si="35"/>
        <v>9.7109769126400352</v>
      </c>
      <c r="AE44" s="41" t="str">
        <f t="shared" si="21"/>
        <v/>
      </c>
      <c r="AF44" s="24">
        <f t="shared" si="36"/>
        <v>8.5317229516804218</v>
      </c>
      <c r="AG44" s="41" t="str">
        <f t="shared" si="22"/>
        <v/>
      </c>
      <c r="AH44" s="24">
        <f t="shared" si="37"/>
        <v>6.380675420165062</v>
      </c>
      <c r="AI44" s="41" t="str">
        <f t="shared" si="23"/>
        <v/>
      </c>
      <c r="AJ44" s="24">
        <f t="shared" si="38"/>
        <v>4.5681050419807434</v>
      </c>
      <c r="AK44" s="41" t="str">
        <f t="shared" si="24"/>
        <v/>
      </c>
    </row>
    <row r="45" spans="1:37" ht="15" customHeight="1" x14ac:dyDescent="0.2">
      <c r="A45" s="581"/>
      <c r="B45" s="3" t="str">
        <f>Rydberg!B45</f>
        <v>Planck force</v>
      </c>
      <c r="C45" s="3" t="str">
        <f>Rydberg!C45</f>
        <v>N</v>
      </c>
      <c r="D45" s="21">
        <f>Rydberg!D45</f>
        <v>1.2102555643382063E+44</v>
      </c>
      <c r="E45" s="8">
        <v>5</v>
      </c>
      <c r="F45" s="21">
        <f>D45/F$10</f>
        <v>5.1434509841305813E+44</v>
      </c>
      <c r="G45" s="37" t="str">
        <f t="shared" si="25"/>
        <v>2;XEE32</v>
      </c>
      <c r="H45" s="276">
        <f t="shared" si="26"/>
        <v>-1.4569878506587308E-4</v>
      </c>
      <c r="I45" s="284">
        <v>1</v>
      </c>
      <c r="J45" s="38">
        <v>41</v>
      </c>
      <c r="K45" s="61">
        <f t="shared" si="39"/>
        <v>2.9162417118768911</v>
      </c>
      <c r="L45" s="39" t="str">
        <f>INDEX(powers!$H$2:$H$75,33+J45)</f>
        <v>dozen penta-cosmic</v>
      </c>
      <c r="M45" s="40" t="str">
        <f t="shared" si="12"/>
        <v>2</v>
      </c>
      <c r="N45" s="24">
        <f t="shared" si="27"/>
        <v>10.994900542522693</v>
      </c>
      <c r="O45" s="41" t="str">
        <f t="shared" si="13"/>
        <v>X</v>
      </c>
      <c r="P45" s="24">
        <f t="shared" si="28"/>
        <v>11.938806510272315</v>
      </c>
      <c r="Q45" s="41" t="str">
        <f t="shared" si="14"/>
        <v>E</v>
      </c>
      <c r="R45" s="24">
        <f t="shared" si="29"/>
        <v>11.265678123267776</v>
      </c>
      <c r="S45" s="41" t="str">
        <f t="shared" si="15"/>
        <v>E</v>
      </c>
      <c r="T45" s="24">
        <f t="shared" si="30"/>
        <v>3.1881374792133101</v>
      </c>
      <c r="U45" s="41" t="str">
        <f t="shared" si="16"/>
        <v>3</v>
      </c>
      <c r="V45" s="24">
        <f t="shared" si="31"/>
        <v>2.2576497505597217</v>
      </c>
      <c r="W45" s="41" t="str">
        <f t="shared" si="17"/>
        <v>2</v>
      </c>
      <c r="X45" s="24">
        <f t="shared" si="32"/>
        <v>3.0917970067166607</v>
      </c>
      <c r="Y45" s="41" t="str">
        <f t="shared" si="18"/>
        <v/>
      </c>
      <c r="Z45" s="24">
        <f t="shared" si="33"/>
        <v>1.1015640805999283</v>
      </c>
      <c r="AA45" s="41" t="str">
        <f t="shared" si="19"/>
        <v/>
      </c>
      <c r="AB45" s="24">
        <f t="shared" si="34"/>
        <v>1.2187689671991393</v>
      </c>
      <c r="AC45" s="41" t="str">
        <f t="shared" si="20"/>
        <v/>
      </c>
      <c r="AD45" s="24">
        <f t="shared" si="35"/>
        <v>2.6252276063896716</v>
      </c>
      <c r="AE45" s="41" t="str">
        <f t="shared" si="21"/>
        <v/>
      </c>
      <c r="AF45" s="24">
        <f t="shared" si="36"/>
        <v>7.5027312766760588</v>
      </c>
      <c r="AG45" s="41" t="str">
        <f t="shared" si="22"/>
        <v/>
      </c>
      <c r="AH45" s="24">
        <f t="shared" si="37"/>
        <v>6.0327753201127052</v>
      </c>
      <c r="AI45" s="41" t="str">
        <f t="shared" si="23"/>
        <v/>
      </c>
      <c r="AJ45" s="24">
        <f t="shared" si="38"/>
        <v>0.39330384135246277</v>
      </c>
      <c r="AK45" s="41" t="str">
        <f t="shared" si="24"/>
        <v/>
      </c>
    </row>
    <row r="46" spans="1:37" ht="15" customHeight="1" x14ac:dyDescent="0.2">
      <c r="A46" s="581"/>
      <c r="B46" s="3" t="str">
        <f>Rydberg!B46</f>
        <v>Gravitic meter</v>
      </c>
      <c r="C46" s="3" t="str">
        <f>Rydberg!C46</f>
        <v>m</v>
      </c>
      <c r="D46" s="21">
        <f>Rydberg!D46</f>
        <v>9.5618936743262592E-35</v>
      </c>
      <c r="E46" s="8">
        <v>5</v>
      </c>
      <c r="F46" s="21">
        <f>D46/F$3</f>
        <v>3.5108559672808021E-34</v>
      </c>
      <c r="G46" s="37" t="str">
        <f t="shared" si="25"/>
        <v>1;00016</v>
      </c>
      <c r="H46" s="275">
        <f t="shared" si="26"/>
        <v>7.2857354050492873E-5</v>
      </c>
      <c r="I46" s="278"/>
      <c r="J46" s="38">
        <v>-31</v>
      </c>
      <c r="K46" s="61">
        <f t="shared" si="39"/>
        <v>1.0000728573540505</v>
      </c>
      <c r="L46" s="39" t="str">
        <f>INDEX(powers!$H$2:$H$75,33+J46)</f>
        <v>dozen tetra-atomic</v>
      </c>
      <c r="M46" s="40" t="str">
        <f t="shared" si="12"/>
        <v>1</v>
      </c>
      <c r="N46" s="24">
        <f t="shared" si="27"/>
        <v>8.7428824860591448E-4</v>
      </c>
      <c r="O46" s="41" t="str">
        <f t="shared" si="13"/>
        <v>0</v>
      </c>
      <c r="P46" s="24">
        <f t="shared" si="28"/>
        <v>1.0491458983270974E-2</v>
      </c>
      <c r="Q46" s="41" t="str">
        <f t="shared" si="14"/>
        <v>0</v>
      </c>
      <c r="R46" s="24">
        <f t="shared" si="29"/>
        <v>0.12589750779925168</v>
      </c>
      <c r="S46" s="41" t="str">
        <f t="shared" si="15"/>
        <v>0</v>
      </c>
      <c r="T46" s="24">
        <f t="shared" si="30"/>
        <v>1.5107700935910202</v>
      </c>
      <c r="U46" s="41" t="str">
        <f t="shared" si="16"/>
        <v>1</v>
      </c>
      <c r="V46" s="24">
        <f t="shared" si="31"/>
        <v>6.1292411230922426</v>
      </c>
      <c r="W46" s="41" t="str">
        <f t="shared" si="17"/>
        <v>6</v>
      </c>
      <c r="X46" s="24">
        <f t="shared" si="32"/>
        <v>1.5508934771069107</v>
      </c>
      <c r="Y46" s="41" t="str">
        <f t="shared" si="18"/>
        <v/>
      </c>
      <c r="Z46" s="24">
        <f t="shared" si="33"/>
        <v>6.6107217252829287</v>
      </c>
      <c r="AA46" s="41" t="str">
        <f t="shared" si="19"/>
        <v/>
      </c>
      <c r="AB46" s="24">
        <f t="shared" si="34"/>
        <v>7.3286607033951441</v>
      </c>
      <c r="AC46" s="41" t="str">
        <f t="shared" si="20"/>
        <v/>
      </c>
      <c r="AD46" s="24">
        <f t="shared" si="35"/>
        <v>3.943928440741729</v>
      </c>
      <c r="AE46" s="41" t="str">
        <f t="shared" si="21"/>
        <v/>
      </c>
      <c r="AF46" s="24">
        <f t="shared" si="36"/>
        <v>11.327141288900748</v>
      </c>
      <c r="AG46" s="41" t="str">
        <f t="shared" si="22"/>
        <v/>
      </c>
      <c r="AH46" s="24">
        <f t="shared" si="37"/>
        <v>3.9256954668089747</v>
      </c>
      <c r="AI46" s="41" t="str">
        <f t="shared" si="23"/>
        <v/>
      </c>
      <c r="AJ46" s="24">
        <f t="shared" si="38"/>
        <v>11.108345601707697</v>
      </c>
      <c r="AK46" s="41" t="str">
        <f t="shared" si="24"/>
        <v/>
      </c>
    </row>
    <row r="47" spans="1:37" ht="15" customHeight="1" x14ac:dyDescent="0.2">
      <c r="A47" s="581"/>
      <c r="B47" s="3" t="str">
        <f>Rydberg!B47</f>
        <v>Planck length</v>
      </c>
      <c r="C47" s="3" t="str">
        <f>Rydberg!C47</f>
        <v>m</v>
      </c>
      <c r="D47" s="21">
        <f>Rydberg!D47</f>
        <v>1.6162550244237053E-35</v>
      </c>
      <c r="E47" s="8">
        <v>5</v>
      </c>
      <c r="F47" s="21">
        <f>D47/F$3</f>
        <v>5.9344297169727434E-35</v>
      </c>
      <c r="G47" s="37" t="str">
        <f t="shared" si="25"/>
        <v>2;04134</v>
      </c>
      <c r="H47" s="275">
        <f t="shared" si="26"/>
        <v>1.4258996517536815E-2</v>
      </c>
      <c r="I47" s="278"/>
      <c r="J47" s="38">
        <v>-32</v>
      </c>
      <c r="K47" s="61">
        <f t="shared" si="39"/>
        <v>2.0285179930350736</v>
      </c>
      <c r="L47" s="39" t="str">
        <f>INDEX(powers!$H$2:$H$75,33+J47)</f>
        <v>tetra-atomic</v>
      </c>
      <c r="M47" s="40" t="str">
        <f t="shared" si="12"/>
        <v>2</v>
      </c>
      <c r="N47" s="24">
        <f t="shared" si="27"/>
        <v>0.34221591642088356</v>
      </c>
      <c r="O47" s="41" t="str">
        <f t="shared" si="13"/>
        <v>0</v>
      </c>
      <c r="P47" s="24">
        <f t="shared" si="28"/>
        <v>4.1065909970506027</v>
      </c>
      <c r="Q47" s="41" t="str">
        <f t="shared" si="14"/>
        <v>4</v>
      </c>
      <c r="R47" s="24">
        <f t="shared" si="29"/>
        <v>1.2790919646072325</v>
      </c>
      <c r="S47" s="41" t="str">
        <f t="shared" si="15"/>
        <v>1</v>
      </c>
      <c r="T47" s="24">
        <f t="shared" si="30"/>
        <v>3.3491035752867901</v>
      </c>
      <c r="U47" s="41" t="str">
        <f t="shared" si="16"/>
        <v>3</v>
      </c>
      <c r="V47" s="24">
        <f t="shared" si="31"/>
        <v>4.1892429034414818</v>
      </c>
      <c r="W47" s="41" t="str">
        <f t="shared" si="17"/>
        <v>4</v>
      </c>
      <c r="X47" s="24">
        <f t="shared" si="32"/>
        <v>2.2709148412977811</v>
      </c>
      <c r="Y47" s="41" t="str">
        <f t="shared" si="18"/>
        <v/>
      </c>
      <c r="Z47" s="24">
        <f t="shared" si="33"/>
        <v>3.2509780955733731</v>
      </c>
      <c r="AA47" s="41" t="str">
        <f t="shared" si="19"/>
        <v/>
      </c>
      <c r="AB47" s="24">
        <f t="shared" si="34"/>
        <v>3.0117371468804777</v>
      </c>
      <c r="AC47" s="41" t="str">
        <f t="shared" si="20"/>
        <v/>
      </c>
      <c r="AD47" s="24">
        <f t="shared" si="35"/>
        <v>0.140845762565732</v>
      </c>
      <c r="AE47" s="41" t="str">
        <f t="shared" si="21"/>
        <v/>
      </c>
      <c r="AF47" s="24">
        <f t="shared" si="36"/>
        <v>1.690149150788784</v>
      </c>
      <c r="AG47" s="41" t="str">
        <f t="shared" si="22"/>
        <v/>
      </c>
      <c r="AH47" s="24">
        <f t="shared" si="37"/>
        <v>8.2817898094654083</v>
      </c>
      <c r="AI47" s="41" t="str">
        <f t="shared" si="23"/>
        <v/>
      </c>
      <c r="AJ47" s="24">
        <f t="shared" si="38"/>
        <v>3.3814777135848999</v>
      </c>
      <c r="AK47" s="41" t="str">
        <f t="shared" si="24"/>
        <v/>
      </c>
    </row>
    <row r="48" spans="1:37" ht="15" customHeight="1" x14ac:dyDescent="0.2">
      <c r="A48" s="581"/>
      <c r="B48" s="3" t="str">
        <f>Rydberg!B48</f>
        <v>Adjusted Planck length</v>
      </c>
      <c r="C48" s="3" t="str">
        <f>Rydberg!C48</f>
        <v>m</v>
      </c>
      <c r="D48" s="21">
        <f>Rydberg!D48</f>
        <v>1.8920265367777891E-34</v>
      </c>
      <c r="E48" s="8">
        <v>5</v>
      </c>
      <c r="F48" s="21">
        <f>D48/F$3</f>
        <v>6.946984439636093E-34</v>
      </c>
      <c r="G48" s="37" t="str">
        <f t="shared" si="25"/>
        <v>1;E8E58</v>
      </c>
      <c r="H48" s="275">
        <f t="shared" si="26"/>
        <v>-1.0570265016894842E-2</v>
      </c>
      <c r="I48" s="278"/>
      <c r="J48" s="38">
        <v>-31</v>
      </c>
      <c r="K48" s="61">
        <f t="shared" si="39"/>
        <v>1.9788594699662103</v>
      </c>
      <c r="L48" s="39" t="str">
        <f>INDEX(powers!$H$2:$H$75,33+J48)</f>
        <v>dozen tetra-atomic</v>
      </c>
      <c r="M48" s="40" t="str">
        <f t="shared" si="12"/>
        <v>1</v>
      </c>
      <c r="N48" s="24">
        <f t="shared" si="27"/>
        <v>11.746313639594524</v>
      </c>
      <c r="O48" s="41" t="str">
        <f t="shared" si="13"/>
        <v>E</v>
      </c>
      <c r="P48" s="24">
        <f t="shared" si="28"/>
        <v>8.9557636751342855</v>
      </c>
      <c r="Q48" s="41" t="str">
        <f t="shared" si="14"/>
        <v>8</v>
      </c>
      <c r="R48" s="24">
        <f t="shared" si="29"/>
        <v>11.469164101611426</v>
      </c>
      <c r="S48" s="41" t="str">
        <f t="shared" si="15"/>
        <v>E</v>
      </c>
      <c r="T48" s="24">
        <f t="shared" si="30"/>
        <v>5.6299692193371129</v>
      </c>
      <c r="U48" s="41" t="str">
        <f t="shared" si="16"/>
        <v>5</v>
      </c>
      <c r="V48" s="24">
        <f t="shared" si="31"/>
        <v>7.559630632045355</v>
      </c>
      <c r="W48" s="41" t="str">
        <f t="shared" si="17"/>
        <v>8</v>
      </c>
      <c r="X48" s="24">
        <f t="shared" si="32"/>
        <v>6.7155675845442602</v>
      </c>
      <c r="Y48" s="41" t="str">
        <f t="shared" si="18"/>
        <v/>
      </c>
      <c r="Z48" s="24">
        <f t="shared" si="33"/>
        <v>8.5868110145311221</v>
      </c>
      <c r="AA48" s="41" t="str">
        <f t="shared" si="19"/>
        <v/>
      </c>
      <c r="AB48" s="24">
        <f t="shared" si="34"/>
        <v>7.0417321743734647</v>
      </c>
      <c r="AC48" s="41" t="str">
        <f t="shared" si="20"/>
        <v/>
      </c>
      <c r="AD48" s="24">
        <f t="shared" si="35"/>
        <v>0.50078609248157591</v>
      </c>
      <c r="AE48" s="41" t="str">
        <f t="shared" si="21"/>
        <v/>
      </c>
      <c r="AF48" s="24">
        <f t="shared" si="36"/>
        <v>6.0094331097789109</v>
      </c>
      <c r="AG48" s="41" t="str">
        <f t="shared" si="22"/>
        <v/>
      </c>
      <c r="AH48" s="24">
        <f t="shared" si="37"/>
        <v>0.1131973173469305</v>
      </c>
      <c r="AI48" s="41" t="str">
        <f t="shared" si="23"/>
        <v/>
      </c>
      <c r="AJ48" s="24">
        <f t="shared" si="38"/>
        <v>1.358367808163166</v>
      </c>
      <c r="AK48" s="41" t="str">
        <f t="shared" si="24"/>
        <v/>
      </c>
    </row>
    <row r="49" spans="1:37" ht="15" customHeight="1" x14ac:dyDescent="0.2">
      <c r="A49" s="581"/>
      <c r="B49" s="3" t="str">
        <f>Rydberg!B49</f>
        <v>Stefan-Boltzmann constant</v>
      </c>
      <c r="C49" s="64" t="str">
        <f>Rydberg!C49</f>
        <v>W/m^2/K^4</v>
      </c>
      <c r="D49" s="21">
        <f>Rydberg!D49</f>
        <v>5.6703744191844301E-8</v>
      </c>
      <c r="E49" s="8">
        <v>10</v>
      </c>
      <c r="F49" s="21">
        <f>D49/(F$9*POWER(F$3,-2)*POWER(F$6,-4))</f>
        <v>2.9796213807085589E-25</v>
      </c>
      <c r="G49" s="37" t="str">
        <f t="shared" si="25"/>
        <v>1;E82E281EX2</v>
      </c>
      <c r="H49" s="275">
        <f t="shared" si="26"/>
        <v>-1.3039559891063535E-2</v>
      </c>
      <c r="I49" s="278"/>
      <c r="J49" s="131">
        <v>-23</v>
      </c>
      <c r="K49" s="61">
        <f t="shared" si="39"/>
        <v>1.9739208802178729</v>
      </c>
      <c r="L49" s="134" t="str">
        <f>INDEX(powers!$H$2:$H$75,33+J49)</f>
        <v>dozen ter-atomic</v>
      </c>
      <c r="M49" s="40" t="str">
        <f t="shared" si="12"/>
        <v>1</v>
      </c>
      <c r="N49" s="24">
        <f t="shared" si="27"/>
        <v>11.687050562614475</v>
      </c>
      <c r="O49" s="41" t="str">
        <f t="shared" si="13"/>
        <v>E</v>
      </c>
      <c r="P49" s="24">
        <f t="shared" si="28"/>
        <v>8.244606751373702</v>
      </c>
      <c r="Q49" s="41" t="str">
        <f t="shared" si="14"/>
        <v>8</v>
      </c>
      <c r="R49" s="24">
        <f t="shared" si="29"/>
        <v>2.9352810164844243</v>
      </c>
      <c r="S49" s="41" t="str">
        <f t="shared" si="15"/>
        <v>2</v>
      </c>
      <c r="T49" s="24">
        <f t="shared" si="30"/>
        <v>11.223372197813092</v>
      </c>
      <c r="U49" s="41" t="str">
        <f t="shared" si="16"/>
        <v>E</v>
      </c>
      <c r="V49" s="24">
        <f t="shared" si="31"/>
        <v>2.6804663737570991</v>
      </c>
      <c r="W49" s="41" t="str">
        <f t="shared" si="17"/>
        <v>2</v>
      </c>
      <c r="X49" s="24">
        <f t="shared" si="32"/>
        <v>8.1655964850851888</v>
      </c>
      <c r="Y49" s="41" t="str">
        <f t="shared" si="18"/>
        <v>8</v>
      </c>
      <c r="Z49" s="24">
        <f t="shared" si="33"/>
        <v>1.9871578210222651</v>
      </c>
      <c r="AA49" s="41" t="str">
        <f t="shared" si="19"/>
        <v>1</v>
      </c>
      <c r="AB49" s="24">
        <f t="shared" si="34"/>
        <v>11.845893852267182</v>
      </c>
      <c r="AC49" s="41" t="str">
        <f t="shared" si="20"/>
        <v>E</v>
      </c>
      <c r="AD49" s="24">
        <f t="shared" si="35"/>
        <v>10.150726227206178</v>
      </c>
      <c r="AE49" s="41" t="str">
        <f t="shared" si="21"/>
        <v>X</v>
      </c>
      <c r="AF49" s="24">
        <f t="shared" si="36"/>
        <v>1.8087147264741361</v>
      </c>
      <c r="AG49" s="41" t="str">
        <f t="shared" si="22"/>
        <v>2</v>
      </c>
      <c r="AH49" s="24">
        <f t="shared" si="37"/>
        <v>9.7045767176896334</v>
      </c>
      <c r="AI49" s="41" t="str">
        <f t="shared" si="23"/>
        <v/>
      </c>
      <c r="AJ49" s="24">
        <f t="shared" si="38"/>
        <v>8.4549206122756004</v>
      </c>
      <c r="AK49" s="41" t="str">
        <f t="shared" si="24"/>
        <v/>
      </c>
    </row>
    <row r="50" spans="1:37" ht="15" customHeight="1" x14ac:dyDescent="0.2">
      <c r="A50" s="581"/>
      <c r="B50" s="3" t="str">
        <f>Rydberg!B50</f>
        <v>Black-body radiation at the ice point</v>
      </c>
      <c r="C50" s="3" t="str">
        <f>Rydberg!C50</f>
        <v>W/m^2</v>
      </c>
      <c r="D50" s="21">
        <f>Rydberg!D50</f>
        <v>315.65782231107141</v>
      </c>
      <c r="E50" s="8">
        <v>6</v>
      </c>
      <c r="F50" s="21">
        <f>D50/(F$9*POWER(F$3,-2))</f>
        <v>142.72009738398563</v>
      </c>
      <c r="G50" s="37" t="str">
        <f t="shared" si="25"/>
        <v>0;EX8784</v>
      </c>
      <c r="H50" s="275">
        <f t="shared" si="26"/>
        <v>-8.8882126112108661E-3</v>
      </c>
      <c r="I50" s="278"/>
      <c r="J50" s="38">
        <v>2</v>
      </c>
      <c r="K50" s="61">
        <f t="shared" si="39"/>
        <v>0.99111178738878913</v>
      </c>
      <c r="L50" s="39" t="str">
        <f>INDEX(powers!$H$2:$H$75,33+J50)</f>
        <v>gross</v>
      </c>
      <c r="M50" s="40" t="str">
        <f t="shared" si="12"/>
        <v>0</v>
      </c>
      <c r="N50" s="24">
        <f t="shared" si="27"/>
        <v>11.89334144866547</v>
      </c>
      <c r="O50" s="41" t="str">
        <f t="shared" si="13"/>
        <v>E</v>
      </c>
      <c r="P50" s="24">
        <f t="shared" si="28"/>
        <v>10.720097383985646</v>
      </c>
      <c r="Q50" s="41" t="str">
        <f t="shared" si="14"/>
        <v>X</v>
      </c>
      <c r="R50" s="24">
        <f t="shared" si="29"/>
        <v>8.6411686078277512</v>
      </c>
      <c r="S50" s="41" t="str">
        <f t="shared" si="15"/>
        <v>8</v>
      </c>
      <c r="T50" s="24">
        <f t="shared" si="30"/>
        <v>7.6940232939330144</v>
      </c>
      <c r="U50" s="41" t="str">
        <f t="shared" si="16"/>
        <v>7</v>
      </c>
      <c r="V50" s="24">
        <f t="shared" si="31"/>
        <v>8.3282795271961731</v>
      </c>
      <c r="W50" s="41" t="str">
        <f t="shared" si="17"/>
        <v>8</v>
      </c>
      <c r="X50" s="24">
        <f t="shared" si="32"/>
        <v>3.9393543263540778</v>
      </c>
      <c r="Y50" s="41" t="str">
        <f t="shared" si="18"/>
        <v>4</v>
      </c>
      <c r="Z50" s="24">
        <f t="shared" si="33"/>
        <v>11.272251916248933</v>
      </c>
      <c r="AA50" s="41" t="str">
        <f t="shared" si="19"/>
        <v/>
      </c>
      <c r="AB50" s="24">
        <f t="shared" si="34"/>
        <v>3.2670229949872009</v>
      </c>
      <c r="AC50" s="41" t="str">
        <f t="shared" si="20"/>
        <v/>
      </c>
      <c r="AD50" s="24">
        <f t="shared" si="35"/>
        <v>3.2042759398464113</v>
      </c>
      <c r="AE50" s="41" t="str">
        <f t="shared" si="21"/>
        <v/>
      </c>
      <c r="AF50" s="24">
        <f t="shared" si="36"/>
        <v>2.4513112781569362</v>
      </c>
      <c r="AG50" s="41" t="str">
        <f t="shared" si="22"/>
        <v/>
      </c>
      <c r="AH50" s="24">
        <f t="shared" si="37"/>
        <v>5.415735337883234</v>
      </c>
      <c r="AI50" s="41" t="str">
        <f t="shared" si="23"/>
        <v/>
      </c>
      <c r="AJ50" s="24">
        <f t="shared" si="38"/>
        <v>4.9888240545988083</v>
      </c>
      <c r="AK50" s="41" t="str">
        <f t="shared" si="24"/>
        <v/>
      </c>
    </row>
    <row r="51" spans="1:37" ht="15" customHeight="1" x14ac:dyDescent="0.2">
      <c r="A51" s="581"/>
      <c r="B51" s="3" t="str">
        <f>Rydberg!B51</f>
        <v>Temperature of the triple point of water</v>
      </c>
      <c r="C51" s="3" t="str">
        <f>Rydberg!C51</f>
        <v>K</v>
      </c>
      <c r="D51" s="21">
        <f>Rydberg!D51</f>
        <v>273.16000000000003</v>
      </c>
      <c r="E51" s="8">
        <v>6</v>
      </c>
      <c r="F51" s="21">
        <f>D51/F$6</f>
        <v>4678395.2720677266</v>
      </c>
      <c r="G51" s="37" t="str">
        <f t="shared" si="25"/>
        <v>1;6974X3</v>
      </c>
      <c r="H51" s="275"/>
      <c r="I51" s="278"/>
      <c r="J51" s="131">
        <v>6</v>
      </c>
      <c r="K51" s="61">
        <f t="shared" si="39"/>
        <v>1.5667851107265567</v>
      </c>
      <c r="L51" s="134" t="str">
        <f>INDEX(powers!$H$2:$H$75,33+J51)</f>
        <v>dino cosmic</v>
      </c>
      <c r="M51" s="40" t="str">
        <f t="shared" si="12"/>
        <v>1</v>
      </c>
      <c r="N51" s="24">
        <f t="shared" si="27"/>
        <v>6.8014213287186802</v>
      </c>
      <c r="O51" s="41" t="str">
        <f t="shared" si="13"/>
        <v>6</v>
      </c>
      <c r="P51" s="24">
        <f t="shared" si="28"/>
        <v>9.6170559446241626</v>
      </c>
      <c r="Q51" s="41" t="str">
        <f t="shared" si="14"/>
        <v>9</v>
      </c>
      <c r="R51" s="24">
        <f t="shared" si="29"/>
        <v>7.4046713354899509</v>
      </c>
      <c r="S51" s="41" t="str">
        <f t="shared" si="15"/>
        <v>7</v>
      </c>
      <c r="T51" s="24">
        <f t="shared" si="30"/>
        <v>4.8560560258794112</v>
      </c>
      <c r="U51" s="41" t="str">
        <f t="shared" si="16"/>
        <v>4</v>
      </c>
      <c r="V51" s="24">
        <f t="shared" si="31"/>
        <v>10.272672310552935</v>
      </c>
      <c r="W51" s="41" t="str">
        <f t="shared" si="17"/>
        <v>X</v>
      </c>
      <c r="X51" s="24">
        <f t="shared" si="32"/>
        <v>3.2720677266352141</v>
      </c>
      <c r="Y51" s="41" t="str">
        <f t="shared" si="18"/>
        <v>3</v>
      </c>
      <c r="Z51" s="24">
        <f t="shared" si="33"/>
        <v>3.2648127196225687</v>
      </c>
      <c r="AA51" s="41" t="str">
        <f t="shared" si="19"/>
        <v/>
      </c>
      <c r="AB51" s="24">
        <f t="shared" si="34"/>
        <v>3.1777526354708243</v>
      </c>
      <c r="AC51" s="41" t="str">
        <f t="shared" si="20"/>
        <v/>
      </c>
      <c r="AD51" s="24">
        <f t="shared" si="35"/>
        <v>2.1330316256498918</v>
      </c>
      <c r="AE51" s="41" t="str">
        <f t="shared" si="21"/>
        <v/>
      </c>
      <c r="AF51" s="24">
        <f t="shared" si="36"/>
        <v>1.5963795077987015</v>
      </c>
      <c r="AG51" s="41" t="str">
        <f t="shared" si="22"/>
        <v/>
      </c>
      <c r="AH51" s="24">
        <f t="shared" si="37"/>
        <v>7.1565540935844183</v>
      </c>
      <c r="AI51" s="41" t="str">
        <f t="shared" si="23"/>
        <v/>
      </c>
      <c r="AJ51" s="24">
        <f t="shared" si="38"/>
        <v>1.8786491230130196</v>
      </c>
      <c r="AK51" s="41" t="str">
        <f t="shared" si="24"/>
        <v/>
      </c>
    </row>
    <row r="52" spans="1:37" ht="15" customHeight="1" x14ac:dyDescent="0.2">
      <c r="A52" s="581"/>
      <c r="B52" s="3" t="str">
        <f>Rydberg!B52</f>
        <v>Molar volume of an ideal gas</v>
      </c>
      <c r="C52" s="3" t="str">
        <f>Rydberg!C52</f>
        <v>m^3/mol</v>
      </c>
      <c r="D52" s="21">
        <f>Rydberg!D52</f>
        <v>2.2413969539999998E-2</v>
      </c>
      <c r="E52" s="8">
        <v>6</v>
      </c>
      <c r="F52" s="21">
        <f>D52/(POWER(F$3,3)/F$7)</f>
        <v>146.46204321813684</v>
      </c>
      <c r="G52" s="37" t="str">
        <f t="shared" si="25"/>
        <v>1;025665</v>
      </c>
      <c r="H52" s="275">
        <f>K52*POWER(12,I52)/ROUND(K52*POWER(12,I52),0)-1</f>
        <v>1.7097522348172411E-2</v>
      </c>
      <c r="I52" s="278"/>
      <c r="J52" s="38">
        <v>2</v>
      </c>
      <c r="K52" s="61">
        <f t="shared" si="39"/>
        <v>1.0170975223481724</v>
      </c>
      <c r="L52" s="39" t="str">
        <f>INDEX(powers!$H$2:$H$75,33+J52)</f>
        <v>gross</v>
      </c>
      <c r="M52" s="40" t="str">
        <f t="shared" si="12"/>
        <v>1</v>
      </c>
      <c r="N52" s="24">
        <f t="shared" si="27"/>
        <v>0.20517026817806894</v>
      </c>
      <c r="O52" s="41" t="str">
        <f t="shared" si="13"/>
        <v>0</v>
      </c>
      <c r="P52" s="24">
        <f t="shared" si="28"/>
        <v>2.4620432181368272</v>
      </c>
      <c r="Q52" s="41" t="str">
        <f t="shared" si="14"/>
        <v>2</v>
      </c>
      <c r="R52" s="24">
        <f t="shared" si="29"/>
        <v>5.544518617641927</v>
      </c>
      <c r="S52" s="41" t="str">
        <f t="shared" si="15"/>
        <v>5</v>
      </c>
      <c r="T52" s="24">
        <f t="shared" si="30"/>
        <v>6.5342234117031239</v>
      </c>
      <c r="U52" s="41" t="str">
        <f t="shared" si="16"/>
        <v>6</v>
      </c>
      <c r="V52" s="24">
        <f t="shared" si="31"/>
        <v>6.4106809404374872</v>
      </c>
      <c r="W52" s="41" t="str">
        <f t="shared" si="17"/>
        <v>6</v>
      </c>
      <c r="X52" s="24">
        <f t="shared" si="32"/>
        <v>4.9281712852498458</v>
      </c>
      <c r="Y52" s="41" t="str">
        <f t="shared" si="18"/>
        <v>5</v>
      </c>
      <c r="Z52" s="24">
        <f t="shared" si="33"/>
        <v>11.13805542299815</v>
      </c>
      <c r="AA52" s="41" t="str">
        <f t="shared" si="19"/>
        <v/>
      </c>
      <c r="AB52" s="24">
        <f t="shared" si="34"/>
        <v>1.6566650759777986</v>
      </c>
      <c r="AC52" s="41" t="str">
        <f t="shared" si="20"/>
        <v/>
      </c>
      <c r="AD52" s="24">
        <f t="shared" si="35"/>
        <v>7.8799809117335826</v>
      </c>
      <c r="AE52" s="41" t="str">
        <f t="shared" si="21"/>
        <v/>
      </c>
      <c r="AF52" s="24">
        <f t="shared" si="36"/>
        <v>10.559770940802991</v>
      </c>
      <c r="AG52" s="41" t="str">
        <f t="shared" si="22"/>
        <v/>
      </c>
      <c r="AH52" s="24">
        <f t="shared" si="37"/>
        <v>6.7172512896358967</v>
      </c>
      <c r="AI52" s="41" t="str">
        <f t="shared" si="23"/>
        <v/>
      </c>
      <c r="AJ52" s="24">
        <f t="shared" si="38"/>
        <v>8.6070154756307602</v>
      </c>
      <c r="AK52" s="41" t="str">
        <f t="shared" si="24"/>
        <v/>
      </c>
    </row>
    <row r="53" spans="1:37" ht="15" customHeight="1" x14ac:dyDescent="0.2">
      <c r="A53" s="581"/>
      <c r="B53" s="67" t="str">
        <f>Rydberg!B53</f>
        <v>-log(Sqrt([H+][OH-])/(mol/m^3))</v>
      </c>
      <c r="C53" s="3" t="str">
        <f>Rydberg!C53</f>
        <v>log(12)</v>
      </c>
      <c r="D53" s="21">
        <f>Rydberg!D53</f>
        <v>1.0039920318408906E-4</v>
      </c>
      <c r="E53" s="8">
        <v>4</v>
      </c>
      <c r="F53" s="21">
        <f>-LOG(D$53/(F$7*POWER(F$3,-3)))/LOG(12)</f>
        <v>7.2401888687601046</v>
      </c>
      <c r="G53" s="37" t="str">
        <f t="shared" si="25"/>
        <v>7;2X71</v>
      </c>
      <c r="H53" s="275"/>
      <c r="I53" s="278"/>
      <c r="J53" s="38">
        <v>0</v>
      </c>
      <c r="K53" s="61">
        <f t="shared" si="39"/>
        <v>7.2401888687601046</v>
      </c>
      <c r="L53" s="39" t="str">
        <f>INDEX(powers!$H$2:$H$75,33+J53)</f>
        <v xml:space="preserve"> </v>
      </c>
      <c r="M53" s="40" t="str">
        <f t="shared" si="12"/>
        <v>7</v>
      </c>
      <c r="N53" s="24">
        <f t="shared" si="27"/>
        <v>2.8822664251212551</v>
      </c>
      <c r="O53" s="41" t="str">
        <f t="shared" si="13"/>
        <v>2</v>
      </c>
      <c r="P53" s="24">
        <f t="shared" si="28"/>
        <v>10.587197101455061</v>
      </c>
      <c r="Q53" s="41" t="str">
        <f t="shared" si="14"/>
        <v>X</v>
      </c>
      <c r="R53" s="24">
        <f t="shared" si="29"/>
        <v>7.0463652174607319</v>
      </c>
      <c r="S53" s="41" t="str">
        <f t="shared" si="15"/>
        <v>7</v>
      </c>
      <c r="T53" s="24">
        <f t="shared" si="30"/>
        <v>0.55638260952878227</v>
      </c>
      <c r="U53" s="41" t="str">
        <f t="shared" si="16"/>
        <v>1</v>
      </c>
      <c r="V53" s="24">
        <f t="shared" si="31"/>
        <v>6.6765913143453872</v>
      </c>
      <c r="W53" s="41" t="str">
        <f t="shared" si="17"/>
        <v/>
      </c>
      <c r="X53" s="24">
        <f t="shared" si="32"/>
        <v>8.1190957721446466</v>
      </c>
      <c r="Y53" s="41" t="str">
        <f t="shared" si="18"/>
        <v/>
      </c>
      <c r="Z53" s="24">
        <f t="shared" si="33"/>
        <v>1.4291492657357594</v>
      </c>
      <c r="AA53" s="41" t="str">
        <f t="shared" si="19"/>
        <v/>
      </c>
      <c r="AB53" s="24">
        <f t="shared" si="34"/>
        <v>5.1497911888291128</v>
      </c>
      <c r="AC53" s="41" t="str">
        <f t="shared" si="20"/>
        <v/>
      </c>
      <c r="AD53" s="24">
        <f t="shared" si="35"/>
        <v>1.7974942659493536</v>
      </c>
      <c r="AE53" s="41" t="str">
        <f t="shared" si="21"/>
        <v/>
      </c>
      <c r="AF53" s="24">
        <f t="shared" si="36"/>
        <v>9.5699311913922429</v>
      </c>
      <c r="AG53" s="41" t="str">
        <f t="shared" si="22"/>
        <v/>
      </c>
      <c r="AH53" s="24">
        <f t="shared" si="37"/>
        <v>6.8391742967069149</v>
      </c>
      <c r="AI53" s="41" t="str">
        <f t="shared" si="23"/>
        <v/>
      </c>
      <c r="AJ53" s="24">
        <f t="shared" si="38"/>
        <v>10.070091560482979</v>
      </c>
      <c r="AK53" s="41" t="str">
        <f t="shared" si="24"/>
        <v/>
      </c>
    </row>
    <row r="54" spans="1:37" ht="15" customHeight="1" x14ac:dyDescent="0.2">
      <c r="A54" s="581"/>
      <c r="B54" s="3" t="str">
        <f>Rydberg!B54</f>
        <v>Maximum density of water</v>
      </c>
      <c r="C54" s="3" t="str">
        <f>Rydberg!C54</f>
        <v>kg/m^3</v>
      </c>
      <c r="D54" s="21">
        <f>Rydberg!D54</f>
        <v>999.97199999999998</v>
      </c>
      <c r="E54" s="8">
        <v>6</v>
      </c>
      <c r="F54" s="21">
        <f>D54/(F$8*POWER(F$3,-3))</f>
        <v>153.23875700675632</v>
      </c>
      <c r="G54" s="37" t="str">
        <f t="shared" si="25"/>
        <v>1;092X47</v>
      </c>
      <c r="H54" s="294">
        <f t="shared" ref="H54:H62" si="68">K54*POWER(12,I54)/ROUND(K54*POWER(12,I54),0)-1</f>
        <v>6.4158034769141059E-2</v>
      </c>
      <c r="I54" s="295"/>
      <c r="J54" s="38">
        <v>2</v>
      </c>
      <c r="K54" s="61">
        <f t="shared" si="39"/>
        <v>1.0641580347691411</v>
      </c>
      <c r="L54" s="39" t="str">
        <f>INDEX(powers!$H$2:$H$75,33+J54)</f>
        <v>gross</v>
      </c>
      <c r="M54" s="40" t="str">
        <f t="shared" si="12"/>
        <v>1</v>
      </c>
      <c r="N54" s="24">
        <f t="shared" si="27"/>
        <v>0.76989641722969271</v>
      </c>
      <c r="O54" s="41" t="str">
        <f t="shared" si="13"/>
        <v>0</v>
      </c>
      <c r="P54" s="24">
        <f t="shared" si="28"/>
        <v>9.2387570067563125</v>
      </c>
      <c r="Q54" s="41" t="str">
        <f t="shared" si="14"/>
        <v>9</v>
      </c>
      <c r="R54" s="24">
        <f t="shared" si="29"/>
        <v>2.8650840810757501</v>
      </c>
      <c r="S54" s="41" t="str">
        <f t="shared" si="15"/>
        <v>2</v>
      </c>
      <c r="T54" s="24">
        <f t="shared" si="30"/>
        <v>10.381008972909001</v>
      </c>
      <c r="U54" s="41" t="str">
        <f t="shared" si="16"/>
        <v>X</v>
      </c>
      <c r="V54" s="24">
        <f t="shared" si="31"/>
        <v>4.5721076749080112</v>
      </c>
      <c r="W54" s="41" t="str">
        <f t="shared" si="17"/>
        <v>4</v>
      </c>
      <c r="X54" s="24">
        <f t="shared" si="32"/>
        <v>6.8652920988961341</v>
      </c>
      <c r="Y54" s="41" t="str">
        <f t="shared" si="18"/>
        <v>7</v>
      </c>
      <c r="Z54" s="24">
        <f t="shared" si="33"/>
        <v>10.383505186753609</v>
      </c>
      <c r="AA54" s="41" t="str">
        <f t="shared" si="19"/>
        <v/>
      </c>
      <c r="AB54" s="24">
        <f t="shared" si="34"/>
        <v>4.6020622410433134</v>
      </c>
      <c r="AC54" s="41" t="str">
        <f t="shared" si="20"/>
        <v/>
      </c>
      <c r="AD54" s="24">
        <f t="shared" si="35"/>
        <v>7.2247468925197609</v>
      </c>
      <c r="AE54" s="41" t="str">
        <f t="shared" si="21"/>
        <v/>
      </c>
      <c r="AF54" s="24">
        <f t="shared" si="36"/>
        <v>2.6969627102371305</v>
      </c>
      <c r="AG54" s="41" t="str">
        <f t="shared" si="22"/>
        <v/>
      </c>
      <c r="AH54" s="24">
        <f t="shared" si="37"/>
        <v>8.3635525228455663</v>
      </c>
      <c r="AI54" s="41" t="str">
        <f t="shared" si="23"/>
        <v/>
      </c>
      <c r="AJ54" s="24">
        <f t="shared" si="38"/>
        <v>4.3626302741467953</v>
      </c>
      <c r="AK54" s="41" t="str">
        <f t="shared" si="24"/>
        <v/>
      </c>
    </row>
    <row r="55" spans="1:37" ht="15" customHeight="1" x14ac:dyDescent="0.2">
      <c r="A55" s="581"/>
      <c r="B55" s="3" t="str">
        <f>Rydberg!B55</f>
        <v>Density of ice at the ice point</v>
      </c>
      <c r="C55" s="3" t="str">
        <f>Rydberg!C55</f>
        <v>kg/m^3</v>
      </c>
      <c r="D55" s="21">
        <f>Rydberg!D55</f>
        <v>916.8</v>
      </c>
      <c r="E55" s="8">
        <v>4</v>
      </c>
      <c r="F55" s="21">
        <f>D55/(F$8*POWER(F$3,-3))</f>
        <v>140.49322623412874</v>
      </c>
      <c r="G55" s="37" t="str">
        <f t="shared" si="25"/>
        <v>0;E85E</v>
      </c>
      <c r="H55" s="503">
        <f t="shared" si="68"/>
        <v>-2.4352595596328186E-2</v>
      </c>
      <c r="I55" s="278"/>
      <c r="J55" s="38">
        <v>2</v>
      </c>
      <c r="K55" s="61">
        <f t="shared" si="39"/>
        <v>0.97564740440367181</v>
      </c>
      <c r="L55" s="39" t="str">
        <f>INDEX(powers!$H$2:$H$75,33+J55)</f>
        <v>gross</v>
      </c>
      <c r="M55" s="40" t="str">
        <f t="shared" si="12"/>
        <v>0</v>
      </c>
      <c r="N55" s="24">
        <f t="shared" si="27"/>
        <v>11.707768852844062</v>
      </c>
      <c r="O55" s="41" t="str">
        <f t="shared" si="13"/>
        <v>E</v>
      </c>
      <c r="P55" s="24">
        <f t="shared" si="28"/>
        <v>8.4932262341287412</v>
      </c>
      <c r="Q55" s="41" t="str">
        <f t="shared" si="14"/>
        <v>8</v>
      </c>
      <c r="R55" s="24">
        <f t="shared" si="29"/>
        <v>5.9187148095448947</v>
      </c>
      <c r="S55" s="41" t="str">
        <f t="shared" si="15"/>
        <v>5</v>
      </c>
      <c r="T55" s="24">
        <f t="shared" si="30"/>
        <v>11.024577714538736</v>
      </c>
      <c r="U55" s="41" t="str">
        <f t="shared" si="16"/>
        <v>E</v>
      </c>
      <c r="V55" s="24">
        <f t="shared" si="31"/>
        <v>0.29493257446483767</v>
      </c>
      <c r="W55" s="41" t="str">
        <f t="shared" si="17"/>
        <v/>
      </c>
      <c r="X55" s="24">
        <f t="shared" si="32"/>
        <v>3.5391908935780521</v>
      </c>
      <c r="Y55" s="41" t="str">
        <f t="shared" si="18"/>
        <v/>
      </c>
      <c r="Z55" s="24">
        <f t="shared" si="33"/>
        <v>6.4702907229366247</v>
      </c>
      <c r="AA55" s="41" t="str">
        <f t="shared" si="19"/>
        <v/>
      </c>
      <c r="AB55" s="24">
        <f t="shared" si="34"/>
        <v>5.6434886752394959</v>
      </c>
      <c r="AC55" s="41" t="str">
        <f t="shared" si="20"/>
        <v/>
      </c>
      <c r="AD55" s="24">
        <f t="shared" si="35"/>
        <v>7.7218641028739512</v>
      </c>
      <c r="AE55" s="41" t="str">
        <f t="shared" si="21"/>
        <v/>
      </c>
      <c r="AF55" s="24">
        <f t="shared" si="36"/>
        <v>8.6623692344874144</v>
      </c>
      <c r="AG55" s="41" t="str">
        <f t="shared" si="22"/>
        <v/>
      </c>
      <c r="AH55" s="24">
        <f t="shared" si="37"/>
        <v>7.9484308138489723</v>
      </c>
      <c r="AI55" s="41" t="str">
        <f t="shared" si="23"/>
        <v/>
      </c>
      <c r="AJ55" s="24">
        <f t="shared" si="38"/>
        <v>11.381169766187668</v>
      </c>
      <c r="AK55" s="41" t="str">
        <f t="shared" si="24"/>
        <v/>
      </c>
    </row>
    <row r="56" spans="1:37" ht="15" customHeight="1" x14ac:dyDescent="0.2">
      <c r="A56" s="581"/>
      <c r="B56" s="3" t="str">
        <f>Rydberg!B56</f>
        <v>Specific heat of water</v>
      </c>
      <c r="C56" s="3" t="str">
        <f>Rydberg!C56</f>
        <v>J/kg/K</v>
      </c>
      <c r="D56" s="21">
        <f>Rydberg!D56</f>
        <v>4184</v>
      </c>
      <c r="E56" s="8">
        <v>4</v>
      </c>
      <c r="F56" s="21">
        <f>D56/(F$5/F$8/F$6)</f>
        <v>0.50253972615229892</v>
      </c>
      <c r="G56" s="37" t="str">
        <f t="shared" si="25"/>
        <v>6;0448</v>
      </c>
      <c r="H56" s="294">
        <f t="shared" si="68"/>
        <v>5.0794523045978313E-3</v>
      </c>
      <c r="I56" s="295"/>
      <c r="J56" s="131">
        <v>-1</v>
      </c>
      <c r="K56" s="61">
        <f t="shared" si="39"/>
        <v>6.0304767138275874</v>
      </c>
      <c r="L56" s="134" t="str">
        <f>INDEX(powers!$H$2:$H$75,33+J56)</f>
        <v>unino</v>
      </c>
      <c r="M56" s="40" t="str">
        <f t="shared" si="12"/>
        <v>6</v>
      </c>
      <c r="N56" s="24">
        <f t="shared" si="27"/>
        <v>0.36572056593104918</v>
      </c>
      <c r="O56" s="41" t="str">
        <f t="shared" si="13"/>
        <v>0</v>
      </c>
      <c r="P56" s="24">
        <f t="shared" si="28"/>
        <v>4.3886467911725902</v>
      </c>
      <c r="Q56" s="41" t="str">
        <f t="shared" si="14"/>
        <v>4</v>
      </c>
      <c r="R56" s="24">
        <f t="shared" si="29"/>
        <v>4.6637614940710819</v>
      </c>
      <c r="S56" s="41" t="str">
        <f t="shared" si="15"/>
        <v>4</v>
      </c>
      <c r="T56" s="24">
        <f t="shared" si="30"/>
        <v>7.9651379288529824</v>
      </c>
      <c r="U56" s="41" t="str">
        <f t="shared" si="16"/>
        <v>8</v>
      </c>
      <c r="V56" s="24">
        <f t="shared" si="31"/>
        <v>11.581655146235789</v>
      </c>
      <c r="W56" s="41" t="str">
        <f t="shared" si="17"/>
        <v/>
      </c>
      <c r="X56" s="24">
        <f t="shared" si="32"/>
        <v>6.9798617548294715</v>
      </c>
      <c r="Y56" s="41" t="str">
        <f t="shared" si="18"/>
        <v/>
      </c>
      <c r="Z56" s="24">
        <f t="shared" si="33"/>
        <v>11.758341057953658</v>
      </c>
      <c r="AA56" s="41" t="str">
        <f t="shared" si="19"/>
        <v/>
      </c>
      <c r="AB56" s="24">
        <f t="shared" si="34"/>
        <v>9.100092695443891</v>
      </c>
      <c r="AC56" s="41" t="str">
        <f t="shared" si="20"/>
        <v/>
      </c>
      <c r="AD56" s="24">
        <f t="shared" si="35"/>
        <v>1.2011123453266919</v>
      </c>
      <c r="AE56" s="41" t="str">
        <f t="shared" si="21"/>
        <v/>
      </c>
      <c r="AF56" s="24">
        <f t="shared" si="36"/>
        <v>2.4133481439203024</v>
      </c>
      <c r="AG56" s="41" t="str">
        <f t="shared" si="22"/>
        <v/>
      </c>
      <c r="AH56" s="24">
        <f t="shared" si="37"/>
        <v>4.9601777270436287</v>
      </c>
      <c r="AI56" s="41" t="str">
        <f t="shared" si="23"/>
        <v/>
      </c>
      <c r="AJ56" s="24">
        <f t="shared" si="38"/>
        <v>11.522132724523544</v>
      </c>
      <c r="AK56" s="41" t="str">
        <f t="shared" si="24"/>
        <v/>
      </c>
    </row>
    <row r="57" spans="1:37" ht="15" customHeight="1" x14ac:dyDescent="0.2">
      <c r="A57" s="581"/>
      <c r="B57" s="3" t="str">
        <f>Rydberg!B57</f>
        <v>Surface tension of water at 25℃</v>
      </c>
      <c r="C57" s="3" t="str">
        <f>Rydberg!C57</f>
        <v>N/m</v>
      </c>
      <c r="D57" s="21">
        <f>Rydberg!D57</f>
        <v>7.1970000000000006E-2</v>
      </c>
      <c r="E57" s="8">
        <v>4</v>
      </c>
      <c r="F57" s="21">
        <f>D$57/(F$10/F$3)</f>
        <v>8.3302861003181045E-2</v>
      </c>
      <c r="G57" s="37" t="str">
        <f t="shared" si="25"/>
        <v>0;EEE4</v>
      </c>
      <c r="H57" s="275">
        <f t="shared" si="68"/>
        <v>-3.6566796182746497E-4</v>
      </c>
      <c r="I57" s="278"/>
      <c r="J57" s="38">
        <v>-1</v>
      </c>
      <c r="K57" s="61">
        <f t="shared" si="39"/>
        <v>0.99963433203817254</v>
      </c>
      <c r="L57" s="39" t="str">
        <f>INDEX(powers!$H$2:$H$75,33+J57)</f>
        <v>unino</v>
      </c>
      <c r="M57" s="40" t="str">
        <f t="shared" si="12"/>
        <v>0</v>
      </c>
      <c r="N57" s="24">
        <f t="shared" si="27"/>
        <v>11.995611984458071</v>
      </c>
      <c r="O57" s="41" t="str">
        <f t="shared" si="13"/>
        <v>E</v>
      </c>
      <c r="P57" s="24">
        <f t="shared" si="28"/>
        <v>11.94734381349685</v>
      </c>
      <c r="Q57" s="41" t="str">
        <f t="shared" si="14"/>
        <v>E</v>
      </c>
      <c r="R57" s="24">
        <f t="shared" si="29"/>
        <v>11.368125761962204</v>
      </c>
      <c r="S57" s="41" t="str">
        <f t="shared" si="15"/>
        <v>E</v>
      </c>
      <c r="T57" s="24">
        <f t="shared" si="30"/>
        <v>4.4175091435464537</v>
      </c>
      <c r="U57" s="41" t="str">
        <f t="shared" si="16"/>
        <v>4</v>
      </c>
      <c r="V57" s="24">
        <f t="shared" si="31"/>
        <v>5.0101097225574449</v>
      </c>
      <c r="W57" s="41" t="str">
        <f t="shared" si="17"/>
        <v/>
      </c>
      <c r="X57" s="24">
        <f t="shared" si="32"/>
        <v>0.12131667068933893</v>
      </c>
      <c r="Y57" s="41" t="str">
        <f t="shared" si="18"/>
        <v/>
      </c>
      <c r="Z57" s="24">
        <f t="shared" si="33"/>
        <v>1.4558000482720672</v>
      </c>
      <c r="AA57" s="41" t="str">
        <f t="shared" si="19"/>
        <v/>
      </c>
      <c r="AB57" s="24">
        <f t="shared" si="34"/>
        <v>5.4696005792648066</v>
      </c>
      <c r="AC57" s="41" t="str">
        <f t="shared" si="20"/>
        <v/>
      </c>
      <c r="AD57" s="24">
        <f t="shared" si="35"/>
        <v>5.635206951177679</v>
      </c>
      <c r="AE57" s="41" t="str">
        <f t="shared" si="21"/>
        <v/>
      </c>
      <c r="AF57" s="24">
        <f t="shared" si="36"/>
        <v>7.622483414132148</v>
      </c>
      <c r="AG57" s="41" t="str">
        <f t="shared" si="22"/>
        <v/>
      </c>
      <c r="AH57" s="24">
        <f t="shared" si="37"/>
        <v>7.4698009695857763</v>
      </c>
      <c r="AI57" s="41" t="str">
        <f t="shared" si="23"/>
        <v/>
      </c>
      <c r="AJ57" s="24">
        <f t="shared" si="38"/>
        <v>5.6376116350293159</v>
      </c>
      <c r="AK57" s="41" t="str">
        <f t="shared" si="24"/>
        <v/>
      </c>
    </row>
    <row r="58" spans="1:37" ht="15" customHeight="1" x14ac:dyDescent="0.2">
      <c r="A58" s="581"/>
      <c r="B58" s="5" t="str">
        <f>Rydberg!B58</f>
        <v>photon energy at 540THz</v>
      </c>
      <c r="C58" s="3" t="str">
        <f>Rydberg!C58</f>
        <v>J</v>
      </c>
      <c r="D58" s="21">
        <f>D36*540000000000000*(2*PI())</f>
        <v>3.5780778809999999E-19</v>
      </c>
      <c r="E58" s="8">
        <v>10</v>
      </c>
      <c r="F58" s="21">
        <f>D58/F$5</f>
        <v>5.5833700091265135E-18</v>
      </c>
      <c r="G58" s="37" t="str">
        <f t="shared" si="25"/>
        <v>1;047937345E</v>
      </c>
      <c r="H58" s="275">
        <f t="shared" si="68"/>
        <v>3.2277226274128212E-2</v>
      </c>
      <c r="I58" s="278"/>
      <c r="J58" s="38">
        <v>-16</v>
      </c>
      <c r="K58" s="61">
        <f t="shared" si="39"/>
        <v>1.0322772262741282</v>
      </c>
      <c r="L58" s="39" t="str">
        <f>INDEX(powers!$H$2:$H$75,33+J58)</f>
        <v>di-atomic</v>
      </c>
      <c r="M58" s="40" t="str">
        <f t="shared" si="12"/>
        <v>1</v>
      </c>
      <c r="N58" s="24">
        <f t="shared" si="27"/>
        <v>0.38732671528953855</v>
      </c>
      <c r="O58" s="41" t="str">
        <f t="shared" si="13"/>
        <v>0</v>
      </c>
      <c r="P58" s="24">
        <f t="shared" si="28"/>
        <v>4.6479205834744626</v>
      </c>
      <c r="Q58" s="41" t="str">
        <f t="shared" si="14"/>
        <v>4</v>
      </c>
      <c r="R58" s="24">
        <f t="shared" si="29"/>
        <v>7.7750470016935509</v>
      </c>
      <c r="S58" s="41" t="str">
        <f t="shared" si="15"/>
        <v>7</v>
      </c>
      <c r="T58" s="24">
        <f t="shared" si="30"/>
        <v>9.3005640203226108</v>
      </c>
      <c r="U58" s="41" t="str">
        <f t="shared" si="16"/>
        <v>9</v>
      </c>
      <c r="V58" s="24">
        <f t="shared" si="31"/>
        <v>3.6067682438713291</v>
      </c>
      <c r="W58" s="41" t="str">
        <f t="shared" si="17"/>
        <v>3</v>
      </c>
      <c r="X58" s="24">
        <f t="shared" si="32"/>
        <v>7.2812189264559493</v>
      </c>
      <c r="Y58" s="41" t="str">
        <f t="shared" si="18"/>
        <v>7</v>
      </c>
      <c r="Z58" s="24">
        <f t="shared" si="33"/>
        <v>3.3746271174713911</v>
      </c>
      <c r="AA58" s="41" t="str">
        <f t="shared" si="19"/>
        <v>3</v>
      </c>
      <c r="AB58" s="24">
        <f t="shared" si="34"/>
        <v>4.4955254096566932</v>
      </c>
      <c r="AC58" s="41" t="str">
        <f t="shared" si="20"/>
        <v>4</v>
      </c>
      <c r="AD58" s="24">
        <f t="shared" si="35"/>
        <v>5.9463049158803187</v>
      </c>
      <c r="AE58" s="41" t="str">
        <f t="shared" si="21"/>
        <v>5</v>
      </c>
      <c r="AF58" s="24">
        <f t="shared" si="36"/>
        <v>11.355658990563825</v>
      </c>
      <c r="AG58" s="41" t="str">
        <f t="shared" si="22"/>
        <v>E</v>
      </c>
      <c r="AH58" s="24">
        <f t="shared" si="37"/>
        <v>4.2679078867658973</v>
      </c>
      <c r="AI58" s="41" t="str">
        <f t="shared" si="23"/>
        <v/>
      </c>
      <c r="AJ58" s="24">
        <f t="shared" si="38"/>
        <v>3.2148946411907673</v>
      </c>
      <c r="AK58" s="41" t="str">
        <f t="shared" si="24"/>
        <v/>
      </c>
    </row>
    <row r="59" spans="1:37" ht="15" customHeight="1" x14ac:dyDescent="0.2">
      <c r="A59" s="581"/>
      <c r="B59" s="224" t="str">
        <f>Rydberg!B59</f>
        <v>(according to the definition of candela)</v>
      </c>
      <c r="C59" s="3" t="str">
        <f>Rydberg!C59</f>
        <v>eΩA</v>
      </c>
      <c r="D59" s="21">
        <f>D58/D41</f>
        <v>2.2332605563388839</v>
      </c>
      <c r="E59" s="8">
        <v>10</v>
      </c>
      <c r="F59" s="21">
        <f>D59/F$17</f>
        <v>1.0070068749685401</v>
      </c>
      <c r="G59" s="37" t="str">
        <f t="shared" si="25"/>
        <v>1;0101364EE9</v>
      </c>
      <c r="H59" s="275">
        <f t="shared" si="68"/>
        <v>7.0068749685401333E-3</v>
      </c>
      <c r="I59" s="278"/>
      <c r="J59" s="38">
        <v>0</v>
      </c>
      <c r="K59" s="61">
        <f t="shared" si="39"/>
        <v>1.0070068749685401</v>
      </c>
      <c r="L59" s="254">
        <f>540/K59</f>
        <v>536.24261504358662</v>
      </c>
      <c r="M59" s="40" t="str">
        <f t="shared" si="12"/>
        <v>1</v>
      </c>
      <c r="N59" s="24">
        <f t="shared" si="27"/>
        <v>8.4082499622481599E-2</v>
      </c>
      <c r="O59" s="41" t="str">
        <f t="shared" si="13"/>
        <v>0</v>
      </c>
      <c r="P59" s="24">
        <f t="shared" si="28"/>
        <v>1.0089899954697792</v>
      </c>
      <c r="Q59" s="41" t="str">
        <f t="shared" si="14"/>
        <v>1</v>
      </c>
      <c r="R59" s="24">
        <f t="shared" si="29"/>
        <v>0.10787994563735026</v>
      </c>
      <c r="S59" s="41" t="str">
        <f t="shared" si="15"/>
        <v>0</v>
      </c>
      <c r="T59" s="24">
        <f t="shared" si="30"/>
        <v>1.2945593476482031</v>
      </c>
      <c r="U59" s="41" t="str">
        <f t="shared" si="16"/>
        <v>1</v>
      </c>
      <c r="V59" s="24">
        <f t="shared" si="31"/>
        <v>3.5347121717784376</v>
      </c>
      <c r="W59" s="41" t="str">
        <f t="shared" si="17"/>
        <v>3</v>
      </c>
      <c r="X59" s="24">
        <f t="shared" si="32"/>
        <v>6.4165460613412506</v>
      </c>
      <c r="Y59" s="41" t="str">
        <f t="shared" si="18"/>
        <v>6</v>
      </c>
      <c r="Z59" s="24">
        <f t="shared" si="33"/>
        <v>4.9985527360950073</v>
      </c>
      <c r="AA59" s="41" t="str">
        <f t="shared" si="19"/>
        <v>4</v>
      </c>
      <c r="AB59" s="24">
        <f t="shared" si="34"/>
        <v>11.982632833140087</v>
      </c>
      <c r="AC59" s="41" t="str">
        <f t="shared" si="20"/>
        <v>E</v>
      </c>
      <c r="AD59" s="24">
        <f t="shared" si="35"/>
        <v>11.791593997681048</v>
      </c>
      <c r="AE59" s="41" t="str">
        <f t="shared" si="21"/>
        <v>E</v>
      </c>
      <c r="AF59" s="24">
        <f t="shared" si="36"/>
        <v>9.4991279721725732</v>
      </c>
      <c r="AG59" s="41" t="str">
        <f t="shared" si="22"/>
        <v>9</v>
      </c>
      <c r="AH59" s="24">
        <f t="shared" si="37"/>
        <v>5.9895356660708785</v>
      </c>
      <c r="AI59" s="41" t="str">
        <f t="shared" si="23"/>
        <v/>
      </c>
      <c r="AJ59" s="24">
        <f t="shared" si="38"/>
        <v>11.874427992850542</v>
      </c>
      <c r="AK59" s="41" t="str">
        <f t="shared" si="24"/>
        <v/>
      </c>
    </row>
    <row r="60" spans="1:37" ht="15" customHeight="1" x14ac:dyDescent="0.2">
      <c r="A60" s="581"/>
      <c r="B60" s="267">
        <f>Rydberg!B60</f>
        <v>1.024</v>
      </c>
      <c r="C60" s="3" t="str">
        <f>Rydberg!C60</f>
        <v>P/m</v>
      </c>
      <c r="D60" s="21">
        <f>D54*D63*B60</f>
        <v>10041.728423731198</v>
      </c>
      <c r="E60" s="8">
        <v>6</v>
      </c>
      <c r="F60" s="21">
        <f>D60/(F11/F3)</f>
        <v>862.14175833824811</v>
      </c>
      <c r="G60" s="37" t="str">
        <f t="shared" si="25"/>
        <v>5;EX184</v>
      </c>
      <c r="H60" s="275">
        <f t="shared" si="68"/>
        <v>-2.1507426640646754E-3</v>
      </c>
      <c r="I60" s="278"/>
      <c r="J60" s="38">
        <v>2</v>
      </c>
      <c r="K60" s="61">
        <f t="shared" si="39"/>
        <v>5.9870955440156122</v>
      </c>
      <c r="L60" s="39" t="str">
        <f>INDEX(powers!$H$2:$H$75,33+J60)</f>
        <v>gross</v>
      </c>
      <c r="M60" s="40" t="str">
        <f t="shared" si="12"/>
        <v>5</v>
      </c>
      <c r="N60" s="24">
        <f t="shared" si="27"/>
        <v>11.845146528187346</v>
      </c>
      <c r="O60" s="41" t="str">
        <f t="shared" si="13"/>
        <v>E</v>
      </c>
      <c r="P60" s="24">
        <f t="shared" si="28"/>
        <v>10.141758338248152</v>
      </c>
      <c r="Q60" s="41" t="str">
        <f t="shared" si="14"/>
        <v>X</v>
      </c>
      <c r="R60" s="24">
        <f t="shared" si="29"/>
        <v>1.7011000589778291</v>
      </c>
      <c r="S60" s="41" t="str">
        <f t="shared" si="15"/>
        <v>1</v>
      </c>
      <c r="T60" s="24">
        <f t="shared" si="30"/>
        <v>8.4132007077339495</v>
      </c>
      <c r="U60" s="41" t="str">
        <f t="shared" si="16"/>
        <v>8</v>
      </c>
      <c r="V60" s="24">
        <f t="shared" si="31"/>
        <v>4.9584084928073935</v>
      </c>
      <c r="W60" s="41" t="str">
        <f t="shared" si="17"/>
        <v>4</v>
      </c>
      <c r="X60" s="24">
        <f t="shared" si="32"/>
        <v>11.500901913688722</v>
      </c>
      <c r="Y60" s="41" t="str">
        <f t="shared" si="18"/>
        <v/>
      </c>
      <c r="Z60" s="24">
        <f t="shared" si="33"/>
        <v>6.010822964264662</v>
      </c>
      <c r="AA60" s="41" t="str">
        <f t="shared" si="19"/>
        <v/>
      </c>
      <c r="AB60" s="24">
        <f t="shared" si="34"/>
        <v>0.12987557117594406</v>
      </c>
      <c r="AC60" s="41" t="str">
        <f t="shared" si="20"/>
        <v/>
      </c>
      <c r="AD60" s="24">
        <f t="shared" si="35"/>
        <v>1.5585068541113287</v>
      </c>
      <c r="AE60" s="41" t="str">
        <f t="shared" si="21"/>
        <v/>
      </c>
      <c r="AF60" s="24">
        <f t="shared" si="36"/>
        <v>6.7020822493359447</v>
      </c>
      <c r="AG60" s="41" t="str">
        <f t="shared" si="22"/>
        <v/>
      </c>
      <c r="AH60" s="24">
        <f t="shared" si="37"/>
        <v>8.4249869920313358</v>
      </c>
      <c r="AI60" s="41" t="str">
        <f t="shared" si="23"/>
        <v/>
      </c>
      <c r="AJ60" s="24">
        <f t="shared" si="38"/>
        <v>5.09984390437603</v>
      </c>
      <c r="AK60" s="41" t="str">
        <f t="shared" si="24"/>
        <v/>
      </c>
    </row>
    <row r="61" spans="1:37" ht="15" customHeight="1" x14ac:dyDescent="0.2">
      <c r="A61" s="581"/>
      <c r="B61" s="3" t="str">
        <f>Rydberg!B61</f>
        <v>Sea depth at standard atmosphere</v>
      </c>
      <c r="C61" s="3" t="str">
        <f>Rydberg!C61</f>
        <v>m</v>
      </c>
      <c r="D61" s="21">
        <f>D62/D60</f>
        <v>10.090394374791382</v>
      </c>
      <c r="E61" s="8">
        <v>6</v>
      </c>
      <c r="F61" s="21">
        <f>D61/F$3</f>
        <v>37.049064243489518</v>
      </c>
      <c r="G61" s="37" t="str">
        <f t="shared" si="25"/>
        <v>3;107095</v>
      </c>
      <c r="H61" s="276">
        <f t="shared" si="68"/>
        <v>1.3260606348517445E-3</v>
      </c>
      <c r="I61" s="284">
        <v>1</v>
      </c>
      <c r="J61" s="38">
        <v>1</v>
      </c>
      <c r="K61" s="61">
        <f t="shared" si="39"/>
        <v>3.0874220202907932</v>
      </c>
      <c r="L61" s="39" t="str">
        <f>INDEX(powers!$H$2:$H$75,33+J61)</f>
        <v>dozen</v>
      </c>
      <c r="M61" s="40" t="str">
        <f t="shared" si="12"/>
        <v>3</v>
      </c>
      <c r="N61" s="24">
        <f t="shared" si="27"/>
        <v>1.0490642434895179</v>
      </c>
      <c r="O61" s="41" t="str">
        <f t="shared" si="13"/>
        <v>1</v>
      </c>
      <c r="P61" s="24">
        <f t="shared" si="28"/>
        <v>0.58877092187421454</v>
      </c>
      <c r="Q61" s="41" t="str">
        <f t="shared" si="14"/>
        <v>0</v>
      </c>
      <c r="R61" s="24">
        <f t="shared" si="29"/>
        <v>7.0652510624905744</v>
      </c>
      <c r="S61" s="41" t="str">
        <f t="shared" si="15"/>
        <v>7</v>
      </c>
      <c r="T61" s="24">
        <f t="shared" si="30"/>
        <v>0.78301274988689329</v>
      </c>
      <c r="U61" s="41" t="str">
        <f t="shared" si="16"/>
        <v>0</v>
      </c>
      <c r="V61" s="24">
        <f t="shared" si="31"/>
        <v>9.3961529986427195</v>
      </c>
      <c r="W61" s="41" t="str">
        <f t="shared" si="17"/>
        <v>9</v>
      </c>
      <c r="X61" s="24">
        <f t="shared" si="32"/>
        <v>4.7538359837126336</v>
      </c>
      <c r="Y61" s="41" t="str">
        <f t="shared" si="18"/>
        <v>5</v>
      </c>
      <c r="Z61" s="24">
        <f t="shared" si="33"/>
        <v>9.0460318045516033</v>
      </c>
      <c r="AA61" s="41" t="str">
        <f t="shared" si="19"/>
        <v/>
      </c>
      <c r="AB61" s="24">
        <f t="shared" si="34"/>
        <v>0.55238165461923927</v>
      </c>
      <c r="AC61" s="41" t="str">
        <f t="shared" si="20"/>
        <v/>
      </c>
      <c r="AD61" s="24">
        <f t="shared" si="35"/>
        <v>6.6285798554308712</v>
      </c>
      <c r="AE61" s="41" t="str">
        <f t="shared" si="21"/>
        <v/>
      </c>
      <c r="AF61" s="24">
        <f t="shared" si="36"/>
        <v>7.542958265170455</v>
      </c>
      <c r="AG61" s="41" t="str">
        <f t="shared" si="22"/>
        <v/>
      </c>
      <c r="AH61" s="24">
        <f t="shared" si="37"/>
        <v>6.5154991820454597</v>
      </c>
      <c r="AI61" s="41" t="str">
        <f t="shared" si="23"/>
        <v/>
      </c>
      <c r="AJ61" s="24">
        <f t="shared" si="38"/>
        <v>6.185990184545517</v>
      </c>
      <c r="AK61" s="41" t="str">
        <f t="shared" si="24"/>
        <v/>
      </c>
    </row>
    <row r="62" spans="1:37" ht="15" customHeight="1" x14ac:dyDescent="0.2">
      <c r="A62" s="581"/>
      <c r="B62" s="3" t="str">
        <f>Rydberg!B62</f>
        <v>Standard atmosphere</v>
      </c>
      <c r="C62" s="3" t="str">
        <f>Rydberg!C62</f>
        <v>P</v>
      </c>
      <c r="D62" s="21">
        <f>Rydberg!D62</f>
        <v>101325</v>
      </c>
      <c r="E62" s="8">
        <v>10</v>
      </c>
      <c r="F62" s="21">
        <f>D62/F$11</f>
        <v>31941.545391668769</v>
      </c>
      <c r="G62" s="37" t="str">
        <f t="shared" si="25"/>
        <v>1;659966652E</v>
      </c>
      <c r="H62" s="276">
        <f t="shared" si="68"/>
        <v>-8.2753404439539491E-4</v>
      </c>
      <c r="I62" s="284">
        <v>2</v>
      </c>
      <c r="J62" s="38">
        <v>4</v>
      </c>
      <c r="K62" s="61">
        <f t="shared" si="39"/>
        <v>1.5403908850148904</v>
      </c>
      <c r="L62" s="39" t="str">
        <f>INDEX(powers!$H$2:$H$75,33+J62)</f>
        <v>hyper</v>
      </c>
      <c r="M62" s="40" t="str">
        <f t="shared" si="12"/>
        <v>1</v>
      </c>
      <c r="N62" s="24">
        <f t="shared" si="27"/>
        <v>6.4846906201786849</v>
      </c>
      <c r="O62" s="41" t="str">
        <f t="shared" si="13"/>
        <v>6</v>
      </c>
      <c r="P62" s="24">
        <f t="shared" si="28"/>
        <v>5.816287442144219</v>
      </c>
      <c r="Q62" s="41" t="str">
        <f t="shared" si="14"/>
        <v>5</v>
      </c>
      <c r="R62" s="24">
        <f t="shared" si="29"/>
        <v>9.795449305730628</v>
      </c>
      <c r="S62" s="41" t="str">
        <f t="shared" si="15"/>
        <v>9</v>
      </c>
      <c r="T62" s="24">
        <f t="shared" si="30"/>
        <v>9.545391668767536</v>
      </c>
      <c r="U62" s="41" t="str">
        <f t="shared" si="16"/>
        <v>9</v>
      </c>
      <c r="V62" s="24">
        <f t="shared" si="31"/>
        <v>6.5447000252104317</v>
      </c>
      <c r="W62" s="41" t="str">
        <f t="shared" si="17"/>
        <v>6</v>
      </c>
      <c r="X62" s="24">
        <f t="shared" si="32"/>
        <v>6.5364003025251805</v>
      </c>
      <c r="Y62" s="41" t="str">
        <f t="shared" si="18"/>
        <v>6</v>
      </c>
      <c r="Z62" s="24">
        <f t="shared" si="33"/>
        <v>6.4368036303021654</v>
      </c>
      <c r="AA62" s="41" t="str">
        <f t="shared" si="19"/>
        <v>6</v>
      </c>
      <c r="AB62" s="24">
        <f t="shared" si="34"/>
        <v>5.2416435636259848</v>
      </c>
      <c r="AC62" s="41" t="str">
        <f t="shared" si="20"/>
        <v>5</v>
      </c>
      <c r="AD62" s="24">
        <f t="shared" si="35"/>
        <v>2.8997227635118179</v>
      </c>
      <c r="AE62" s="41" t="str">
        <f t="shared" si="21"/>
        <v>2</v>
      </c>
      <c r="AF62" s="24">
        <f t="shared" si="36"/>
        <v>10.796673162141815</v>
      </c>
      <c r="AG62" s="41" t="str">
        <f t="shared" si="22"/>
        <v>E</v>
      </c>
      <c r="AH62" s="24">
        <f t="shared" si="37"/>
        <v>9.5600779457017779</v>
      </c>
      <c r="AI62" s="41" t="str">
        <f t="shared" si="23"/>
        <v/>
      </c>
      <c r="AJ62" s="24">
        <f t="shared" si="38"/>
        <v>6.7209353484213352</v>
      </c>
      <c r="AK62" s="41" t="str">
        <f t="shared" si="24"/>
        <v/>
      </c>
    </row>
    <row r="63" spans="1:37" ht="15" customHeight="1" x14ac:dyDescent="0.2">
      <c r="A63" s="581"/>
      <c r="B63" s="3" t="str">
        <f>Rydberg!B63</f>
        <v>Standard gravitational acceleration</v>
      </c>
      <c r="C63" s="3" t="str">
        <f>Rydberg!C63</f>
        <v>m/s^2</v>
      </c>
      <c r="D63" s="21">
        <f>Rydberg!D63</f>
        <v>9.8066499999999994</v>
      </c>
      <c r="E63" s="8">
        <v>7</v>
      </c>
      <c r="F63" s="21">
        <f>D63/(F$3/F$4/F$4)</f>
        <v>5.4942713405073791</v>
      </c>
      <c r="G63" s="37" t="str">
        <f t="shared" si="25"/>
        <v>5;5E21264</v>
      </c>
      <c r="H63" s="296">
        <f>K63*POWER(12,I63)/ROUND(K63*POWER(12,I63)+1,0)-1</f>
        <v>-8.4288109915436782E-2</v>
      </c>
      <c r="I63" s="297">
        <v>0</v>
      </c>
      <c r="J63" s="38">
        <v>0</v>
      </c>
      <c r="K63" s="61">
        <f t="shared" si="39"/>
        <v>5.4942713405073791</v>
      </c>
      <c r="L63" s="39" t="str">
        <f>INDEX(powers!$H$2:$H$75,33+J63)</f>
        <v xml:space="preserve"> </v>
      </c>
      <c r="M63" s="40" t="str">
        <f t="shared" si="12"/>
        <v>5</v>
      </c>
      <c r="N63" s="24">
        <f t="shared" si="27"/>
        <v>5.931256086088549</v>
      </c>
      <c r="O63" s="41" t="str">
        <f t="shared" si="13"/>
        <v>5</v>
      </c>
      <c r="P63" s="24">
        <f t="shared" si="28"/>
        <v>11.175073033062588</v>
      </c>
      <c r="Q63" s="41" t="str">
        <f t="shared" si="14"/>
        <v>E</v>
      </c>
      <c r="R63" s="24">
        <f t="shared" si="29"/>
        <v>2.1008763967510617</v>
      </c>
      <c r="S63" s="41" t="str">
        <f t="shared" si="15"/>
        <v>2</v>
      </c>
      <c r="T63" s="24">
        <f t="shared" si="30"/>
        <v>1.210516761012741</v>
      </c>
      <c r="U63" s="41" t="str">
        <f t="shared" si="16"/>
        <v>1</v>
      </c>
      <c r="V63" s="24">
        <f t="shared" si="31"/>
        <v>2.5262011321528917</v>
      </c>
      <c r="W63" s="41" t="str">
        <f t="shared" si="17"/>
        <v>2</v>
      </c>
      <c r="X63" s="24">
        <f t="shared" si="32"/>
        <v>6.3144135858346999</v>
      </c>
      <c r="Y63" s="41" t="str">
        <f t="shared" si="18"/>
        <v>6</v>
      </c>
      <c r="Z63" s="24">
        <f t="shared" si="33"/>
        <v>3.772963030016399</v>
      </c>
      <c r="AA63" s="41" t="str">
        <f t="shared" si="19"/>
        <v>4</v>
      </c>
      <c r="AB63" s="24">
        <f t="shared" si="34"/>
        <v>9.2755563601967879</v>
      </c>
      <c r="AC63" s="41" t="str">
        <f t="shared" si="20"/>
        <v/>
      </c>
      <c r="AD63" s="24">
        <f t="shared" si="35"/>
        <v>3.3066763223614544</v>
      </c>
      <c r="AE63" s="41" t="str">
        <f t="shared" si="21"/>
        <v/>
      </c>
      <c r="AF63" s="24">
        <f t="shared" si="36"/>
        <v>3.6801158683374524</v>
      </c>
      <c r="AG63" s="41" t="str">
        <f t="shared" si="22"/>
        <v/>
      </c>
      <c r="AH63" s="24">
        <f t="shared" si="37"/>
        <v>8.1613904200494289</v>
      </c>
      <c r="AI63" s="41" t="str">
        <f t="shared" si="23"/>
        <v/>
      </c>
      <c r="AJ63" s="24">
        <f t="shared" si="38"/>
        <v>1.9366850405931473</v>
      </c>
      <c r="AK63" s="41" t="str">
        <f t="shared" si="24"/>
        <v/>
      </c>
    </row>
    <row r="64" spans="1:37" ht="15" customHeight="1" x14ac:dyDescent="0.2">
      <c r="A64" s="581"/>
      <c r="B64" s="3" t="str">
        <f>Rydberg!B64</f>
        <v>Gravitational radius of the Earth</v>
      </c>
      <c r="C64" s="3" t="str">
        <f>Rydberg!C64</f>
        <v>m</v>
      </c>
      <c r="D64" s="21">
        <f>Rydberg!D64</f>
        <v>4.4350280391176706E-3</v>
      </c>
      <c r="E64" s="8">
        <v>10</v>
      </c>
      <c r="F64" s="21">
        <f t="shared" ref="F64:F69" si="69">D64/F$3</f>
        <v>1.6284164190197483E-2</v>
      </c>
      <c r="G64" s="37" t="str">
        <f t="shared" si="25"/>
        <v>2;418030652</v>
      </c>
      <c r="H64" s="275"/>
      <c r="I64" s="278"/>
      <c r="J64" s="38">
        <v>-2</v>
      </c>
      <c r="K64" s="61">
        <f t="shared" si="39"/>
        <v>2.3449196433884376</v>
      </c>
      <c r="L64" s="39" t="str">
        <f>INDEX(powers!$H$2:$H$75,33+J64)</f>
        <v>dino</v>
      </c>
      <c r="M64" s="40" t="str">
        <f t="shared" si="12"/>
        <v>2</v>
      </c>
      <c r="N64" s="24">
        <f t="shared" si="27"/>
        <v>4.1390357206612514</v>
      </c>
      <c r="O64" s="41" t="str">
        <f t="shared" si="13"/>
        <v>4</v>
      </c>
      <c r="P64" s="24">
        <f t="shared" si="28"/>
        <v>1.6684286479350163</v>
      </c>
      <c r="Q64" s="41" t="str">
        <f t="shared" si="14"/>
        <v>1</v>
      </c>
      <c r="R64" s="24">
        <f t="shared" si="29"/>
        <v>8.0211437752201959</v>
      </c>
      <c r="S64" s="41" t="str">
        <f t="shared" si="15"/>
        <v>8</v>
      </c>
      <c r="T64" s="24">
        <f t="shared" si="30"/>
        <v>0.25372530264235138</v>
      </c>
      <c r="U64" s="41" t="str">
        <f t="shared" si="16"/>
        <v>0</v>
      </c>
      <c r="V64" s="24">
        <f t="shared" si="31"/>
        <v>3.0447036317082166</v>
      </c>
      <c r="W64" s="41" t="str">
        <f t="shared" si="17"/>
        <v>3</v>
      </c>
      <c r="X64" s="24">
        <f t="shared" si="32"/>
        <v>0.53644358049859875</v>
      </c>
      <c r="Y64" s="41" t="str">
        <f t="shared" si="18"/>
        <v>0</v>
      </c>
      <c r="Z64" s="24">
        <f t="shared" si="33"/>
        <v>6.437322965983185</v>
      </c>
      <c r="AA64" s="41" t="str">
        <f t="shared" si="19"/>
        <v>6</v>
      </c>
      <c r="AB64" s="24">
        <f t="shared" si="34"/>
        <v>5.2478755917982198</v>
      </c>
      <c r="AC64" s="41" t="str">
        <f t="shared" si="20"/>
        <v>5</v>
      </c>
      <c r="AD64" s="24">
        <f t="shared" si="35"/>
        <v>2.974507101578638</v>
      </c>
      <c r="AE64" s="41" t="str">
        <f t="shared" si="21"/>
        <v>2</v>
      </c>
      <c r="AF64" s="24">
        <f t="shared" si="36"/>
        <v>11.694085218943655</v>
      </c>
      <c r="AG64" s="41" t="str">
        <f t="shared" si="22"/>
        <v/>
      </c>
      <c r="AH64" s="24">
        <f t="shared" si="37"/>
        <v>8.3290226273238659</v>
      </c>
      <c r="AI64" s="41" t="str">
        <f t="shared" si="23"/>
        <v/>
      </c>
      <c r="AJ64" s="24">
        <f t="shared" si="38"/>
        <v>3.9482715278863907</v>
      </c>
      <c r="AK64" s="41" t="str">
        <f t="shared" si="24"/>
        <v/>
      </c>
    </row>
    <row r="65" spans="1:37" ht="15" customHeight="1" x14ac:dyDescent="0.2">
      <c r="A65" s="581"/>
      <c r="B65" s="3" t="str">
        <f>Rydberg!B65</f>
        <v>Equatorial radius of the Earth</v>
      </c>
      <c r="C65" s="3" t="str">
        <f>Rydberg!C65</f>
        <v>m</v>
      </c>
      <c r="D65" s="21">
        <f>Rydberg!D65</f>
        <v>6378137</v>
      </c>
      <c r="E65" s="8">
        <v>7</v>
      </c>
      <c r="F65" s="21">
        <f t="shared" si="69"/>
        <v>23418708.79270396</v>
      </c>
      <c r="G65" s="37" t="str">
        <f t="shared" si="25"/>
        <v>0;7X145E1</v>
      </c>
      <c r="H65" s="275"/>
      <c r="I65" s="278"/>
      <c r="J65" s="38">
        <v>7</v>
      </c>
      <c r="K65" s="61">
        <f t="shared" si="39"/>
        <v>0.65357318259530639</v>
      </c>
      <c r="L65" s="39" t="str">
        <f>INDEX(powers!$H$2:$H$75,33+J65)</f>
        <v>unino cosmic</v>
      </c>
      <c r="M65" s="40" t="str">
        <f t="shared" si="12"/>
        <v>0</v>
      </c>
      <c r="N65" s="24">
        <f t="shared" si="27"/>
        <v>7.8428781911436767</v>
      </c>
      <c r="O65" s="41" t="str">
        <f t="shared" si="13"/>
        <v>7</v>
      </c>
      <c r="P65" s="24">
        <f t="shared" si="28"/>
        <v>10.11453829372412</v>
      </c>
      <c r="Q65" s="41" t="str">
        <f t="shared" si="14"/>
        <v>X</v>
      </c>
      <c r="R65" s="24">
        <f t="shared" si="29"/>
        <v>1.374459524689442</v>
      </c>
      <c r="S65" s="41" t="str">
        <f t="shared" si="15"/>
        <v>1</v>
      </c>
      <c r="T65" s="24">
        <f t="shared" si="30"/>
        <v>4.4935142962733039</v>
      </c>
      <c r="U65" s="41" t="str">
        <f t="shared" si="16"/>
        <v>4</v>
      </c>
      <c r="V65" s="24">
        <f t="shared" si="31"/>
        <v>5.9221715552796468</v>
      </c>
      <c r="W65" s="41" t="str">
        <f t="shared" si="17"/>
        <v>5</v>
      </c>
      <c r="X65" s="24">
        <f t="shared" si="32"/>
        <v>11.066058663355761</v>
      </c>
      <c r="Y65" s="41" t="str">
        <f t="shared" si="18"/>
        <v>E</v>
      </c>
      <c r="Z65" s="24">
        <f t="shared" si="33"/>
        <v>0.79270396026913659</v>
      </c>
      <c r="AA65" s="41" t="str">
        <f t="shared" si="19"/>
        <v>1</v>
      </c>
      <c r="AB65" s="24">
        <f t="shared" si="34"/>
        <v>9.512447523229639</v>
      </c>
      <c r="AC65" s="41" t="str">
        <f t="shared" si="20"/>
        <v/>
      </c>
      <c r="AD65" s="24">
        <f t="shared" si="35"/>
        <v>6.1493702787556686</v>
      </c>
      <c r="AE65" s="41" t="str">
        <f t="shared" si="21"/>
        <v/>
      </c>
      <c r="AF65" s="24">
        <f t="shared" si="36"/>
        <v>1.7924433450680226</v>
      </c>
      <c r="AG65" s="41" t="str">
        <f t="shared" si="22"/>
        <v/>
      </c>
      <c r="AH65" s="24">
        <f t="shared" si="37"/>
        <v>9.5093201408162713</v>
      </c>
      <c r="AI65" s="41" t="str">
        <f t="shared" si="23"/>
        <v/>
      </c>
      <c r="AJ65" s="24">
        <f t="shared" si="38"/>
        <v>6.1118416897952557</v>
      </c>
      <c r="AK65" s="41" t="str">
        <f t="shared" si="24"/>
        <v/>
      </c>
    </row>
    <row r="66" spans="1:37" ht="15" customHeight="1" x14ac:dyDescent="0.2">
      <c r="A66" s="581"/>
      <c r="B66" s="3" t="str">
        <f>Rydberg!B66</f>
        <v>Meridian length of the Earth / 4</v>
      </c>
      <c r="C66" s="3" t="str">
        <f>Rydberg!C66</f>
        <v>m</v>
      </c>
      <c r="D66" s="21">
        <f>Rydberg!D66</f>
        <v>10001965.75</v>
      </c>
      <c r="E66" s="8">
        <v>7</v>
      </c>
      <c r="F66" s="21">
        <f t="shared" si="69"/>
        <v>36724379.431462333</v>
      </c>
      <c r="G66" s="37" t="str">
        <f t="shared" si="25"/>
        <v>1;037064E</v>
      </c>
      <c r="H66" s="503">
        <f t="shared" ref="H66" si="70">K66*POWER(12,I66)/ROUND(K66*POWER(12,I66),0)-1</f>
        <v>2.4910030536620775E-2</v>
      </c>
      <c r="I66" s="278"/>
      <c r="J66" s="38">
        <v>7</v>
      </c>
      <c r="K66" s="61">
        <f t="shared" si="39"/>
        <v>1.0249100305366208</v>
      </c>
      <c r="L66" s="39" t="str">
        <f>INDEX(powers!$H$2:$H$75,33+J66)</f>
        <v>unino cosmic</v>
      </c>
      <c r="M66" s="40" t="str">
        <f t="shared" si="12"/>
        <v>1</v>
      </c>
      <c r="N66" s="24">
        <f t="shared" si="27"/>
        <v>0.2989203664394493</v>
      </c>
      <c r="O66" s="41" t="str">
        <f t="shared" si="13"/>
        <v>0</v>
      </c>
      <c r="P66" s="24">
        <f t="shared" si="28"/>
        <v>3.5870443972733916</v>
      </c>
      <c r="Q66" s="41" t="str">
        <f t="shared" si="14"/>
        <v>3</v>
      </c>
      <c r="R66" s="24">
        <f t="shared" si="29"/>
        <v>7.0445327672806997</v>
      </c>
      <c r="S66" s="41" t="str">
        <f t="shared" si="15"/>
        <v>7</v>
      </c>
      <c r="T66" s="24">
        <f t="shared" si="30"/>
        <v>0.53439320736839591</v>
      </c>
      <c r="U66" s="41" t="str">
        <f t="shared" si="16"/>
        <v>0</v>
      </c>
      <c r="V66" s="24">
        <f t="shared" si="31"/>
        <v>6.4127184884207509</v>
      </c>
      <c r="W66" s="41" t="str">
        <f t="shared" si="17"/>
        <v>6</v>
      </c>
      <c r="X66" s="24">
        <f t="shared" si="32"/>
        <v>4.9526218610490105</v>
      </c>
      <c r="Y66" s="41" t="str">
        <f t="shared" si="18"/>
        <v>4</v>
      </c>
      <c r="Z66" s="24">
        <f t="shared" si="33"/>
        <v>11.431462332588126</v>
      </c>
      <c r="AA66" s="41" t="str">
        <f t="shared" si="19"/>
        <v>E</v>
      </c>
      <c r="AB66" s="24">
        <f t="shared" si="34"/>
        <v>5.1775479910575086</v>
      </c>
      <c r="AC66" s="41" t="str">
        <f t="shared" si="20"/>
        <v/>
      </c>
      <c r="AD66" s="24">
        <f t="shared" si="35"/>
        <v>2.1305758926901035</v>
      </c>
      <c r="AE66" s="41" t="str">
        <f t="shared" si="21"/>
        <v/>
      </c>
      <c r="AF66" s="24">
        <f t="shared" si="36"/>
        <v>1.566910712281242</v>
      </c>
      <c r="AG66" s="41" t="str">
        <f t="shared" si="22"/>
        <v/>
      </c>
      <c r="AH66" s="24">
        <f t="shared" si="37"/>
        <v>6.8029285473749042</v>
      </c>
      <c r="AI66" s="41" t="str">
        <f t="shared" si="23"/>
        <v/>
      </c>
      <c r="AJ66" s="24">
        <f t="shared" si="38"/>
        <v>9.6351425684988499</v>
      </c>
      <c r="AK66" s="41" t="str">
        <f t="shared" si="24"/>
        <v/>
      </c>
    </row>
    <row r="67" spans="1:37" ht="15" customHeight="1" x14ac:dyDescent="0.2">
      <c r="A67" s="581"/>
      <c r="B67" s="3" t="str">
        <f>Rydberg!B67</f>
        <v>Gravitational radius of the Sun</v>
      </c>
      <c r="C67" s="3" t="str">
        <f>Rydberg!C66</f>
        <v>m</v>
      </c>
      <c r="D67" s="21">
        <f>Rydberg!D67</f>
        <v>1476.6250385063113</v>
      </c>
      <c r="E67" s="8">
        <v>8</v>
      </c>
      <c r="F67" s="21">
        <f t="shared" si="69"/>
        <v>5421.7480390895607</v>
      </c>
      <c r="G67" s="37" t="str">
        <f t="shared" ref="G67" si="71">M67&amp;";"&amp;O67&amp;Q67&amp;S67&amp;U67&amp;W67&amp;Y67&amp;AA67&amp;AC67&amp;AE67&amp;AG67&amp;AI67&amp;AK67</f>
        <v>3;1798E874</v>
      </c>
      <c r="H67" s="275"/>
      <c r="I67" s="278"/>
      <c r="J67" s="38">
        <v>3</v>
      </c>
      <c r="K67" s="61">
        <f t="shared" ref="K67" si="72">F67/POWER(12,J67)</f>
        <v>3.1375856707694219</v>
      </c>
      <c r="L67" s="39" t="str">
        <f>INDEX(powers!$H$2:$H$75,33+J67)</f>
        <v>doz gross</v>
      </c>
      <c r="M67" s="40" t="str">
        <f t="shared" ref="M67" si="73">IF($E67&gt;=M$31,MID($J$31,IF($E67&gt;M$31,INT(K67),ROUND(K67,0))+1,1),"")</f>
        <v>3</v>
      </c>
      <c r="N67" s="24">
        <f t="shared" ref="N67" si="74">(K67-INT(K67))*12</f>
        <v>1.6510280492330622</v>
      </c>
      <c r="O67" s="41" t="str">
        <f t="shared" ref="O67" si="75">IF($E67&gt;=O$31,MID($J$31,IF($E67&gt;O$31,INT(N67),ROUND(N67,0))+1,1),"")</f>
        <v>1</v>
      </c>
      <c r="P67" s="24">
        <f t="shared" ref="P67" si="76">(N67-INT(N67))*12</f>
        <v>7.8123365907967468</v>
      </c>
      <c r="Q67" s="41" t="str">
        <f t="shared" ref="Q67" si="77">IF($E67&gt;=Q$31,MID($J$31,IF($E67&gt;Q$31,INT(P67),ROUND(P67,0))+1,1),"")</f>
        <v>7</v>
      </c>
      <c r="R67" s="24">
        <f t="shared" ref="R67" si="78">(P67-INT(P67))*12</f>
        <v>9.7480390895609617</v>
      </c>
      <c r="S67" s="41" t="str">
        <f t="shared" ref="S67" si="79">IF($E67&gt;=S$31,MID($J$31,IF($E67&gt;S$31,INT(R67),ROUND(R67,0))+1,1),"")</f>
        <v>9</v>
      </c>
      <c r="T67" s="24">
        <f t="shared" ref="T67" si="80">(R67-INT(R67))*12</f>
        <v>8.9764690747315399</v>
      </c>
      <c r="U67" s="41" t="str">
        <f t="shared" ref="U67" si="81">IF($E67&gt;=U$31,MID($J$31,IF($E67&gt;U$31,INT(T67),ROUND(T67,0))+1,1),"")</f>
        <v>8</v>
      </c>
      <c r="V67" s="24">
        <f t="shared" ref="V67" si="82">(T67-INT(T67))*12</f>
        <v>11.717628896778479</v>
      </c>
      <c r="W67" s="41" t="str">
        <f t="shared" ref="W67" si="83">IF($E67&gt;=W$31,MID($J$31,IF($E67&gt;W$31,INT(V67),ROUND(V67,0))+1,1),"")</f>
        <v>E</v>
      </c>
      <c r="X67" s="24">
        <f t="shared" ref="X67" si="84">(V67-INT(V67))*12</f>
        <v>8.6115467613417422</v>
      </c>
      <c r="Y67" s="41" t="str">
        <f t="shared" ref="Y67" si="85">IF($E67&gt;=Y$31,MID($J$31,IF($E67&gt;Y$31,INT(X67),ROUND(X67,0))+1,1),"")</f>
        <v>8</v>
      </c>
      <c r="Z67" s="24">
        <f t="shared" ref="Z67" si="86">(X67-INT(X67))*12</f>
        <v>7.3385611361009069</v>
      </c>
      <c r="AA67" s="41" t="str">
        <f t="shared" ref="AA67" si="87">IF($E67&gt;=AA$31,MID($J$31,IF($E67&gt;AA$31,INT(Z67),ROUND(Z67,0))+1,1),"")</f>
        <v>7</v>
      </c>
      <c r="AB67" s="24">
        <f t="shared" ref="AB67" si="88">(Z67-INT(Z67))*12</f>
        <v>4.0627336332108825</v>
      </c>
      <c r="AC67" s="41" t="str">
        <f t="shared" ref="AC67" si="89">IF($E67&gt;=AC$31,MID($J$31,IF($E67&gt;AC$31,INT(AB67),ROUND(AB67,0))+1,1),"")</f>
        <v>4</v>
      </c>
      <c r="AD67" s="24">
        <f t="shared" ref="AD67" si="90">(AB67-INT(AB67))*12</f>
        <v>0.75280359853059053</v>
      </c>
      <c r="AE67" s="41" t="str">
        <f t="shared" ref="AE67" si="91">IF($E67&gt;=AE$31,MID($J$31,IF($E67&gt;AE$31,INT(AD67),ROUND(AD67,0))+1,1),"")</f>
        <v/>
      </c>
      <c r="AF67" s="24">
        <f t="shared" ref="AF67" si="92">(AD67-INT(AD67))*12</f>
        <v>9.0336431823670864</v>
      </c>
      <c r="AG67" s="41" t="str">
        <f t="shared" ref="AG67" si="93">IF($E67&gt;=AG$31,MID($J$31,IF($E67&gt;AG$31,INT(AF67),ROUND(AF67,0))+1,1),"")</f>
        <v/>
      </c>
      <c r="AH67" s="24">
        <f t="shared" ref="AH67" si="94">(AF67-INT(AF67))*12</f>
        <v>0.40371818840503693</v>
      </c>
      <c r="AI67" s="41" t="str">
        <f t="shared" ref="AI67" si="95">IF($E67&gt;=AI$31,MID($J$31,IF($E67&gt;AI$31,INT(AH67),ROUND(AH67,0))+1,1),"")</f>
        <v/>
      </c>
      <c r="AJ67" s="24">
        <f t="shared" ref="AJ67" si="96">(AH67-INT(AH67))*12</f>
        <v>4.8446182608604431</v>
      </c>
      <c r="AK67" s="41" t="str">
        <f t="shared" ref="AK67" si="97">IF($E67&gt;=AK$31,MID($J$31,IF($E67&gt;AK$31,INT(AJ67),ROUND(AJ67,0))+1,1),"")</f>
        <v/>
      </c>
    </row>
    <row r="68" spans="1:37" ht="15" customHeight="1" x14ac:dyDescent="0.2">
      <c r="A68" s="581"/>
      <c r="B68" s="64" t="s">
        <v>1457</v>
      </c>
      <c r="C68" s="3" t="str">
        <f>Rydberg!C67</f>
        <v>m</v>
      </c>
      <c r="D68" s="21">
        <f>Rydberg!D67*4</f>
        <v>5906.5001540252451</v>
      </c>
      <c r="E68" s="8">
        <v>8</v>
      </c>
      <c r="F68" s="21">
        <f t="shared" si="69"/>
        <v>21686.992156358243</v>
      </c>
      <c r="G68" s="37" t="str">
        <f t="shared" si="25"/>
        <v>1;0672EXX5</v>
      </c>
      <c r="H68" s="275"/>
      <c r="I68" s="278"/>
      <c r="J68" s="38">
        <v>4</v>
      </c>
      <c r="K68" s="61">
        <f t="shared" si="39"/>
        <v>1.0458618902564738</v>
      </c>
      <c r="L68" s="39" t="str">
        <f>INDEX(powers!$H$2:$H$75,33+J68)</f>
        <v>hyper</v>
      </c>
      <c r="M68" s="40" t="str">
        <f t="shared" si="12"/>
        <v>1</v>
      </c>
      <c r="N68" s="24">
        <f t="shared" si="27"/>
        <v>0.55034268307768563</v>
      </c>
      <c r="O68" s="41" t="str">
        <f t="shared" si="13"/>
        <v>0</v>
      </c>
      <c r="P68" s="24">
        <f t="shared" si="28"/>
        <v>6.6041121969322276</v>
      </c>
      <c r="Q68" s="41" t="str">
        <f t="shared" si="14"/>
        <v>6</v>
      </c>
      <c r="R68" s="24">
        <f t="shared" si="29"/>
        <v>7.2493463631867314</v>
      </c>
      <c r="S68" s="41" t="str">
        <f t="shared" si="15"/>
        <v>7</v>
      </c>
      <c r="T68" s="24">
        <f t="shared" si="30"/>
        <v>2.9921563582407771</v>
      </c>
      <c r="U68" s="41" t="str">
        <f t="shared" si="16"/>
        <v>2</v>
      </c>
      <c r="V68" s="24">
        <f t="shared" si="31"/>
        <v>11.905876298889325</v>
      </c>
      <c r="W68" s="41" t="str">
        <f t="shared" si="17"/>
        <v>E</v>
      </c>
      <c r="X68" s="24">
        <f t="shared" si="32"/>
        <v>10.8705155866719</v>
      </c>
      <c r="Y68" s="41" t="str">
        <f t="shared" si="18"/>
        <v>X</v>
      </c>
      <c r="Z68" s="24">
        <f t="shared" si="33"/>
        <v>10.446187040062796</v>
      </c>
      <c r="AA68" s="41" t="str">
        <f t="shared" si="19"/>
        <v>X</v>
      </c>
      <c r="AB68" s="24">
        <f t="shared" si="34"/>
        <v>5.3542444807535503</v>
      </c>
      <c r="AC68" s="41" t="str">
        <f t="shared" si="20"/>
        <v>5</v>
      </c>
      <c r="AD68" s="24">
        <f t="shared" si="35"/>
        <v>4.2509337690426037</v>
      </c>
      <c r="AE68" s="41" t="str">
        <f t="shared" si="21"/>
        <v/>
      </c>
      <c r="AF68" s="24">
        <f t="shared" si="36"/>
        <v>3.0112052285112441</v>
      </c>
      <c r="AG68" s="41" t="str">
        <f t="shared" si="22"/>
        <v/>
      </c>
      <c r="AH68" s="24">
        <f t="shared" si="37"/>
        <v>0.1344627421349287</v>
      </c>
      <c r="AI68" s="41" t="str">
        <f t="shared" si="23"/>
        <v/>
      </c>
      <c r="AJ68" s="24">
        <f t="shared" si="38"/>
        <v>1.6135529056191444</v>
      </c>
      <c r="AK68" s="41" t="str">
        <f t="shared" si="24"/>
        <v/>
      </c>
    </row>
    <row r="69" spans="1:37" ht="15" customHeight="1" x14ac:dyDescent="0.2">
      <c r="A69" s="581"/>
      <c r="B69" s="5" t="str">
        <f>Rydberg!B68</f>
        <v>Astronomical unit</v>
      </c>
      <c r="C69" s="5" t="str">
        <f>Rydberg!C68</f>
        <v>m</v>
      </c>
      <c r="D69" s="21">
        <f>Rydberg!D68</f>
        <v>149597870000</v>
      </c>
      <c r="E69" s="30">
        <v>9</v>
      </c>
      <c r="F69" s="29">
        <f t="shared" si="69"/>
        <v>549280919105.18445</v>
      </c>
      <c r="G69" s="37" t="str">
        <f t="shared" si="25"/>
        <v>8;X55509X31</v>
      </c>
      <c r="H69" s="275"/>
      <c r="I69" s="281"/>
      <c r="J69" s="43">
        <v>10</v>
      </c>
      <c r="K69" s="62">
        <f t="shared" si="39"/>
        <v>8.8711935010353002</v>
      </c>
      <c r="L69" s="39" t="str">
        <f>INDEX(powers!$H$2:$H$75,33+J69)</f>
        <v>gross cosmic</v>
      </c>
      <c r="M69" s="40" t="str">
        <f t="shared" si="12"/>
        <v>8</v>
      </c>
      <c r="N69" s="24">
        <f t="shared" si="27"/>
        <v>10.454322012423603</v>
      </c>
      <c r="O69" s="41" t="str">
        <f t="shared" si="13"/>
        <v>X</v>
      </c>
      <c r="P69" s="24">
        <f t="shared" si="28"/>
        <v>5.4518641490832351</v>
      </c>
      <c r="Q69" s="41" t="str">
        <f t="shared" si="14"/>
        <v>5</v>
      </c>
      <c r="R69" s="24">
        <f t="shared" si="29"/>
        <v>5.4223697889988216</v>
      </c>
      <c r="S69" s="41" t="str">
        <f t="shared" si="15"/>
        <v>5</v>
      </c>
      <c r="T69" s="24">
        <f t="shared" si="30"/>
        <v>5.0684374679858593</v>
      </c>
      <c r="U69" s="41" t="str">
        <f t="shared" si="16"/>
        <v>5</v>
      </c>
      <c r="V69" s="24">
        <f t="shared" si="31"/>
        <v>0.82124961583031109</v>
      </c>
      <c r="W69" s="41" t="str">
        <f t="shared" si="17"/>
        <v>0</v>
      </c>
      <c r="X69" s="24">
        <f t="shared" si="32"/>
        <v>9.854995389963733</v>
      </c>
      <c r="Y69" s="41" t="str">
        <f t="shared" si="18"/>
        <v>9</v>
      </c>
      <c r="Z69" s="24">
        <f t="shared" si="33"/>
        <v>10.259944679564796</v>
      </c>
      <c r="AA69" s="41" t="str">
        <f t="shared" si="19"/>
        <v>X</v>
      </c>
      <c r="AB69" s="24">
        <f t="shared" si="34"/>
        <v>3.1193361547775567</v>
      </c>
      <c r="AC69" s="41" t="str">
        <f t="shared" si="20"/>
        <v>3</v>
      </c>
      <c r="AD69" s="24">
        <f t="shared" si="35"/>
        <v>1.4320338573306799</v>
      </c>
      <c r="AE69" s="41" t="str">
        <f t="shared" si="21"/>
        <v>1</v>
      </c>
      <c r="AF69" s="24">
        <f t="shared" si="36"/>
        <v>5.1844062879681587</v>
      </c>
      <c r="AG69" s="41" t="str">
        <f t="shared" si="22"/>
        <v/>
      </c>
      <c r="AH69" s="24">
        <f t="shared" si="37"/>
        <v>2.2128754556179047</v>
      </c>
      <c r="AI69" s="41" t="str">
        <f t="shared" si="23"/>
        <v/>
      </c>
      <c r="AJ69" s="24">
        <f t="shared" si="38"/>
        <v>2.554505467414856</v>
      </c>
      <c r="AK69" s="41" t="str">
        <f t="shared" si="24"/>
        <v/>
      </c>
    </row>
    <row r="70" spans="1:37" ht="15" customHeight="1" x14ac:dyDescent="0.2">
      <c r="A70" s="581"/>
      <c r="B70" s="5" t="str">
        <f>Rydberg!B69</f>
        <v>Astronomical unit / c0</v>
      </c>
      <c r="C70" s="5" t="str">
        <f>Rydberg!C69</f>
        <v>s</v>
      </c>
      <c r="D70" s="29">
        <f>Rydberg!D69</f>
        <v>499.00478150120773</v>
      </c>
      <c r="E70" s="30">
        <v>9</v>
      </c>
      <c r="F70" s="29">
        <f>D70/F$4</f>
        <v>1277.4518641490833</v>
      </c>
      <c r="G70" s="37" t="str">
        <f t="shared" si="25"/>
        <v>8;X55509X31</v>
      </c>
      <c r="H70" s="275"/>
      <c r="I70" s="281"/>
      <c r="J70" s="43">
        <v>2</v>
      </c>
      <c r="K70" s="62">
        <f t="shared" si="39"/>
        <v>8.8711935010353002</v>
      </c>
      <c r="L70" s="39" t="str">
        <f>INDEX(powers!$H$2:$H$75,33+J70)</f>
        <v>gross</v>
      </c>
      <c r="M70" s="40" t="str">
        <f t="shared" si="12"/>
        <v>8</v>
      </c>
      <c r="N70" s="24">
        <f t="shared" si="27"/>
        <v>10.454322012423603</v>
      </c>
      <c r="O70" s="41" t="str">
        <f t="shared" si="13"/>
        <v>X</v>
      </c>
      <c r="P70" s="24">
        <f t="shared" si="28"/>
        <v>5.4518641490832351</v>
      </c>
      <c r="Q70" s="41" t="str">
        <f t="shared" si="14"/>
        <v>5</v>
      </c>
      <c r="R70" s="24">
        <f t="shared" si="29"/>
        <v>5.4223697889988216</v>
      </c>
      <c r="S70" s="41" t="str">
        <f t="shared" si="15"/>
        <v>5</v>
      </c>
      <c r="T70" s="24">
        <f t="shared" si="30"/>
        <v>5.0684374679858593</v>
      </c>
      <c r="U70" s="41" t="str">
        <f t="shared" si="16"/>
        <v>5</v>
      </c>
      <c r="V70" s="24">
        <f t="shared" si="31"/>
        <v>0.82124961583031109</v>
      </c>
      <c r="W70" s="41" t="str">
        <f t="shared" si="17"/>
        <v>0</v>
      </c>
      <c r="X70" s="24">
        <f t="shared" si="32"/>
        <v>9.854995389963733</v>
      </c>
      <c r="Y70" s="41" t="str">
        <f t="shared" si="18"/>
        <v>9</v>
      </c>
      <c r="Z70" s="24">
        <f t="shared" si="33"/>
        <v>10.259944679564796</v>
      </c>
      <c r="AA70" s="41" t="str">
        <f t="shared" si="19"/>
        <v>X</v>
      </c>
      <c r="AB70" s="24">
        <f t="shared" si="34"/>
        <v>3.1193361547775567</v>
      </c>
      <c r="AC70" s="41" t="str">
        <f t="shared" si="20"/>
        <v>3</v>
      </c>
      <c r="AD70" s="24">
        <f t="shared" si="35"/>
        <v>1.4320338573306799</v>
      </c>
      <c r="AE70" s="41" t="str">
        <f t="shared" si="21"/>
        <v>1</v>
      </c>
      <c r="AF70" s="24">
        <f t="shared" si="36"/>
        <v>5.1844062879681587</v>
      </c>
      <c r="AG70" s="41" t="str">
        <f t="shared" si="22"/>
        <v/>
      </c>
      <c r="AH70" s="24">
        <f t="shared" si="37"/>
        <v>2.2128754556179047</v>
      </c>
      <c r="AI70" s="41" t="str">
        <f t="shared" si="23"/>
        <v/>
      </c>
      <c r="AJ70" s="24">
        <f t="shared" si="38"/>
        <v>2.554505467414856</v>
      </c>
      <c r="AK70" s="41" t="str">
        <f t="shared" si="24"/>
        <v/>
      </c>
    </row>
    <row r="71" spans="1:37" ht="15" customHeight="1" thickBot="1" x14ac:dyDescent="0.25">
      <c r="A71" s="582"/>
      <c r="B71" s="89" t="s">
        <v>117</v>
      </c>
      <c r="C71" s="89" t="str">
        <f>Rydberg!C70</f>
        <v>-</v>
      </c>
      <c r="D71" s="32">
        <f>Rydberg!D70</f>
        <v>9.9800956300241541</v>
      </c>
      <c r="E71" s="33">
        <v>9</v>
      </c>
      <c r="F71" s="32">
        <f>D71</f>
        <v>9.9800956300241541</v>
      </c>
      <c r="G71" s="306" t="str">
        <f t="shared" si="25"/>
        <v>9;E91731X53</v>
      </c>
      <c r="H71" s="307"/>
      <c r="I71" s="282"/>
      <c r="J71" s="48">
        <v>0</v>
      </c>
      <c r="K71" s="63">
        <f t="shared" si="39"/>
        <v>9.9800956300241541</v>
      </c>
      <c r="L71" s="49" t="str">
        <f>INDEX(powers!$H$2:$H$75,33+J71)</f>
        <v xml:space="preserve"> </v>
      </c>
      <c r="M71" s="40" t="str">
        <f t="shared" si="12"/>
        <v>9</v>
      </c>
      <c r="N71" s="24">
        <f t="shared" si="27"/>
        <v>11.761147560289849</v>
      </c>
      <c r="O71" s="41" t="str">
        <f t="shared" si="13"/>
        <v>E</v>
      </c>
      <c r="P71" s="24">
        <f t="shared" si="28"/>
        <v>9.1337707234781931</v>
      </c>
      <c r="Q71" s="41" t="str">
        <f t="shared" si="14"/>
        <v>9</v>
      </c>
      <c r="R71" s="24">
        <f t="shared" si="29"/>
        <v>1.6052486817383169</v>
      </c>
      <c r="S71" s="41" t="str">
        <f t="shared" si="15"/>
        <v>1</v>
      </c>
      <c r="T71" s="24">
        <f t="shared" si="30"/>
        <v>7.262984180859803</v>
      </c>
      <c r="U71" s="41" t="str">
        <f t="shared" si="16"/>
        <v>7</v>
      </c>
      <c r="V71" s="24">
        <f t="shared" si="31"/>
        <v>3.1558101703176362</v>
      </c>
      <c r="W71" s="41" t="str">
        <f t="shared" si="17"/>
        <v>3</v>
      </c>
      <c r="X71" s="24">
        <f t="shared" si="32"/>
        <v>1.8697220438116346</v>
      </c>
      <c r="Y71" s="41" t="str">
        <f t="shared" si="18"/>
        <v>1</v>
      </c>
      <c r="Z71" s="24">
        <f t="shared" si="33"/>
        <v>10.436664525739616</v>
      </c>
      <c r="AA71" s="41" t="str">
        <f t="shared" si="19"/>
        <v>X</v>
      </c>
      <c r="AB71" s="24">
        <f t="shared" si="34"/>
        <v>5.2399743088753894</v>
      </c>
      <c r="AC71" s="41" t="str">
        <f t="shared" si="20"/>
        <v>5</v>
      </c>
      <c r="AD71" s="24">
        <f t="shared" si="35"/>
        <v>2.8796917065046728</v>
      </c>
      <c r="AE71" s="41" t="str">
        <f t="shared" si="21"/>
        <v>3</v>
      </c>
      <c r="AF71" s="24">
        <f t="shared" si="36"/>
        <v>10.556300478056073</v>
      </c>
      <c r="AG71" s="41" t="str">
        <f t="shared" si="22"/>
        <v/>
      </c>
      <c r="AH71" s="24">
        <f t="shared" si="37"/>
        <v>6.6756057366728783</v>
      </c>
      <c r="AI71" s="41" t="str">
        <f t="shared" si="23"/>
        <v/>
      </c>
      <c r="AJ71" s="24">
        <f t="shared" si="38"/>
        <v>8.1072688400745392</v>
      </c>
      <c r="AK71" s="41" t="str">
        <f t="shared" si="24"/>
        <v/>
      </c>
    </row>
    <row r="72" spans="1:37" ht="12" customHeight="1" x14ac:dyDescent="0.2">
      <c r="A72" s="577" t="s">
        <v>49</v>
      </c>
      <c r="B72" s="17" t="s">
        <v>42</v>
      </c>
      <c r="C72" s="17"/>
      <c r="D72" s="17"/>
      <c r="E72" s="18" t="s">
        <v>54</v>
      </c>
      <c r="F72" s="17" t="s">
        <v>43</v>
      </c>
      <c r="G72" s="17" t="s">
        <v>92</v>
      </c>
      <c r="H72" s="17"/>
      <c r="I72" s="277"/>
      <c r="J72" s="18" t="s">
        <v>44</v>
      </c>
      <c r="K72" s="56" t="s">
        <v>46</v>
      </c>
      <c r="L72" s="20" t="str">
        <f>Rydberg!L71</f>
        <v>Power</v>
      </c>
    </row>
    <row r="73" spans="1:37" ht="11.25" customHeight="1" x14ac:dyDescent="0.2">
      <c r="A73" s="578"/>
      <c r="B73" s="8" t="s">
        <v>40</v>
      </c>
      <c r="C73" s="8"/>
      <c r="D73" s="21"/>
      <c r="E73" s="8">
        <v>9</v>
      </c>
      <c r="F73" s="21">
        <f>$D$32</f>
        <v>7.2973525643E-3</v>
      </c>
      <c r="G73" s="37" t="str">
        <f t="shared" ref="G73:G74" si="98">M73&amp;";"&amp;O73&amp;Q73&amp;S73&amp;U73&amp;W73&amp;Y73&amp;AA73&amp;AC73&amp;AE73&amp;AG73&amp;AI73&amp;AK73</f>
        <v>1;073994047</v>
      </c>
      <c r="H73" s="37"/>
      <c r="I73" s="285"/>
      <c r="J73" s="38">
        <v>-2</v>
      </c>
      <c r="K73" s="61">
        <f t="shared" ref="K73:K89" si="99">F73/POWER(12,J73)</f>
        <v>1.0508187692592001</v>
      </c>
      <c r="L73" s="39" t="str">
        <f>INDEX(powers!$H$2:$H$75,33+J73)</f>
        <v>dino</v>
      </c>
      <c r="M73" s="40" t="str">
        <f t="shared" ref="M73:M89" si="100">IF($E73&gt;=M$31,MID($J$31,IF($E73&gt;M$31,INT(K73),ROUND(K73,0))+1,1),"")</f>
        <v>1</v>
      </c>
      <c r="N73" s="24">
        <f>(K73-INT(K73))*12</f>
        <v>0.60982523111040177</v>
      </c>
      <c r="O73" s="41" t="str">
        <f t="shared" ref="O73:O89" si="101">IF($E73&gt;=O$31,MID($J$31,IF($E73&gt;O$31,INT(N73),ROUND(N73,0))+1,1),"")</f>
        <v>0</v>
      </c>
      <c r="P73" s="24">
        <f>(N73-INT(N73))*12</f>
        <v>7.3179027733248212</v>
      </c>
      <c r="Q73" s="41" t="str">
        <f t="shared" ref="Q73:Q89" si="102">IF($E73&gt;=Q$31,MID($J$31,IF($E73&gt;Q$31,INT(P73),ROUND(P73,0))+1,1),"")</f>
        <v>7</v>
      </c>
      <c r="R73" s="24">
        <f>(P73-INT(P73))*12</f>
        <v>3.8148332798978544</v>
      </c>
      <c r="S73" s="41" t="str">
        <f t="shared" ref="S73:S89" si="103">IF($E73&gt;=S$31,MID($J$31,IF($E73&gt;S$31,INT(R73),ROUND(R73,0))+1,1),"")</f>
        <v>3</v>
      </c>
      <c r="T73" s="24">
        <f>(R73-INT(R73))*12</f>
        <v>9.7779993587742524</v>
      </c>
      <c r="U73" s="41" t="str">
        <f t="shared" ref="U73:U89" si="104">IF($E73&gt;=U$31,MID($J$31,IF($E73&gt;U$31,INT(T73),ROUND(T73,0))+1,1),"")</f>
        <v>9</v>
      </c>
      <c r="V73" s="24">
        <f>(T73-INT(T73))*12</f>
        <v>9.335992305291029</v>
      </c>
      <c r="W73" s="41" t="str">
        <f t="shared" ref="W73:W89" si="105">IF($E73&gt;=W$31,MID($J$31,IF($E73&gt;W$31,INT(V73),ROUND(V73,0))+1,1),"")</f>
        <v>9</v>
      </c>
      <c r="X73" s="24">
        <f>(V73-INT(V73))*12</f>
        <v>4.0319076634923476</v>
      </c>
      <c r="Y73" s="41" t="str">
        <f t="shared" ref="Y73:Y89" si="106">IF($E73&gt;=Y$31,MID($J$31,IF($E73&gt;Y$31,INT(X73),ROUND(X73,0))+1,1),"")</f>
        <v>4</v>
      </c>
      <c r="Z73" s="24">
        <f>(X73-INT(X73))*12</f>
        <v>0.38289196190817165</v>
      </c>
      <c r="AA73" s="41" t="str">
        <f t="shared" ref="AA73:AA89" si="107">IF($E73&gt;=AA$31,MID($J$31,IF($E73&gt;AA$31,INT(Z73),ROUND(Z73,0))+1,1),"")</f>
        <v>0</v>
      </c>
      <c r="AB73" s="24">
        <f>(Z73-INT(Z73))*12</f>
        <v>4.5947035428980598</v>
      </c>
      <c r="AC73" s="41" t="str">
        <f t="shared" ref="AC73:AC89" si="108">IF($E73&gt;=AC$31,MID($J$31,IF($E73&gt;AC$31,INT(AB73),ROUND(AB73,0))+1,1),"")</f>
        <v>4</v>
      </c>
      <c r="AD73" s="24">
        <f>(AB73-INT(AB73))*12</f>
        <v>7.1364425147767179</v>
      </c>
      <c r="AE73" s="41" t="str">
        <f t="shared" ref="AE73:AE89" si="109">IF($E73&gt;=AE$31,MID($J$31,IF($E73&gt;AE$31,INT(AD73),ROUND(AD73,0))+1,1),"")</f>
        <v>7</v>
      </c>
      <c r="AF73" s="24">
        <f>(AD73-INT(AD73))*12</f>
        <v>1.6373101773206145</v>
      </c>
      <c r="AG73" s="41" t="str">
        <f t="shared" ref="AG73:AG89" si="110">IF($E73&gt;=AG$31,MID($J$31,IF($E73&gt;AG$31,INT(AF73),ROUND(AF73,0))+1,1),"")</f>
        <v/>
      </c>
      <c r="AH73" s="24">
        <f>(AF73-INT(AF73))*12</f>
        <v>7.6477221278473735</v>
      </c>
      <c r="AI73" s="41" t="str">
        <f t="shared" ref="AI73:AI89" si="111">IF($E73&gt;=AI$31,MID($J$31,IF($E73&gt;AI$31,INT(AH73),ROUND(AH73,0))+1,1),"")</f>
        <v/>
      </c>
      <c r="AJ73" s="24">
        <f>(AH73-INT(AH73))*12</f>
        <v>7.7726655341684818</v>
      </c>
      <c r="AK73" s="41" t="str">
        <f t="shared" ref="AK73:AK89" si="112">IF($E73&gt;=AK$31,MID($J$31,IF($E73&gt;AK$31,INT(AJ73),ROUND(AJ73,0))+1,1),"")</f>
        <v/>
      </c>
    </row>
    <row r="74" spans="1:37" ht="13.5" customHeight="1" x14ac:dyDescent="0.2">
      <c r="A74" s="578"/>
      <c r="B74" s="30" t="s">
        <v>34</v>
      </c>
      <c r="C74" s="30"/>
      <c r="D74" s="29"/>
      <c r="E74" s="8">
        <v>9</v>
      </c>
      <c r="F74" s="21">
        <f>1/$D$32</f>
        <v>137.03599917759013</v>
      </c>
      <c r="G74" s="37" t="str">
        <f t="shared" si="98"/>
        <v>0;E5052258</v>
      </c>
      <c r="H74" s="37"/>
      <c r="I74" s="285"/>
      <c r="J74" s="38">
        <v>2</v>
      </c>
      <c r="K74" s="61">
        <f t="shared" si="99"/>
        <v>0.95163888317770917</v>
      </c>
      <c r="L74" s="39" t="str">
        <f>INDEX(powers!$H$2:$H$75,33+J74)</f>
        <v>gross</v>
      </c>
      <c r="M74" s="40" t="str">
        <f t="shared" si="100"/>
        <v>0</v>
      </c>
      <c r="N74" s="24">
        <f t="shared" ref="N74:N89" si="113">(K74-INT(K74))*12</f>
        <v>11.41966659813251</v>
      </c>
      <c r="O74" s="41" t="str">
        <f t="shared" si="101"/>
        <v>E</v>
      </c>
      <c r="P74" s="24">
        <f t="shared" ref="P74:P89" si="114">(N74-INT(N74))*12</f>
        <v>5.0359991775901207</v>
      </c>
      <c r="Q74" s="41" t="str">
        <f t="shared" si="102"/>
        <v>5</v>
      </c>
      <c r="R74" s="24">
        <f t="shared" ref="R74:R89" si="115">(P74-INT(P74))*12</f>
        <v>0.43199013108144868</v>
      </c>
      <c r="S74" s="41" t="str">
        <f t="shared" si="103"/>
        <v>0</v>
      </c>
      <c r="T74" s="24">
        <f t="shared" ref="T74:T89" si="116">(R74-INT(R74))*12</f>
        <v>5.1838815729773842</v>
      </c>
      <c r="U74" s="41" t="str">
        <f t="shared" si="104"/>
        <v>5</v>
      </c>
      <c r="V74" s="24">
        <f t="shared" ref="V74:V89" si="117">(T74-INT(T74))*12</f>
        <v>2.20657887572861</v>
      </c>
      <c r="W74" s="41" t="str">
        <f t="shared" si="105"/>
        <v>2</v>
      </c>
      <c r="X74" s="24">
        <f t="shared" ref="X74:X89" si="118">(V74-INT(V74))*12</f>
        <v>2.47894650874332</v>
      </c>
      <c r="Y74" s="41" t="str">
        <f t="shared" si="106"/>
        <v>2</v>
      </c>
      <c r="Z74" s="24">
        <f t="shared" ref="Z74:Z89" si="119">(X74-INT(X74))*12</f>
        <v>5.7473581049198401</v>
      </c>
      <c r="AA74" s="41" t="str">
        <f t="shared" si="107"/>
        <v>5</v>
      </c>
      <c r="AB74" s="24">
        <f t="shared" ref="AB74:AB89" si="120">(Z74-INT(Z74))*12</f>
        <v>8.9682972590380814</v>
      </c>
      <c r="AC74" s="41" t="str">
        <f t="shared" si="108"/>
        <v>8</v>
      </c>
      <c r="AD74" s="24">
        <f t="shared" ref="AD74:AD89" si="121">(AB74-INT(AB74))*12</f>
        <v>11.619567108456977</v>
      </c>
      <c r="AE74" s="41" t="str">
        <f t="shared" si="109"/>
        <v/>
      </c>
      <c r="AF74" s="24">
        <f t="shared" ref="AF74:AF89" si="122">(AD74-INT(AD74))*12</f>
        <v>7.4348053014837205</v>
      </c>
      <c r="AG74" s="41" t="str">
        <f t="shared" si="110"/>
        <v/>
      </c>
      <c r="AH74" s="24">
        <f t="shared" ref="AH74:AH89" si="123">(AF74-INT(AF74))*12</f>
        <v>5.2176636178046465</v>
      </c>
      <c r="AI74" s="41" t="str">
        <f t="shared" si="111"/>
        <v/>
      </c>
      <c r="AJ74" s="24">
        <f t="shared" ref="AJ74:AJ89" si="124">(AH74-INT(AH74))*12</f>
        <v>2.6119634136557579</v>
      </c>
      <c r="AK74" s="41" t="str">
        <f t="shared" si="112"/>
        <v/>
      </c>
    </row>
    <row r="75" spans="1:37" ht="13.5" customHeight="1" x14ac:dyDescent="0.2">
      <c r="A75" s="578"/>
      <c r="B75" s="45"/>
      <c r="C75" s="45"/>
      <c r="D75" s="46"/>
      <c r="E75" s="8">
        <v>9</v>
      </c>
      <c r="F75" s="21">
        <f>1/$D$32</f>
        <v>137.03599917759013</v>
      </c>
      <c r="G75" s="37" t="str">
        <f>"B5;"&amp;O75&amp;Q75&amp;S75&amp;U75&amp;W75&amp;Y75&amp;AA75&amp;AC75&amp;AE75&amp;AG75&amp;AI75&amp;AK75</f>
        <v>B5;052258E75</v>
      </c>
      <c r="H75" s="37"/>
      <c r="I75" s="285"/>
      <c r="J75" s="38">
        <v>0</v>
      </c>
      <c r="K75" s="61">
        <f t="shared" si="99"/>
        <v>137.03599917759013</v>
      </c>
      <c r="L75" s="39" t="str">
        <f>INDEX(powers!$H$2:$H$75,33+J75)</f>
        <v xml:space="preserve"> </v>
      </c>
      <c r="M75" s="40" t="str">
        <f t="shared" si="100"/>
        <v/>
      </c>
      <c r="N75" s="24">
        <f t="shared" si="113"/>
        <v>0.43199013108153395</v>
      </c>
      <c r="O75" s="41" t="str">
        <f t="shared" si="101"/>
        <v>0</v>
      </c>
      <c r="P75" s="24">
        <f t="shared" si="114"/>
        <v>5.1838815729784073</v>
      </c>
      <c r="Q75" s="41" t="str">
        <f t="shared" si="102"/>
        <v>5</v>
      </c>
      <c r="R75" s="24">
        <f t="shared" si="115"/>
        <v>2.2065788757408882</v>
      </c>
      <c r="S75" s="41" t="str">
        <f t="shared" si="103"/>
        <v>2</v>
      </c>
      <c r="T75" s="24">
        <f t="shared" si="116"/>
        <v>2.4789465088906582</v>
      </c>
      <c r="U75" s="41" t="str">
        <f t="shared" si="104"/>
        <v>2</v>
      </c>
      <c r="V75" s="24">
        <f t="shared" si="117"/>
        <v>5.7473581066878978</v>
      </c>
      <c r="W75" s="41" t="str">
        <f t="shared" si="105"/>
        <v>5</v>
      </c>
      <c r="X75" s="24">
        <f t="shared" si="118"/>
        <v>8.9682972802547738</v>
      </c>
      <c r="Y75" s="41" t="str">
        <f t="shared" si="106"/>
        <v>8</v>
      </c>
      <c r="Z75" s="24">
        <f t="shared" si="119"/>
        <v>11.619567363057286</v>
      </c>
      <c r="AA75" s="41" t="str">
        <f t="shared" si="107"/>
        <v>E</v>
      </c>
      <c r="AB75" s="24">
        <f t="shared" si="120"/>
        <v>7.4348083566874266</v>
      </c>
      <c r="AC75" s="41" t="str">
        <f t="shared" si="108"/>
        <v>7</v>
      </c>
      <c r="AD75" s="24">
        <f t="shared" si="121"/>
        <v>5.2177002802491188</v>
      </c>
      <c r="AE75" s="41" t="str">
        <f t="shared" si="109"/>
        <v>5</v>
      </c>
      <c r="AF75" s="24">
        <f t="shared" si="122"/>
        <v>2.6124033629894257</v>
      </c>
      <c r="AG75" s="41" t="str">
        <f t="shared" si="110"/>
        <v/>
      </c>
      <c r="AH75" s="24">
        <f t="shared" si="123"/>
        <v>7.3488403558731079</v>
      </c>
      <c r="AI75" s="41" t="str">
        <f t="shared" si="111"/>
        <v/>
      </c>
      <c r="AJ75" s="24">
        <f t="shared" si="124"/>
        <v>4.1860842704772949</v>
      </c>
      <c r="AK75" s="41" t="str">
        <f t="shared" si="112"/>
        <v/>
      </c>
    </row>
    <row r="76" spans="1:37" ht="13.5" customHeight="1" x14ac:dyDescent="0.2">
      <c r="A76" s="578"/>
      <c r="B76" s="8" t="s">
        <v>39</v>
      </c>
      <c r="C76" s="8"/>
      <c r="D76" s="21"/>
      <c r="E76" s="8">
        <v>9</v>
      </c>
      <c r="F76" s="21">
        <f t="shared" ref="F76" si="125">SQRT($D$32)</f>
        <v>8.5424543102670447E-2</v>
      </c>
      <c r="G76" s="37" t="str">
        <f t="shared" ref="G76:G79" si="126">M76&amp;";"&amp;O76&amp;Q76&amp;S76&amp;U76&amp;W76&amp;Y76&amp;AA76&amp;AC76&amp;AE76&amp;AG76&amp;AI76&amp;AK76</f>
        <v>1;0374439E1</v>
      </c>
      <c r="H76" s="37"/>
      <c r="I76" s="285"/>
      <c r="J76" s="38">
        <v>-1</v>
      </c>
      <c r="K76" s="61">
        <f t="shared" si="99"/>
        <v>1.0250945172320454</v>
      </c>
      <c r="L76" s="39" t="str">
        <f>INDEX(powers!$H$2:$H$75,33+J76)</f>
        <v>unino</v>
      </c>
      <c r="M76" s="40" t="str">
        <f t="shared" si="100"/>
        <v>1</v>
      </c>
      <c r="N76" s="24">
        <f t="shared" si="113"/>
        <v>0.30113420678454439</v>
      </c>
      <c r="O76" s="41" t="str">
        <f t="shared" si="101"/>
        <v>0</v>
      </c>
      <c r="P76" s="24">
        <f t="shared" si="114"/>
        <v>3.6136104814145327</v>
      </c>
      <c r="Q76" s="41" t="str">
        <f t="shared" si="102"/>
        <v>3</v>
      </c>
      <c r="R76" s="24">
        <f t="shared" si="115"/>
        <v>7.3633257769743921</v>
      </c>
      <c r="S76" s="41" t="str">
        <f t="shared" si="103"/>
        <v>7</v>
      </c>
      <c r="T76" s="24">
        <f t="shared" si="116"/>
        <v>4.3599093236927047</v>
      </c>
      <c r="U76" s="41" t="str">
        <f t="shared" si="104"/>
        <v>4</v>
      </c>
      <c r="V76" s="24">
        <f t="shared" si="117"/>
        <v>4.3189118843124561</v>
      </c>
      <c r="W76" s="41" t="str">
        <f t="shared" si="105"/>
        <v>4</v>
      </c>
      <c r="X76" s="24">
        <f t="shared" si="118"/>
        <v>3.8269426117494731</v>
      </c>
      <c r="Y76" s="41" t="str">
        <f t="shared" si="106"/>
        <v>3</v>
      </c>
      <c r="Z76" s="24">
        <f t="shared" si="119"/>
        <v>9.9233113409936777</v>
      </c>
      <c r="AA76" s="41" t="str">
        <f t="shared" si="107"/>
        <v>9</v>
      </c>
      <c r="AB76" s="24">
        <f t="shared" si="120"/>
        <v>11.079736091924133</v>
      </c>
      <c r="AC76" s="41" t="str">
        <f t="shared" si="108"/>
        <v>E</v>
      </c>
      <c r="AD76" s="24">
        <f t="shared" si="121"/>
        <v>0.95683310308959335</v>
      </c>
      <c r="AE76" s="41" t="str">
        <f t="shared" si="109"/>
        <v>1</v>
      </c>
      <c r="AF76" s="24">
        <f t="shared" si="122"/>
        <v>11.48199723707512</v>
      </c>
      <c r="AG76" s="41" t="str">
        <f t="shared" si="110"/>
        <v/>
      </c>
      <c r="AH76" s="24">
        <f t="shared" si="123"/>
        <v>5.7839668449014425</v>
      </c>
      <c r="AI76" s="41" t="str">
        <f t="shared" si="111"/>
        <v/>
      </c>
      <c r="AJ76" s="24">
        <f t="shared" si="124"/>
        <v>9.4076021388173103</v>
      </c>
      <c r="AK76" s="41" t="str">
        <f t="shared" si="112"/>
        <v/>
      </c>
    </row>
    <row r="77" spans="1:37" ht="13.5" customHeight="1" x14ac:dyDescent="0.2">
      <c r="A77" s="578"/>
      <c r="B77" s="8" t="s">
        <v>35</v>
      </c>
      <c r="C77" s="8"/>
      <c r="D77" s="21"/>
      <c r="E77" s="8">
        <v>9</v>
      </c>
      <c r="F77" s="21">
        <f>1/SQRT($D$32)</f>
        <v>11.706237618363557</v>
      </c>
      <c r="G77" s="37" t="str">
        <f t="shared" si="126"/>
        <v>0;E85846629</v>
      </c>
      <c r="H77" s="37"/>
      <c r="I77" s="285"/>
      <c r="J77" s="38">
        <v>1</v>
      </c>
      <c r="K77" s="61">
        <f t="shared" si="99"/>
        <v>0.97551980153029649</v>
      </c>
      <c r="L77" s="39" t="str">
        <f>INDEX(powers!$H$2:$H$75,33+J77)</f>
        <v>dozen</v>
      </c>
      <c r="M77" s="40" t="str">
        <f t="shared" si="100"/>
        <v>0</v>
      </c>
      <c r="N77" s="24">
        <f t="shared" si="113"/>
        <v>11.706237618363557</v>
      </c>
      <c r="O77" s="41" t="str">
        <f t="shared" si="101"/>
        <v>E</v>
      </c>
      <c r="P77" s="24">
        <f t="shared" si="114"/>
        <v>8.4748514203626897</v>
      </c>
      <c r="Q77" s="41" t="str">
        <f t="shared" si="102"/>
        <v>8</v>
      </c>
      <c r="R77" s="24">
        <f t="shared" si="115"/>
        <v>5.6982170443522762</v>
      </c>
      <c r="S77" s="41" t="str">
        <f t="shared" si="103"/>
        <v>5</v>
      </c>
      <c r="T77" s="24">
        <f t="shared" si="116"/>
        <v>8.3786045322273139</v>
      </c>
      <c r="U77" s="41" t="str">
        <f t="shared" si="104"/>
        <v>8</v>
      </c>
      <c r="V77" s="24">
        <f t="shared" si="117"/>
        <v>4.5432543867277673</v>
      </c>
      <c r="W77" s="41" t="str">
        <f t="shared" si="105"/>
        <v>4</v>
      </c>
      <c r="X77" s="24">
        <f t="shared" si="118"/>
        <v>6.5190526407332072</v>
      </c>
      <c r="Y77" s="41" t="str">
        <f t="shared" si="106"/>
        <v>6</v>
      </c>
      <c r="Z77" s="24">
        <f t="shared" si="119"/>
        <v>6.2286316887984867</v>
      </c>
      <c r="AA77" s="41" t="str">
        <f t="shared" si="107"/>
        <v>6</v>
      </c>
      <c r="AB77" s="24">
        <f t="shared" si="120"/>
        <v>2.7435802655818406</v>
      </c>
      <c r="AC77" s="41" t="str">
        <f t="shared" si="108"/>
        <v>2</v>
      </c>
      <c r="AD77" s="24">
        <f t="shared" si="121"/>
        <v>8.9229631869820878</v>
      </c>
      <c r="AE77" s="41" t="str">
        <f t="shared" si="109"/>
        <v>9</v>
      </c>
      <c r="AF77" s="24">
        <f t="shared" si="122"/>
        <v>11.075558243785053</v>
      </c>
      <c r="AG77" s="41" t="str">
        <f t="shared" si="110"/>
        <v/>
      </c>
      <c r="AH77" s="24">
        <f t="shared" si="123"/>
        <v>0.9066989254206419</v>
      </c>
      <c r="AI77" s="41" t="str">
        <f t="shared" si="111"/>
        <v/>
      </c>
      <c r="AJ77" s="24">
        <f t="shared" si="124"/>
        <v>10.880387105047703</v>
      </c>
      <c r="AK77" s="41" t="str">
        <f t="shared" si="112"/>
        <v/>
      </c>
    </row>
    <row r="78" spans="1:37" ht="13.5" customHeight="1" x14ac:dyDescent="0.2">
      <c r="A78" s="578"/>
      <c r="B78" s="8" t="s">
        <v>36</v>
      </c>
      <c r="C78" s="8"/>
      <c r="D78" s="21"/>
      <c r="E78" s="8">
        <v>12</v>
      </c>
      <c r="F78" s="21">
        <f>4*PI()</f>
        <v>12.566370614359172</v>
      </c>
      <c r="G78" s="37" t="str">
        <f t="shared" si="126"/>
        <v>1;0696831713E1</v>
      </c>
      <c r="H78" s="37"/>
      <c r="I78" s="285"/>
      <c r="J78" s="38">
        <v>1</v>
      </c>
      <c r="K78" s="61">
        <f t="shared" si="99"/>
        <v>1.0471975511965976</v>
      </c>
      <c r="L78" s="39" t="str">
        <f>INDEX(powers!$H$2:$H$75,33+J78)</f>
        <v>dozen</v>
      </c>
      <c r="M78" s="40" t="str">
        <f t="shared" si="100"/>
        <v>1</v>
      </c>
      <c r="N78" s="24">
        <f t="shared" si="113"/>
        <v>0.56637061435917158</v>
      </c>
      <c r="O78" s="41" t="str">
        <f t="shared" si="101"/>
        <v>0</v>
      </c>
      <c r="P78" s="24">
        <f t="shared" si="114"/>
        <v>6.7964473723100589</v>
      </c>
      <c r="Q78" s="41" t="str">
        <f t="shared" si="102"/>
        <v>6</v>
      </c>
      <c r="R78" s="24">
        <f t="shared" si="115"/>
        <v>9.5573684677207069</v>
      </c>
      <c r="S78" s="41" t="str">
        <f t="shared" si="103"/>
        <v>9</v>
      </c>
      <c r="T78" s="24">
        <f t="shared" si="116"/>
        <v>6.688421612648483</v>
      </c>
      <c r="U78" s="41" t="str">
        <f t="shared" si="104"/>
        <v>6</v>
      </c>
      <c r="V78" s="24">
        <f t="shared" si="117"/>
        <v>8.2610593517817961</v>
      </c>
      <c r="W78" s="41" t="str">
        <f t="shared" si="105"/>
        <v>8</v>
      </c>
      <c r="X78" s="24">
        <f t="shared" si="118"/>
        <v>3.1327122213815528</v>
      </c>
      <c r="Y78" s="41" t="str">
        <f t="shared" si="106"/>
        <v>3</v>
      </c>
      <c r="Z78" s="24">
        <f t="shared" si="119"/>
        <v>1.5925466565786337</v>
      </c>
      <c r="AA78" s="41" t="str">
        <f t="shared" si="107"/>
        <v>1</v>
      </c>
      <c r="AB78" s="24">
        <f t="shared" si="120"/>
        <v>7.1105598789436044</v>
      </c>
      <c r="AC78" s="41" t="str">
        <f t="shared" si="108"/>
        <v>7</v>
      </c>
      <c r="AD78" s="24">
        <f t="shared" si="121"/>
        <v>1.326718547323253</v>
      </c>
      <c r="AE78" s="41" t="str">
        <f t="shared" si="109"/>
        <v>1</v>
      </c>
      <c r="AF78" s="24">
        <f t="shared" si="122"/>
        <v>3.9206225678790361</v>
      </c>
      <c r="AG78" s="41" t="str">
        <f t="shared" si="110"/>
        <v>3</v>
      </c>
      <c r="AH78" s="24">
        <f t="shared" si="123"/>
        <v>11.047470814548433</v>
      </c>
      <c r="AI78" s="41" t="str">
        <f t="shared" si="111"/>
        <v>E</v>
      </c>
      <c r="AJ78" s="24">
        <f t="shared" si="124"/>
        <v>0.56964977458119392</v>
      </c>
      <c r="AK78" s="41" t="str">
        <f t="shared" si="112"/>
        <v>1</v>
      </c>
    </row>
    <row r="79" spans="1:37" ht="13.5" customHeight="1" x14ac:dyDescent="0.2">
      <c r="A79" s="578"/>
      <c r="B79" s="30" t="s">
        <v>37</v>
      </c>
      <c r="C79" s="30"/>
      <c r="D79" s="29"/>
      <c r="E79" s="8">
        <v>12</v>
      </c>
      <c r="F79" s="21">
        <f>1/(4*PI())</f>
        <v>7.9577471545947673E-2</v>
      </c>
      <c r="G79" s="37" t="str">
        <f t="shared" si="126"/>
        <v>0;E5615082189E</v>
      </c>
      <c r="H79" s="37"/>
      <c r="I79" s="285"/>
      <c r="J79" s="38">
        <v>-1</v>
      </c>
      <c r="K79" s="61">
        <f t="shared" si="99"/>
        <v>0.95492965855137213</v>
      </c>
      <c r="L79" s="39" t="str">
        <f>INDEX(powers!$H$2:$H$75,33+J79)</f>
        <v>unino</v>
      </c>
      <c r="M79" s="40" t="str">
        <f t="shared" si="100"/>
        <v>0</v>
      </c>
      <c r="N79" s="24">
        <f t="shared" si="113"/>
        <v>11.459155902616466</v>
      </c>
      <c r="O79" s="41" t="str">
        <f t="shared" si="101"/>
        <v>E</v>
      </c>
      <c r="P79" s="24">
        <f t="shared" si="114"/>
        <v>5.5098708313975919</v>
      </c>
      <c r="Q79" s="41" t="str">
        <f t="shared" si="102"/>
        <v>5</v>
      </c>
      <c r="R79" s="24">
        <f t="shared" si="115"/>
        <v>6.1184499767711031</v>
      </c>
      <c r="S79" s="41" t="str">
        <f t="shared" si="103"/>
        <v>6</v>
      </c>
      <c r="T79" s="24">
        <f t="shared" si="116"/>
        <v>1.4213997212532377</v>
      </c>
      <c r="U79" s="41" t="str">
        <f t="shared" si="104"/>
        <v>1</v>
      </c>
      <c r="V79" s="24">
        <f t="shared" si="117"/>
        <v>5.0567966550388519</v>
      </c>
      <c r="W79" s="41" t="str">
        <f t="shared" si="105"/>
        <v>5</v>
      </c>
      <c r="X79" s="24">
        <f t="shared" si="118"/>
        <v>0.68155986046622274</v>
      </c>
      <c r="Y79" s="41" t="str">
        <f t="shared" si="106"/>
        <v>0</v>
      </c>
      <c r="Z79" s="24">
        <f t="shared" si="119"/>
        <v>8.1787183255946729</v>
      </c>
      <c r="AA79" s="41" t="str">
        <f t="shared" si="107"/>
        <v>8</v>
      </c>
      <c r="AB79" s="24">
        <f t="shared" si="120"/>
        <v>2.1446199071360752</v>
      </c>
      <c r="AC79" s="41" t="str">
        <f t="shared" si="108"/>
        <v>2</v>
      </c>
      <c r="AD79" s="24">
        <f t="shared" si="121"/>
        <v>1.7354388856329024</v>
      </c>
      <c r="AE79" s="41" t="str">
        <f t="shared" si="109"/>
        <v>1</v>
      </c>
      <c r="AF79" s="24">
        <f t="shared" si="122"/>
        <v>8.8252666275948286</v>
      </c>
      <c r="AG79" s="41" t="str">
        <f t="shared" si="110"/>
        <v>8</v>
      </c>
      <c r="AH79" s="24">
        <f t="shared" si="123"/>
        <v>9.9031995311379433</v>
      </c>
      <c r="AI79" s="41" t="str">
        <f t="shared" si="111"/>
        <v>9</v>
      </c>
      <c r="AJ79" s="24">
        <f t="shared" si="124"/>
        <v>10.838394373655319</v>
      </c>
      <c r="AK79" s="41" t="str">
        <f t="shared" si="112"/>
        <v>E</v>
      </c>
    </row>
    <row r="80" spans="1:37" ht="13.5" customHeight="1" x14ac:dyDescent="0.2">
      <c r="A80" s="578"/>
      <c r="B80" s="45"/>
      <c r="C80" s="45"/>
      <c r="D80" s="46"/>
      <c r="E80" s="8">
        <v>9</v>
      </c>
      <c r="F80" s="21">
        <f>1/(4*PI())</f>
        <v>7.9577471545947673E-2</v>
      </c>
      <c r="G80" s="37" t="str">
        <f>"B5:"&amp;O80&amp;Q80&amp;S80&amp;U80&amp;W80&amp;Y80&amp;AA80&amp;AC80&amp;AE80&amp;AG80&amp;AI80&amp;AK80</f>
        <v>B5:61508218X</v>
      </c>
      <c r="H80" s="37"/>
      <c r="I80" s="285"/>
      <c r="J80" s="38">
        <v>-3</v>
      </c>
      <c r="K80" s="61">
        <f t="shared" si="99"/>
        <v>137.50987083139759</v>
      </c>
      <c r="L80" s="39" t="str">
        <f>INDEX(powers!$H$2:$H$75,33+J80)</f>
        <v>terno</v>
      </c>
      <c r="M80" s="40" t="str">
        <f t="shared" si="100"/>
        <v/>
      </c>
      <c r="N80" s="24">
        <f t="shared" si="113"/>
        <v>6.1184499767711031</v>
      </c>
      <c r="O80" s="41" t="str">
        <f t="shared" si="101"/>
        <v>6</v>
      </c>
      <c r="P80" s="24">
        <f t="shared" si="114"/>
        <v>1.4213997212532377</v>
      </c>
      <c r="Q80" s="41" t="str">
        <f t="shared" si="102"/>
        <v>1</v>
      </c>
      <c r="R80" s="24">
        <f t="shared" si="115"/>
        <v>5.0567966550388519</v>
      </c>
      <c r="S80" s="41" t="str">
        <f t="shared" si="103"/>
        <v>5</v>
      </c>
      <c r="T80" s="24">
        <f t="shared" si="116"/>
        <v>0.68155986046622274</v>
      </c>
      <c r="U80" s="41" t="str">
        <f t="shared" si="104"/>
        <v>0</v>
      </c>
      <c r="V80" s="24">
        <f t="shared" si="117"/>
        <v>8.1787183255946729</v>
      </c>
      <c r="W80" s="41" t="str">
        <f t="shared" si="105"/>
        <v>8</v>
      </c>
      <c r="X80" s="24">
        <f t="shared" si="118"/>
        <v>2.1446199071360752</v>
      </c>
      <c r="Y80" s="41" t="str">
        <f t="shared" si="106"/>
        <v>2</v>
      </c>
      <c r="Z80" s="24">
        <f t="shared" si="119"/>
        <v>1.7354388856329024</v>
      </c>
      <c r="AA80" s="41" t="str">
        <f t="shared" si="107"/>
        <v>1</v>
      </c>
      <c r="AB80" s="24">
        <f t="shared" si="120"/>
        <v>8.8252666275948286</v>
      </c>
      <c r="AC80" s="41" t="str">
        <f t="shared" si="108"/>
        <v>8</v>
      </c>
      <c r="AD80" s="24">
        <f t="shared" si="121"/>
        <v>9.9031995311379433</v>
      </c>
      <c r="AE80" s="41" t="str">
        <f t="shared" si="109"/>
        <v>X</v>
      </c>
      <c r="AF80" s="24">
        <f t="shared" si="122"/>
        <v>10.838394373655319</v>
      </c>
      <c r="AG80" s="41" t="str">
        <f t="shared" si="110"/>
        <v/>
      </c>
      <c r="AH80" s="24">
        <f t="shared" si="123"/>
        <v>10.060732483863831</v>
      </c>
      <c r="AI80" s="41" t="str">
        <f t="shared" si="111"/>
        <v/>
      </c>
      <c r="AJ80" s="24">
        <f t="shared" si="124"/>
        <v>0.7287898063659668</v>
      </c>
      <c r="AK80" s="41" t="str">
        <f t="shared" si="112"/>
        <v/>
      </c>
    </row>
    <row r="81" spans="1:37" ht="13.5" customHeight="1" x14ac:dyDescent="0.2">
      <c r="A81" s="578"/>
      <c r="B81" s="8" t="s">
        <v>32</v>
      </c>
      <c r="C81" s="8"/>
      <c r="D81" s="21"/>
      <c r="E81" s="8">
        <v>9</v>
      </c>
      <c r="F81" s="21">
        <f>4*PI()/$D$32</f>
        <v>1722.0451531746162</v>
      </c>
      <c r="G81" s="37" t="str">
        <f t="shared" ref="G81:G89" si="127">M81&amp;";"&amp;O81&amp;Q81&amp;S81&amp;U81&amp;W81&amp;Y81&amp;AA81&amp;AC81&amp;AE81&amp;AG81&amp;AI81&amp;AK81</f>
        <v>0;EE6066037</v>
      </c>
      <c r="H81" s="37"/>
      <c r="I81" s="285"/>
      <c r="J81" s="38">
        <v>3</v>
      </c>
      <c r="K81" s="61">
        <f t="shared" si="99"/>
        <v>0.99655390808716215</v>
      </c>
      <c r="L81" s="39" t="str">
        <f>INDEX(powers!$H$2:$H$75,33+J81)</f>
        <v>doz gross</v>
      </c>
      <c r="M81" s="40" t="str">
        <f t="shared" si="100"/>
        <v>0</v>
      </c>
      <c r="N81" s="24">
        <f t="shared" si="113"/>
        <v>11.958646897045945</v>
      </c>
      <c r="O81" s="41" t="str">
        <f t="shared" si="101"/>
        <v>E</v>
      </c>
      <c r="P81" s="24">
        <f t="shared" si="114"/>
        <v>11.50376276455134</v>
      </c>
      <c r="Q81" s="41" t="str">
        <f t="shared" si="102"/>
        <v>E</v>
      </c>
      <c r="R81" s="24">
        <f t="shared" si="115"/>
        <v>6.0451531746160754</v>
      </c>
      <c r="S81" s="41" t="str">
        <f t="shared" si="103"/>
        <v>6</v>
      </c>
      <c r="T81" s="24">
        <f t="shared" si="116"/>
        <v>0.54183809539290451</v>
      </c>
      <c r="U81" s="41" t="str">
        <f t="shared" si="104"/>
        <v>0</v>
      </c>
      <c r="V81" s="24">
        <f t="shared" si="117"/>
        <v>6.5020571447148541</v>
      </c>
      <c r="W81" s="41" t="str">
        <f t="shared" si="105"/>
        <v>6</v>
      </c>
      <c r="X81" s="24">
        <f t="shared" si="118"/>
        <v>6.0246857365782489</v>
      </c>
      <c r="Y81" s="41" t="str">
        <f t="shared" si="106"/>
        <v>6</v>
      </c>
      <c r="Z81" s="24">
        <f t="shared" si="119"/>
        <v>0.29622883893898688</v>
      </c>
      <c r="AA81" s="41" t="str">
        <f t="shared" si="107"/>
        <v>0</v>
      </c>
      <c r="AB81" s="24">
        <f t="shared" si="120"/>
        <v>3.5547460672678426</v>
      </c>
      <c r="AC81" s="41" t="str">
        <f t="shared" si="108"/>
        <v>3</v>
      </c>
      <c r="AD81" s="24">
        <f t="shared" si="121"/>
        <v>6.6569528072141111</v>
      </c>
      <c r="AE81" s="41" t="str">
        <f t="shared" si="109"/>
        <v>7</v>
      </c>
      <c r="AF81" s="24">
        <f t="shared" si="122"/>
        <v>7.8834336865693331</v>
      </c>
      <c r="AG81" s="41" t="str">
        <f t="shared" si="110"/>
        <v/>
      </c>
      <c r="AH81" s="24">
        <f t="shared" si="123"/>
        <v>10.601204238831997</v>
      </c>
      <c r="AI81" s="41" t="str">
        <f t="shared" si="111"/>
        <v/>
      </c>
      <c r="AJ81" s="24">
        <f t="shared" si="124"/>
        <v>7.214450865983963</v>
      </c>
      <c r="AK81" s="41" t="str">
        <f t="shared" si="112"/>
        <v/>
      </c>
    </row>
    <row r="82" spans="1:37" ht="13.5" customHeight="1" x14ac:dyDescent="0.2">
      <c r="A82" s="578"/>
      <c r="B82" s="8" t="s">
        <v>38</v>
      </c>
      <c r="C82" s="8"/>
      <c r="D82" s="21"/>
      <c r="E82" s="8">
        <v>9</v>
      </c>
      <c r="F82" s="21">
        <f>$D$32/(4*PI())</f>
        <v>5.8070486604633147E-4</v>
      </c>
      <c r="G82" s="37" t="str">
        <f t="shared" si="127"/>
        <v>1;005E85684</v>
      </c>
      <c r="H82" s="37"/>
      <c r="I82" s="285"/>
      <c r="J82" s="38">
        <v>-3</v>
      </c>
      <c r="K82" s="61">
        <f t="shared" si="99"/>
        <v>1.0034580085280609</v>
      </c>
      <c r="L82" s="39" t="str">
        <f>INDEX(powers!$H$2:$H$75,33+J82)</f>
        <v>terno</v>
      </c>
      <c r="M82" s="40" t="str">
        <f t="shared" si="100"/>
        <v>1</v>
      </c>
      <c r="N82" s="24">
        <f t="shared" si="113"/>
        <v>4.1496102336730623E-2</v>
      </c>
      <c r="O82" s="41" t="str">
        <f t="shared" si="101"/>
        <v>0</v>
      </c>
      <c r="P82" s="24">
        <f t="shared" si="114"/>
        <v>0.49795322804076747</v>
      </c>
      <c r="Q82" s="41" t="str">
        <f t="shared" si="102"/>
        <v>0</v>
      </c>
      <c r="R82" s="24">
        <f t="shared" si="115"/>
        <v>5.9754387364892096</v>
      </c>
      <c r="S82" s="41" t="str">
        <f t="shared" si="103"/>
        <v>5</v>
      </c>
      <c r="T82" s="24">
        <f t="shared" si="116"/>
        <v>11.705264837870516</v>
      </c>
      <c r="U82" s="41" t="str">
        <f t="shared" si="104"/>
        <v>E</v>
      </c>
      <c r="V82" s="24">
        <f t="shared" si="117"/>
        <v>8.463178054446189</v>
      </c>
      <c r="W82" s="41" t="str">
        <f t="shared" si="105"/>
        <v>8</v>
      </c>
      <c r="X82" s="24">
        <f t="shared" si="118"/>
        <v>5.5581366533542678</v>
      </c>
      <c r="Y82" s="41" t="str">
        <f t="shared" si="106"/>
        <v>5</v>
      </c>
      <c r="Z82" s="24">
        <f t="shared" si="119"/>
        <v>6.6976398402512132</v>
      </c>
      <c r="AA82" s="41" t="str">
        <f t="shared" si="107"/>
        <v>6</v>
      </c>
      <c r="AB82" s="24">
        <f t="shared" si="120"/>
        <v>8.3716780830145581</v>
      </c>
      <c r="AC82" s="41" t="str">
        <f t="shared" si="108"/>
        <v>8</v>
      </c>
      <c r="AD82" s="24">
        <f t="shared" si="121"/>
        <v>4.4601369961746968</v>
      </c>
      <c r="AE82" s="41" t="str">
        <f t="shared" si="109"/>
        <v>4</v>
      </c>
      <c r="AF82" s="24">
        <f t="shared" si="122"/>
        <v>5.521643954096362</v>
      </c>
      <c r="AG82" s="41" t="str">
        <f t="shared" si="110"/>
        <v/>
      </c>
      <c r="AH82" s="24">
        <f t="shared" si="123"/>
        <v>6.2597274491563439</v>
      </c>
      <c r="AI82" s="41" t="str">
        <f t="shared" si="111"/>
        <v/>
      </c>
      <c r="AJ82" s="24">
        <f t="shared" si="124"/>
        <v>3.1167293898761272</v>
      </c>
      <c r="AK82" s="41" t="str">
        <f t="shared" si="112"/>
        <v/>
      </c>
    </row>
    <row r="83" spans="1:37" ht="13.5" customHeight="1" x14ac:dyDescent="0.2">
      <c r="A83" s="578"/>
      <c r="B83" s="8" t="s">
        <v>33</v>
      </c>
      <c r="C83" s="8"/>
      <c r="D83" s="21"/>
      <c r="E83" s="8">
        <v>9</v>
      </c>
      <c r="F83" s="21">
        <f>4*PI()/($D$32*$D$32)</f>
        <v>235982.17819420979</v>
      </c>
      <c r="G83" s="37" t="str">
        <f t="shared" si="127"/>
        <v>0;E4692217E</v>
      </c>
      <c r="H83" s="37"/>
      <c r="I83" s="285"/>
      <c r="J83" s="38">
        <v>5</v>
      </c>
      <c r="K83" s="61">
        <f t="shared" si="99"/>
        <v>0.94835944811844852</v>
      </c>
      <c r="L83" s="39" t="str">
        <f>INDEX(powers!$H$2:$H$75,33+J83)</f>
        <v>terno cosmic</v>
      </c>
      <c r="M83" s="40" t="str">
        <f t="shared" si="100"/>
        <v>0</v>
      </c>
      <c r="N83" s="24">
        <f t="shared" si="113"/>
        <v>11.380313377421382</v>
      </c>
      <c r="O83" s="41" t="str">
        <f t="shared" si="101"/>
        <v>E</v>
      </c>
      <c r="P83" s="24">
        <f t="shared" si="114"/>
        <v>4.5637605290565872</v>
      </c>
      <c r="Q83" s="41" t="str">
        <f t="shared" si="102"/>
        <v>4</v>
      </c>
      <c r="R83" s="24">
        <f t="shared" si="115"/>
        <v>6.7651263486790469</v>
      </c>
      <c r="S83" s="41" t="str">
        <f t="shared" si="103"/>
        <v>6</v>
      </c>
      <c r="T83" s="24">
        <f t="shared" si="116"/>
        <v>9.1815161841485633</v>
      </c>
      <c r="U83" s="41" t="str">
        <f t="shared" si="104"/>
        <v>9</v>
      </c>
      <c r="V83" s="24">
        <f t="shared" si="117"/>
        <v>2.1781942097827596</v>
      </c>
      <c r="W83" s="41" t="str">
        <f t="shared" si="105"/>
        <v>2</v>
      </c>
      <c r="X83" s="24">
        <f t="shared" si="118"/>
        <v>2.1383305173931149</v>
      </c>
      <c r="Y83" s="41" t="str">
        <f t="shared" si="106"/>
        <v>2</v>
      </c>
      <c r="Z83" s="24">
        <f t="shared" si="119"/>
        <v>1.6599662087173783</v>
      </c>
      <c r="AA83" s="41" t="str">
        <f t="shared" si="107"/>
        <v>1</v>
      </c>
      <c r="AB83" s="24">
        <f t="shared" si="120"/>
        <v>7.9195945046085399</v>
      </c>
      <c r="AC83" s="41" t="str">
        <f t="shared" si="108"/>
        <v>7</v>
      </c>
      <c r="AD83" s="24">
        <f t="shared" si="121"/>
        <v>11.035134055302478</v>
      </c>
      <c r="AE83" s="41" t="str">
        <f t="shared" si="109"/>
        <v>E</v>
      </c>
      <c r="AF83" s="24">
        <f t="shared" si="122"/>
        <v>0.42160866362974048</v>
      </c>
      <c r="AG83" s="41" t="str">
        <f t="shared" si="110"/>
        <v/>
      </c>
      <c r="AH83" s="24">
        <f t="shared" si="123"/>
        <v>5.0593039635568857</v>
      </c>
      <c r="AI83" s="41" t="str">
        <f t="shared" si="111"/>
        <v/>
      </c>
      <c r="AJ83" s="24">
        <f t="shared" si="124"/>
        <v>0.71164756268262863</v>
      </c>
      <c r="AK83" s="41" t="str">
        <f t="shared" si="112"/>
        <v/>
      </c>
    </row>
    <row r="84" spans="1:37" ht="14.25" customHeight="1" x14ac:dyDescent="0.2">
      <c r="A84" s="578"/>
      <c r="B84" s="30" t="s">
        <v>41</v>
      </c>
      <c r="C84" s="30"/>
      <c r="D84" s="29"/>
      <c r="E84" s="30">
        <v>9</v>
      </c>
      <c r="F84" s="29">
        <f>($D$32*$D$32)/(4*PI())</f>
        <v>4.2376081433446851E-6</v>
      </c>
      <c r="G84" s="108" t="str">
        <f t="shared" si="127"/>
        <v>1;07X1163X5</v>
      </c>
      <c r="H84" s="108"/>
      <c r="I84" s="286"/>
      <c r="J84" s="43">
        <v>-5</v>
      </c>
      <c r="K84" s="62">
        <f t="shared" si="99"/>
        <v>1.0544525095247446</v>
      </c>
      <c r="L84" s="44" t="str">
        <f>INDEX(powers!$H$2:$H$75,33+J84)</f>
        <v>doz gross atomic</v>
      </c>
      <c r="M84" s="40" t="str">
        <f t="shared" si="100"/>
        <v>1</v>
      </c>
      <c r="N84" s="24">
        <f t="shared" si="113"/>
        <v>0.65343011429693476</v>
      </c>
      <c r="O84" s="41" t="str">
        <f t="shared" si="101"/>
        <v>0</v>
      </c>
      <c r="P84" s="24">
        <f t="shared" si="114"/>
        <v>7.8411613715632171</v>
      </c>
      <c r="Q84" s="41" t="str">
        <f t="shared" si="102"/>
        <v>7</v>
      </c>
      <c r="R84" s="24">
        <f t="shared" si="115"/>
        <v>10.093936458758606</v>
      </c>
      <c r="S84" s="41" t="str">
        <f t="shared" si="103"/>
        <v>X</v>
      </c>
      <c r="T84" s="24">
        <f t="shared" si="116"/>
        <v>1.1272375051032668</v>
      </c>
      <c r="U84" s="41" t="str">
        <f t="shared" si="104"/>
        <v>1</v>
      </c>
      <c r="V84" s="24">
        <f t="shared" si="117"/>
        <v>1.5268500612392018</v>
      </c>
      <c r="W84" s="41" t="str">
        <f t="shared" si="105"/>
        <v>1</v>
      </c>
      <c r="X84" s="24">
        <f t="shared" si="118"/>
        <v>6.322200734870421</v>
      </c>
      <c r="Y84" s="41" t="str">
        <f t="shared" si="106"/>
        <v>6</v>
      </c>
      <c r="Z84" s="24">
        <f t="shared" si="119"/>
        <v>3.866408818445052</v>
      </c>
      <c r="AA84" s="41" t="str">
        <f t="shared" si="107"/>
        <v>3</v>
      </c>
      <c r="AB84" s="24">
        <f t="shared" si="120"/>
        <v>10.396905821340624</v>
      </c>
      <c r="AC84" s="41" t="str">
        <f t="shared" si="108"/>
        <v>X</v>
      </c>
      <c r="AD84" s="24">
        <f t="shared" si="121"/>
        <v>4.7628698560874909</v>
      </c>
      <c r="AE84" s="41" t="str">
        <f t="shared" si="109"/>
        <v>5</v>
      </c>
      <c r="AF84" s="24">
        <f t="shared" si="122"/>
        <v>9.154438273049891</v>
      </c>
      <c r="AG84" s="41" t="str">
        <f t="shared" si="110"/>
        <v/>
      </c>
      <c r="AH84" s="24">
        <f t="shared" si="123"/>
        <v>1.8532592765986919</v>
      </c>
      <c r="AI84" s="41" t="str">
        <f t="shared" si="111"/>
        <v/>
      </c>
      <c r="AJ84" s="24">
        <f t="shared" si="124"/>
        <v>10.239111319184303</v>
      </c>
      <c r="AK84" s="41" t="str">
        <f t="shared" si="112"/>
        <v/>
      </c>
    </row>
    <row r="85" spans="1:37" ht="14.25" customHeight="1" x14ac:dyDescent="0.2">
      <c r="A85" s="578"/>
      <c r="B85" s="30" t="s">
        <v>1220</v>
      </c>
      <c r="C85" s="30"/>
      <c r="D85" s="29"/>
      <c r="E85" s="30">
        <v>11</v>
      </c>
      <c r="F85" s="29">
        <v>1836.15267343</v>
      </c>
      <c r="G85" s="108" t="str">
        <f t="shared" si="127"/>
        <v>1;09019E9X050</v>
      </c>
      <c r="H85" s="108"/>
      <c r="I85" s="286"/>
      <c r="J85" s="43">
        <v>3</v>
      </c>
      <c r="K85" s="62">
        <f t="shared" si="99"/>
        <v>1.0625883526793982</v>
      </c>
      <c r="L85" s="44" t="str">
        <f>INDEX(powers!$H$2:$H$75,33+J85)</f>
        <v>doz gross</v>
      </c>
      <c r="M85" s="40" t="str">
        <f t="shared" si="100"/>
        <v>1</v>
      </c>
      <c r="N85" s="24">
        <f t="shared" si="113"/>
        <v>0.75106023215277862</v>
      </c>
      <c r="O85" s="41" t="str">
        <f t="shared" si="101"/>
        <v>0</v>
      </c>
      <c r="P85" s="24">
        <f t="shared" si="114"/>
        <v>9.0127227858333434</v>
      </c>
      <c r="Q85" s="41" t="str">
        <f t="shared" si="102"/>
        <v>9</v>
      </c>
      <c r="R85" s="24">
        <f t="shared" si="115"/>
        <v>0.1526734300001209</v>
      </c>
      <c r="S85" s="41" t="str">
        <f t="shared" si="103"/>
        <v>0</v>
      </c>
      <c r="T85" s="24">
        <f t="shared" si="116"/>
        <v>1.8320811600014508</v>
      </c>
      <c r="U85" s="41" t="str">
        <f t="shared" si="104"/>
        <v>1</v>
      </c>
      <c r="V85" s="24">
        <f t="shared" si="117"/>
        <v>9.9849739200174099</v>
      </c>
      <c r="W85" s="41" t="str">
        <f t="shared" si="105"/>
        <v>9</v>
      </c>
      <c r="X85" s="24">
        <f t="shared" si="118"/>
        <v>11.819687040208919</v>
      </c>
      <c r="Y85" s="41" t="str">
        <f t="shared" si="106"/>
        <v>E</v>
      </c>
      <c r="Z85" s="24">
        <f t="shared" si="119"/>
        <v>9.836244482507027</v>
      </c>
      <c r="AA85" s="41" t="str">
        <f t="shared" si="107"/>
        <v>9</v>
      </c>
      <c r="AB85" s="24">
        <f t="shared" si="120"/>
        <v>10.034933790084324</v>
      </c>
      <c r="AC85" s="41" t="str">
        <f t="shared" si="108"/>
        <v>X</v>
      </c>
      <c r="AD85" s="24">
        <f t="shared" si="121"/>
        <v>0.41920548101188615</v>
      </c>
      <c r="AE85" s="41" t="str">
        <f t="shared" si="109"/>
        <v>0</v>
      </c>
      <c r="AF85" s="24">
        <f t="shared" si="122"/>
        <v>5.0304657721426338</v>
      </c>
      <c r="AG85" s="41" t="str">
        <f t="shared" si="110"/>
        <v>5</v>
      </c>
      <c r="AH85" s="24">
        <f t="shared" si="123"/>
        <v>0.36558926571160555</v>
      </c>
      <c r="AI85" s="41" t="str">
        <f t="shared" si="111"/>
        <v>0</v>
      </c>
      <c r="AJ85" s="24">
        <f t="shared" si="124"/>
        <v>4.3870711885392666</v>
      </c>
      <c r="AK85" s="41" t="str">
        <f t="shared" si="112"/>
        <v/>
      </c>
    </row>
    <row r="86" spans="1:37" ht="14.25" customHeight="1" x14ac:dyDescent="0.2">
      <c r="A86" s="578"/>
      <c r="B86" s="30" t="s">
        <v>1221</v>
      </c>
      <c r="C86" s="30"/>
      <c r="D86" s="29"/>
      <c r="E86" s="30">
        <v>11</v>
      </c>
      <c r="F86" s="29">
        <f>POWER(F85,9)*POWER(F73,-11)</f>
        <v>7.5920748651695235E+52</v>
      </c>
      <c r="G86" s="108" t="str">
        <f t="shared" si="127"/>
        <v>1;001XXX12969</v>
      </c>
      <c r="H86" s="108"/>
      <c r="I86" s="286"/>
      <c r="J86" s="43">
        <v>49</v>
      </c>
      <c r="K86" s="62">
        <f t="shared" si="99"/>
        <v>1.0011045279398196</v>
      </c>
      <c r="L86" s="44" t="str">
        <f>Rydberg!L85</f>
        <v>sexty-cosmic dirac</v>
      </c>
      <c r="M86" s="40" t="str">
        <f t="shared" si="100"/>
        <v>1</v>
      </c>
      <c r="N86" s="24">
        <f t="shared" si="113"/>
        <v>1.3254335277835594E-2</v>
      </c>
      <c r="O86" s="41" t="str">
        <f t="shared" si="101"/>
        <v>0</v>
      </c>
      <c r="P86" s="24">
        <f t="shared" si="114"/>
        <v>0.15905202333402713</v>
      </c>
      <c r="Q86" s="41" t="str">
        <f t="shared" si="102"/>
        <v>0</v>
      </c>
      <c r="R86" s="24">
        <f t="shared" si="115"/>
        <v>1.9086242800083255</v>
      </c>
      <c r="S86" s="41" t="str">
        <f t="shared" si="103"/>
        <v>1</v>
      </c>
      <c r="T86" s="24">
        <f t="shared" si="116"/>
        <v>10.903491360099906</v>
      </c>
      <c r="U86" s="41" t="str">
        <f t="shared" si="104"/>
        <v>X</v>
      </c>
      <c r="V86" s="24">
        <f t="shared" si="117"/>
        <v>10.841896321198874</v>
      </c>
      <c r="W86" s="41" t="str">
        <f t="shared" si="105"/>
        <v>X</v>
      </c>
      <c r="X86" s="24">
        <f t="shared" si="118"/>
        <v>10.102755854386487</v>
      </c>
      <c r="Y86" s="41" t="str">
        <f t="shared" si="106"/>
        <v>X</v>
      </c>
      <c r="Z86" s="24">
        <f t="shared" si="119"/>
        <v>1.2330702526378445</v>
      </c>
      <c r="AA86" s="41" t="str">
        <f t="shared" si="107"/>
        <v>1</v>
      </c>
      <c r="AB86" s="24">
        <f t="shared" si="120"/>
        <v>2.7968430316541344</v>
      </c>
      <c r="AC86" s="41" t="str">
        <f t="shared" si="108"/>
        <v>2</v>
      </c>
      <c r="AD86" s="24">
        <f t="shared" si="121"/>
        <v>9.5621163798496127</v>
      </c>
      <c r="AE86" s="41" t="str">
        <f t="shared" si="109"/>
        <v>9</v>
      </c>
      <c r="AF86" s="24">
        <f t="shared" si="122"/>
        <v>6.7453965581953526</v>
      </c>
      <c r="AG86" s="41" t="str">
        <f t="shared" si="110"/>
        <v>6</v>
      </c>
      <c r="AH86" s="24">
        <f t="shared" si="123"/>
        <v>8.9447586983442307</v>
      </c>
      <c r="AI86" s="41" t="str">
        <f t="shared" si="111"/>
        <v>9</v>
      </c>
      <c r="AJ86" s="24">
        <f t="shared" si="124"/>
        <v>11.337104380130768</v>
      </c>
      <c r="AK86" s="41" t="str">
        <f t="shared" si="112"/>
        <v/>
      </c>
    </row>
    <row r="87" spans="1:37" ht="14.25" customHeight="1" x14ac:dyDescent="0.2">
      <c r="A87" s="578"/>
      <c r="B87" s="30" t="s">
        <v>339</v>
      </c>
      <c r="C87" s="30"/>
      <c r="D87" s="29"/>
      <c r="E87" s="30">
        <v>12</v>
      </c>
      <c r="F87" s="29">
        <f>POWER(2,43)</f>
        <v>8796093022208</v>
      </c>
      <c r="G87" s="108" t="str">
        <f t="shared" si="127"/>
        <v>0;EX08X990X0X8</v>
      </c>
      <c r="H87" s="108"/>
      <c r="I87" s="286"/>
      <c r="J87" s="43">
        <v>12</v>
      </c>
      <c r="K87" s="62">
        <f t="shared" si="99"/>
        <v>0.98654036854514426</v>
      </c>
      <c r="L87" s="44" t="str">
        <f>INDEX(powers!$H$2:$H$75,33+J87)</f>
        <v>cosmic hyper</v>
      </c>
      <c r="M87" s="40" t="str">
        <f t="shared" si="100"/>
        <v>0</v>
      </c>
      <c r="N87" s="24">
        <f t="shared" si="113"/>
        <v>11.838484422541731</v>
      </c>
      <c r="O87" s="41" t="str">
        <f t="shared" si="101"/>
        <v>E</v>
      </c>
      <c r="P87" s="24">
        <f t="shared" si="114"/>
        <v>10.061813070500769</v>
      </c>
      <c r="Q87" s="41" t="str">
        <f t="shared" si="102"/>
        <v>X</v>
      </c>
      <c r="R87" s="24">
        <f t="shared" si="115"/>
        <v>0.74175684600922409</v>
      </c>
      <c r="S87" s="41" t="str">
        <f t="shared" si="103"/>
        <v>0</v>
      </c>
      <c r="T87" s="24">
        <f t="shared" si="116"/>
        <v>8.9010821521106891</v>
      </c>
      <c r="U87" s="41" t="str">
        <f t="shared" si="104"/>
        <v>8</v>
      </c>
      <c r="V87" s="24">
        <f t="shared" si="117"/>
        <v>10.812985825328269</v>
      </c>
      <c r="W87" s="41" t="str">
        <f t="shared" si="105"/>
        <v>X</v>
      </c>
      <c r="X87" s="24">
        <f t="shared" si="118"/>
        <v>9.7558299039392296</v>
      </c>
      <c r="Y87" s="41" t="str">
        <f t="shared" si="106"/>
        <v>9</v>
      </c>
      <c r="Z87" s="24">
        <f t="shared" si="119"/>
        <v>9.0699588472707546</v>
      </c>
      <c r="AA87" s="41" t="str">
        <f t="shared" si="107"/>
        <v>9</v>
      </c>
      <c r="AB87" s="24">
        <f t="shared" si="120"/>
        <v>0.83950616724905558</v>
      </c>
      <c r="AC87" s="41" t="str">
        <f t="shared" si="108"/>
        <v>0</v>
      </c>
      <c r="AD87" s="24">
        <f t="shared" si="121"/>
        <v>10.074074006988667</v>
      </c>
      <c r="AE87" s="41" t="str">
        <f t="shared" si="109"/>
        <v>X</v>
      </c>
      <c r="AF87" s="24">
        <f t="shared" si="122"/>
        <v>0.88888808386400342</v>
      </c>
      <c r="AG87" s="41" t="str">
        <f t="shared" si="110"/>
        <v>0</v>
      </c>
      <c r="AH87" s="24">
        <f t="shared" si="123"/>
        <v>10.666657006368041</v>
      </c>
      <c r="AI87" s="41" t="str">
        <f t="shared" si="111"/>
        <v>X</v>
      </c>
      <c r="AJ87" s="24">
        <f t="shared" si="124"/>
        <v>7.9998840764164925</v>
      </c>
      <c r="AK87" s="41" t="str">
        <f t="shared" si="112"/>
        <v>8</v>
      </c>
    </row>
    <row r="88" spans="1:37" ht="14.25" customHeight="1" x14ac:dyDescent="0.2">
      <c r="A88" s="578"/>
      <c r="B88" s="30" t="s">
        <v>645</v>
      </c>
      <c r="C88" s="30"/>
      <c r="D88" s="29"/>
      <c r="E88" s="30">
        <v>12</v>
      </c>
      <c r="F88" s="29">
        <f>POWER(12,16)/POWER(2,48)</f>
        <v>656.84083557128906</v>
      </c>
      <c r="G88" s="108" t="str">
        <f t="shared" si="127"/>
        <v>4;68X10E696900</v>
      </c>
      <c r="H88" s="108"/>
      <c r="I88" s="286"/>
      <c r="J88" s="43">
        <v>2</v>
      </c>
      <c r="K88" s="62">
        <f t="shared" si="99"/>
        <v>4.5613946914672852</v>
      </c>
      <c r="L88" s="44" t="str">
        <f>INDEX(powers!$H$2:$H$75,33+J88)</f>
        <v>gross</v>
      </c>
      <c r="M88" s="40" t="str">
        <f t="shared" si="100"/>
        <v>4</v>
      </c>
      <c r="N88" s="24">
        <f t="shared" si="113"/>
        <v>6.7367362976074219</v>
      </c>
      <c r="O88" s="41" t="str">
        <f t="shared" si="101"/>
        <v>6</v>
      </c>
      <c r="P88" s="24">
        <f t="shared" si="114"/>
        <v>8.8408355712890625</v>
      </c>
      <c r="Q88" s="41" t="str">
        <f t="shared" si="102"/>
        <v>8</v>
      </c>
      <c r="R88" s="24">
        <f t="shared" si="115"/>
        <v>10.09002685546875</v>
      </c>
      <c r="S88" s="41" t="str">
        <f t="shared" si="103"/>
        <v>X</v>
      </c>
      <c r="T88" s="24">
        <f t="shared" si="116"/>
        <v>1.080322265625</v>
      </c>
      <c r="U88" s="41" t="str">
        <f t="shared" si="104"/>
        <v>1</v>
      </c>
      <c r="V88" s="24">
        <f t="shared" si="117"/>
        <v>0.9638671875</v>
      </c>
      <c r="W88" s="41" t="str">
        <f t="shared" si="105"/>
        <v>0</v>
      </c>
      <c r="X88" s="24">
        <f t="shared" si="118"/>
        <v>11.56640625</v>
      </c>
      <c r="Y88" s="41" t="str">
        <f t="shared" si="106"/>
        <v>E</v>
      </c>
      <c r="Z88" s="24">
        <f t="shared" si="119"/>
        <v>6.796875</v>
      </c>
      <c r="AA88" s="41" t="str">
        <f t="shared" si="107"/>
        <v>6</v>
      </c>
      <c r="AB88" s="24">
        <f t="shared" si="120"/>
        <v>9.5625</v>
      </c>
      <c r="AC88" s="41" t="str">
        <f t="shared" si="108"/>
        <v>9</v>
      </c>
      <c r="AD88" s="24">
        <f t="shared" si="121"/>
        <v>6.75</v>
      </c>
      <c r="AE88" s="41" t="str">
        <f t="shared" si="109"/>
        <v>6</v>
      </c>
      <c r="AF88" s="24">
        <f t="shared" si="122"/>
        <v>9</v>
      </c>
      <c r="AG88" s="41" t="str">
        <f t="shared" si="110"/>
        <v>9</v>
      </c>
      <c r="AH88" s="24">
        <f t="shared" si="123"/>
        <v>0</v>
      </c>
      <c r="AI88" s="41" t="str">
        <f t="shared" si="111"/>
        <v>0</v>
      </c>
      <c r="AJ88" s="24">
        <f t="shared" si="124"/>
        <v>0</v>
      </c>
      <c r="AK88" s="41" t="str">
        <f t="shared" si="112"/>
        <v>0</v>
      </c>
    </row>
    <row r="89" spans="1:37" ht="14.25" customHeight="1" thickBot="1" x14ac:dyDescent="0.25">
      <c r="A89" s="579"/>
      <c r="B89" s="33" t="s">
        <v>340</v>
      </c>
      <c r="C89" s="33"/>
      <c r="D89" s="32"/>
      <c r="E89" s="33">
        <v>12</v>
      </c>
      <c r="F89" s="32">
        <f>POWER(2,-17)*(2*PI())</f>
        <v>4.7936899621426287E-5</v>
      </c>
      <c r="G89" s="47" t="str">
        <f t="shared" si="127"/>
        <v>0;EE17EX582521</v>
      </c>
      <c r="H89" s="47"/>
      <c r="I89" s="287"/>
      <c r="J89" s="48">
        <v>-4</v>
      </c>
      <c r="K89" s="63">
        <f t="shared" si="99"/>
        <v>0.99401955054989555</v>
      </c>
      <c r="L89" s="49" t="str">
        <f>INDEX(powers!$H$2:$H$75,33+J89)</f>
        <v>sub</v>
      </c>
      <c r="M89" s="40" t="str">
        <f t="shared" si="100"/>
        <v>0</v>
      </c>
      <c r="N89" s="24">
        <f t="shared" si="113"/>
        <v>11.928234606598746</v>
      </c>
      <c r="O89" s="41" t="str">
        <f t="shared" si="101"/>
        <v>E</v>
      </c>
      <c r="P89" s="24">
        <f t="shared" si="114"/>
        <v>11.138815279184954</v>
      </c>
      <c r="Q89" s="41" t="str">
        <f t="shared" si="102"/>
        <v>E</v>
      </c>
      <c r="R89" s="24">
        <f t="shared" si="115"/>
        <v>1.6657833502194421</v>
      </c>
      <c r="S89" s="41" t="str">
        <f t="shared" si="103"/>
        <v>1</v>
      </c>
      <c r="T89" s="24">
        <f t="shared" si="116"/>
        <v>7.9894002026333055</v>
      </c>
      <c r="U89" s="41" t="str">
        <f t="shared" si="104"/>
        <v>7</v>
      </c>
      <c r="V89" s="24">
        <f t="shared" si="117"/>
        <v>11.872802431599666</v>
      </c>
      <c r="W89" s="41" t="str">
        <f t="shared" si="105"/>
        <v>E</v>
      </c>
      <c r="X89" s="24">
        <f t="shared" si="118"/>
        <v>10.473629179195996</v>
      </c>
      <c r="Y89" s="41" t="str">
        <f t="shared" si="106"/>
        <v>X</v>
      </c>
      <c r="Z89" s="24">
        <f t="shared" si="119"/>
        <v>5.6835501503519481</v>
      </c>
      <c r="AA89" s="41" t="str">
        <f t="shared" si="107"/>
        <v>5</v>
      </c>
      <c r="AB89" s="24">
        <f t="shared" si="120"/>
        <v>8.2026018042233773</v>
      </c>
      <c r="AC89" s="41" t="str">
        <f t="shared" si="108"/>
        <v>8</v>
      </c>
      <c r="AD89" s="24">
        <f t="shared" si="121"/>
        <v>2.4312216506805271</v>
      </c>
      <c r="AE89" s="41" t="str">
        <f t="shared" si="109"/>
        <v>2</v>
      </c>
      <c r="AF89" s="24">
        <f t="shared" si="122"/>
        <v>5.1746598081663251</v>
      </c>
      <c r="AG89" s="41" t="str">
        <f t="shared" si="110"/>
        <v>5</v>
      </c>
      <c r="AH89" s="24">
        <f t="shared" si="123"/>
        <v>2.0959176979959011</v>
      </c>
      <c r="AI89" s="41" t="str">
        <f t="shared" si="111"/>
        <v>2</v>
      </c>
      <c r="AJ89" s="24">
        <f t="shared" si="124"/>
        <v>1.1510123759508133</v>
      </c>
      <c r="AK89" s="41" t="str">
        <f t="shared" si="112"/>
        <v>1</v>
      </c>
    </row>
    <row r="90" spans="1:37" x14ac:dyDescent="0.2">
      <c r="K90" s="79"/>
      <c r="L90" s="79"/>
      <c r="M90" s="79"/>
    </row>
    <row r="91" spans="1:37" ht="15" customHeight="1" x14ac:dyDescent="0.2">
      <c r="B91" s="3" t="s">
        <v>264</v>
      </c>
      <c r="C91" s="3" t="str">
        <f>Rydberg!C34</f>
        <v>Ω_1/m</v>
      </c>
      <c r="D91" s="21">
        <f>Rydberg!D34*D92</f>
        <v>10967758.340274228</v>
      </c>
      <c r="E91" s="8">
        <v>12</v>
      </c>
      <c r="F91" s="21">
        <f>D91/(1/F$3)</f>
        <v>2987093.1782095344</v>
      </c>
      <c r="G91" s="37" t="str">
        <f t="shared" ref="G91" si="128">M91&amp;";"&amp;O91&amp;Q91&amp;S91&amp;U91&amp;W91&amp;Y91&amp;AA91&amp;AC91&amp;AE91&amp;AG91&amp;AI91&amp;AK91</f>
        <v>1;000785217E43</v>
      </c>
      <c r="H91" s="37"/>
      <c r="I91" s="285"/>
      <c r="J91" s="38">
        <v>6</v>
      </c>
      <c r="K91" s="61">
        <f>F91/POWER(12,J91)</f>
        <v>1.0003714615381509</v>
      </c>
      <c r="L91" s="39" t="str">
        <f>INDEX(powers!$H$2:$H$75,33+J91)</f>
        <v>dino cosmic</v>
      </c>
      <c r="M91" s="40" t="str">
        <f t="shared" ref="M91" si="129">IF($E91&gt;=M$31,MID($J$31,IF($E91&gt;M$31,INT(K91),ROUND(K91,0))+1,1),"")</f>
        <v>1</v>
      </c>
      <c r="N91" s="24">
        <f t="shared" ref="N91" si="130">(K91-INT(K91))*12</f>
        <v>4.457538457811161E-3</v>
      </c>
      <c r="O91" s="41" t="str">
        <f t="shared" ref="O91" si="131">IF($E91&gt;=O$31,MID($J$31,IF($E91&gt;O$31,INT(N91),ROUND(N91,0))+1,1),"")</f>
        <v>0</v>
      </c>
      <c r="P91" s="24">
        <f t="shared" ref="P91" si="132">(N91-INT(N91))*12</f>
        <v>5.3490461493733932E-2</v>
      </c>
      <c r="Q91" s="41" t="str">
        <f t="shared" ref="Q91" si="133">IF($E91&gt;=Q$31,MID($J$31,IF($E91&gt;Q$31,INT(P91),ROUND(P91,0))+1,1),"")</f>
        <v>0</v>
      </c>
      <c r="R91" s="24">
        <f t="shared" ref="R91" si="134">(P91-INT(P91))*12</f>
        <v>0.64188553792480718</v>
      </c>
      <c r="S91" s="41" t="str">
        <f t="shared" ref="S91" si="135">IF($E91&gt;=S$31,MID($J$31,IF($E91&gt;S$31,INT(R91),ROUND(R91,0))+1,1),"")</f>
        <v>0</v>
      </c>
      <c r="T91" s="24">
        <f t="shared" ref="T91" si="136">(R91-INT(R91))*12</f>
        <v>7.7026264550976862</v>
      </c>
      <c r="U91" s="41" t="str">
        <f t="shared" ref="U91" si="137">IF($E91&gt;=U$31,MID($J$31,IF($E91&gt;U$31,INT(T91),ROUND(T91,0))+1,1),"")</f>
        <v>7</v>
      </c>
      <c r="V91" s="24">
        <f t="shared" ref="V91" si="138">(T91-INT(T91))*12</f>
        <v>8.4315174611722341</v>
      </c>
      <c r="W91" s="41" t="str">
        <f t="shared" ref="W91" si="139">IF($E91&gt;=W$31,MID($J$31,IF($E91&gt;W$31,INT(V91),ROUND(V91,0))+1,1),"")</f>
        <v>8</v>
      </c>
      <c r="X91" s="24">
        <f t="shared" ref="X91" si="140">(V91-INT(V91))*12</f>
        <v>5.1782095340668093</v>
      </c>
      <c r="Y91" s="41" t="str">
        <f t="shared" ref="Y91" si="141">IF($E91&gt;=Y$31,MID($J$31,IF($E91&gt;Y$31,INT(X91),ROUND(X91,0))+1,1),"")</f>
        <v>5</v>
      </c>
      <c r="Z91" s="24">
        <f t="shared" ref="Z91" si="142">(X91-INT(X91))*12</f>
        <v>2.1385144088017114</v>
      </c>
      <c r="AA91" s="41" t="str">
        <f t="shared" ref="AA91" si="143">IF($E91&gt;=AA$31,MID($J$31,IF($E91&gt;AA$31,INT(Z91),ROUND(Z91,0))+1,1),"")</f>
        <v>2</v>
      </c>
      <c r="AB91" s="24">
        <f t="shared" ref="AB91" si="144">(Z91-INT(Z91))*12</f>
        <v>1.6621729056205368</v>
      </c>
      <c r="AC91" s="41" t="str">
        <f t="shared" ref="AC91" si="145">IF($E91&gt;=AC$31,MID($J$31,IF($E91&gt;AC$31,INT(AB91),ROUND(AB91,0))+1,1),"")</f>
        <v>1</v>
      </c>
      <c r="AD91" s="24">
        <f t="shared" ref="AD91" si="146">(AB91-INT(AB91))*12</f>
        <v>7.9460748674464412</v>
      </c>
      <c r="AE91" s="41" t="str">
        <f t="shared" ref="AE91" si="147">IF($E91&gt;=AE$31,MID($J$31,IF($E91&gt;AE$31,INT(AD91),ROUND(AD91,0))+1,1),"")</f>
        <v>7</v>
      </c>
      <c r="AF91" s="24">
        <f t="shared" ref="AF91" si="148">(AD91-INT(AD91))*12</f>
        <v>11.352898409357294</v>
      </c>
      <c r="AG91" s="41" t="str">
        <f t="shared" ref="AG91" si="149">IF($E91&gt;=AG$31,MID($J$31,IF($E91&gt;AG$31,INT(AF91),ROUND(AF91,0))+1,1),"")</f>
        <v>E</v>
      </c>
      <c r="AH91" s="24">
        <f t="shared" ref="AH91" si="150">(AF91-INT(AF91))*12</f>
        <v>4.2347809122875333</v>
      </c>
      <c r="AI91" s="41" t="str">
        <f t="shared" ref="AI91" si="151">IF($E91&gt;=AI$31,MID($J$31,IF($E91&gt;AI$31,INT(AH91),ROUND(AH91,0))+1,1),"")</f>
        <v>4</v>
      </c>
      <c r="AJ91" s="24">
        <f t="shared" ref="AJ91" si="152">(AH91-INT(AH91))*12</f>
        <v>2.8173709474503994</v>
      </c>
      <c r="AK91" s="41" t="str">
        <f t="shared" ref="AK91" si="153">IF($E91&gt;=AK$31,MID($J$31,IF($E91&gt;AK$31,INT(AJ91),ROUND(AJ91,0))+1,1),"")</f>
        <v>3</v>
      </c>
    </row>
    <row r="92" spans="1:37" x14ac:dyDescent="0.2">
      <c r="B92" s="137" t="s">
        <v>265</v>
      </c>
      <c r="D92" s="14">
        <f>1/(1+0.00054461702177)</f>
        <v>0.99945567942448077</v>
      </c>
    </row>
    <row r="93" spans="1:37" x14ac:dyDescent="0.2">
      <c r="B93" s="3" t="s">
        <v>1529</v>
      </c>
      <c r="C93" s="3"/>
      <c r="D93" s="21">
        <f>R23</f>
        <v>0.96873201747303028</v>
      </c>
      <c r="E93" s="8">
        <v>7</v>
      </c>
      <c r="F93" s="21">
        <f>D93</f>
        <v>0.96873201747303028</v>
      </c>
      <c r="G93" s="37" t="str">
        <f t="shared" ref="G93:G94" si="154">M93&amp;";"&amp;O93&amp;Q93&amp;S93&amp;U93&amp;W93&amp;Y93&amp;AA93&amp;AC93&amp;AE93&amp;AG93&amp;AI93&amp;AK93</f>
        <v>0;E75E764</v>
      </c>
      <c r="H93" s="37"/>
      <c r="I93" s="285"/>
      <c r="J93" s="38">
        <v>0</v>
      </c>
      <c r="K93" s="61">
        <f>F93/POWER(12,J93)</f>
        <v>0.96873201747303028</v>
      </c>
      <c r="L93" s="39" t="str">
        <f>INDEX(powers!$H$2:$H$75,33+J93)</f>
        <v xml:space="preserve"> </v>
      </c>
      <c r="M93" s="40" t="str">
        <f t="shared" ref="M93" si="155">IF($E93&gt;=M$31,MID($J$31,IF($E93&gt;M$31,INT(K93),ROUND(K93,0))+1,1),"")</f>
        <v>0</v>
      </c>
      <c r="N93" s="24">
        <f t="shared" ref="N93:N94" si="156">(K93-INT(K93))*12</f>
        <v>11.624784209676363</v>
      </c>
      <c r="O93" s="41" t="str">
        <f t="shared" ref="O93" si="157">IF($E93&gt;=O$31,MID($J$31,IF($E93&gt;O$31,INT(N93),ROUND(N93,0))+1,1),"")</f>
        <v>E</v>
      </c>
      <c r="P93" s="24">
        <f t="shared" ref="P93:P94" si="158">(N93-INT(N93))*12</f>
        <v>7.4974105161163607</v>
      </c>
      <c r="Q93" s="41" t="str">
        <f t="shared" ref="Q93" si="159">IF($E93&gt;=Q$31,MID($J$31,IF($E93&gt;Q$31,INT(P93),ROUND(P93,0))+1,1),"")</f>
        <v>7</v>
      </c>
      <c r="R93" s="24">
        <f t="shared" ref="R93:R94" si="160">(P93-INT(P93))*12</f>
        <v>5.968926193396328</v>
      </c>
      <c r="S93" s="41" t="str">
        <f t="shared" ref="S93" si="161">IF($E93&gt;=S$31,MID($J$31,IF($E93&gt;S$31,INT(R93),ROUND(R93,0))+1,1),"")</f>
        <v>5</v>
      </c>
      <c r="T93" s="24">
        <f t="shared" ref="T93:T94" si="162">(R93-INT(R93))*12</f>
        <v>11.627114320755936</v>
      </c>
      <c r="U93" s="41" t="str">
        <f t="shared" ref="U93" si="163">IF($E93&gt;=U$31,MID($J$31,IF($E93&gt;U$31,INT(T93),ROUND(T93,0))+1,1),"")</f>
        <v>E</v>
      </c>
      <c r="V93" s="24">
        <f t="shared" ref="V93:V94" si="164">(T93-INT(T93))*12</f>
        <v>7.5253718490712345</v>
      </c>
      <c r="W93" s="41" t="str">
        <f t="shared" ref="W93" si="165">IF($E93&gt;=W$31,MID($J$31,IF($E93&gt;W$31,INT(V93),ROUND(V93,0))+1,1),"")</f>
        <v>7</v>
      </c>
      <c r="X93" s="24">
        <f t="shared" ref="X93:X94" si="166">(V93-INT(V93))*12</f>
        <v>6.3044621888548136</v>
      </c>
      <c r="Y93" s="41" t="str">
        <f t="shared" ref="Y93" si="167">IF($E93&gt;=Y$31,MID($J$31,IF($E93&gt;Y$31,INT(X93),ROUND(X93,0))+1,1),"")</f>
        <v>6</v>
      </c>
      <c r="Z93" s="24">
        <f t="shared" ref="Z93:Z94" si="168">(X93-INT(X93))*12</f>
        <v>3.6535462662577629</v>
      </c>
      <c r="AA93" s="41" t="str">
        <f t="shared" ref="AA93" si="169">IF($E93&gt;=AA$31,MID($J$31,IF($E93&gt;AA$31,INT(Z93),ROUND(Z93,0))+1,1),"")</f>
        <v>4</v>
      </c>
      <c r="AB93" s="24">
        <f t="shared" ref="AB93:AB94" si="170">(Z93-INT(Z93))*12</f>
        <v>7.8425551950931549</v>
      </c>
      <c r="AC93" s="41" t="str">
        <f t="shared" ref="AC93" si="171">IF($E93&gt;=AC$31,MID($J$31,IF($E93&gt;AC$31,INT(AB93),ROUND(AB93,0))+1,1),"")</f>
        <v/>
      </c>
      <c r="AD93" s="24">
        <f t="shared" ref="AD93:AD94" si="172">(AB93-INT(AB93))*12</f>
        <v>10.110662341117859</v>
      </c>
      <c r="AE93" s="41" t="str">
        <f t="shared" ref="AE93" si="173">IF($E93&gt;=AE$31,MID($J$31,IF($E93&gt;AE$31,INT(AD93),ROUND(AD93,0))+1,1),"")</f>
        <v/>
      </c>
      <c r="AF93" s="24">
        <f t="shared" ref="AF93:AF94" si="174">(AD93-INT(AD93))*12</f>
        <v>1.3279480934143066</v>
      </c>
      <c r="AG93" s="41" t="str">
        <f t="shared" ref="AG93" si="175">IF($E93&gt;=AG$31,MID($J$31,IF($E93&gt;AG$31,INT(AF93),ROUND(AF93,0))+1,1),"")</f>
        <v/>
      </c>
      <c r="AH93" s="24">
        <f t="shared" ref="AH93:AH94" si="176">(AF93-INT(AF93))*12</f>
        <v>3.9353771209716797</v>
      </c>
      <c r="AI93" s="41" t="str">
        <f t="shared" ref="AI93" si="177">IF($E93&gt;=AI$31,MID($J$31,IF($E93&gt;AI$31,INT(AH93),ROUND(AH93,0))+1,1),"")</f>
        <v/>
      </c>
      <c r="AJ93" s="24">
        <f t="shared" ref="AJ93:AJ94" si="178">(AH93-INT(AH93))*12</f>
        <v>11.224525451660156</v>
      </c>
      <c r="AK93" s="41" t="str">
        <f t="shared" ref="AK93" si="179">IF($E93&gt;=AK$31,MID($J$31,IF($E93&gt;AK$31,INT(AJ93),ROUND(AJ93,0))+1,1),"")</f>
        <v/>
      </c>
    </row>
    <row r="94" spans="1:37" x14ac:dyDescent="0.2">
      <c r="B94" s="3" t="s">
        <v>725</v>
      </c>
      <c r="C94" s="3"/>
      <c r="D94" s="21">
        <v>540000000000000</v>
      </c>
      <c r="E94" s="8">
        <v>7</v>
      </c>
      <c r="F94" s="21">
        <f>D94/F22</f>
        <v>210937562168060.59</v>
      </c>
      <c r="G94" s="37" t="str">
        <f t="shared" si="154"/>
        <v>1;E7X9143</v>
      </c>
      <c r="H94" s="37"/>
      <c r="I94" s="285"/>
      <c r="J94" s="38">
        <v>13</v>
      </c>
      <c r="K94" s="61">
        <f>F94/POWER(12,J94)</f>
        <v>1.9715042784326213</v>
      </c>
      <c r="L94" s="39" t="str">
        <f>INDEX(powers!$H$2:$H$75,33+J94)</f>
        <v>terno di-cosmic</v>
      </c>
      <c r="M94" s="40" t="str">
        <f>IF($E94&gt;=M$31,MID($J$31,IF($E94&gt;M$31,INT(K94),ROUND(K94,0))+1,1),"")</f>
        <v>1</v>
      </c>
      <c r="N94" s="24">
        <f t="shared" si="156"/>
        <v>11.658051341191456</v>
      </c>
      <c r="O94" s="41" t="str">
        <f>IF($E94&gt;=O$31,MID($J$31,IF($E94&gt;O$31,INT(N94),ROUND(N94,0))+1,1),"")</f>
        <v>E</v>
      </c>
      <c r="P94" s="24">
        <f t="shared" si="158"/>
        <v>7.896616094297471</v>
      </c>
      <c r="Q94" s="41" t="str">
        <f>IF($E94&gt;=Q$31,MID($J$31,IF($E94&gt;Q$31,INT(P94),ROUND(P94,0))+1,1),"")</f>
        <v>7</v>
      </c>
      <c r="R94" s="24">
        <f t="shared" si="160"/>
        <v>10.759393131569652</v>
      </c>
      <c r="S94" s="41" t="str">
        <f>IF($E94&gt;=S$31,MID($J$31,IF($E94&gt;S$31,INT(R94),ROUND(R94,0))+1,1),"")</f>
        <v>X</v>
      </c>
      <c r="T94" s="24">
        <f t="shared" si="162"/>
        <v>9.1127175788358272</v>
      </c>
      <c r="U94" s="41" t="str">
        <f>IF($E94&gt;=U$31,MID($J$31,IF($E94&gt;U$31,INT(T94),ROUND(T94,0))+1,1),"")</f>
        <v>9</v>
      </c>
      <c r="V94" s="24">
        <f t="shared" si="164"/>
        <v>1.3526109460299267</v>
      </c>
      <c r="W94" s="41" t="str">
        <f>IF($E94&gt;=W$31,MID($J$31,IF($E94&gt;W$31,INT(V94),ROUND(V94,0))+1,1),"")</f>
        <v>1</v>
      </c>
      <c r="X94" s="24">
        <f t="shared" si="166"/>
        <v>4.2313313523591205</v>
      </c>
      <c r="Y94" s="41" t="str">
        <f>IF($E94&gt;=Y$31,MID($J$31,IF($E94&gt;Y$31,INT(X94),ROUND(X94,0))+1,1),"")</f>
        <v>4</v>
      </c>
      <c r="Z94" s="24">
        <f t="shared" si="168"/>
        <v>2.775976228309446</v>
      </c>
      <c r="AA94" s="41" t="str">
        <f>IF($E94&gt;=AA$31,MID($J$31,IF($E94&gt;AA$31,INT(Z94),ROUND(Z94,0))+1,1),"")</f>
        <v>3</v>
      </c>
      <c r="AB94" s="24">
        <f t="shared" si="170"/>
        <v>9.3117147397133522</v>
      </c>
      <c r="AC94" s="41" t="str">
        <f>IF($E94&gt;=AC$31,MID($J$31,IF($E94&gt;AC$31,INT(AB94),ROUND(AB94,0))+1,1),"")</f>
        <v/>
      </c>
      <c r="AD94" s="24">
        <f t="shared" si="172"/>
        <v>3.7405768765602261</v>
      </c>
      <c r="AE94" s="41" t="str">
        <f>IF($E94&gt;=AE$31,MID($J$31,IF($E94&gt;AE$31,INT(AD94),ROUND(AD94,0))+1,1),"")</f>
        <v/>
      </c>
      <c r="AF94" s="24">
        <f t="shared" si="174"/>
        <v>8.886922518722713</v>
      </c>
      <c r="AG94" s="41" t="str">
        <f>IF($E94&gt;=AG$31,MID($J$31,IF($E94&gt;AG$31,INT(AF94),ROUND(AF94,0))+1,1),"")</f>
        <v/>
      </c>
      <c r="AH94" s="24">
        <f t="shared" si="176"/>
        <v>10.643070224672556</v>
      </c>
      <c r="AI94" s="41" t="str">
        <f>IF($E94&gt;=AI$31,MID($J$31,IF($E94&gt;AI$31,INT(AH94),ROUND(AH94,0))+1,1),"")</f>
        <v/>
      </c>
      <c r="AJ94" s="24">
        <f t="shared" si="178"/>
        <v>7.7168426960706711</v>
      </c>
      <c r="AK94" s="41" t="str">
        <f>IF($E94&gt;=AK$31,MID($J$31,IF($E94&gt;AK$31,INT(AJ94),ROUND(AJ94,0))+1,1),"")</f>
        <v/>
      </c>
    </row>
    <row r="95" spans="1:37" x14ac:dyDescent="0.2">
      <c r="B95" s="14" t="s">
        <v>1508</v>
      </c>
      <c r="D95" s="193">
        <f>F22*F95</f>
        <v>547805050090288.38</v>
      </c>
      <c r="F95" s="193">
        <f>G95*POWER(12,J95)</f>
        <v>213986410758144</v>
      </c>
      <c r="G95" s="209">
        <v>2</v>
      </c>
      <c r="J95" s="14">
        <v>13</v>
      </c>
      <c r="K95" s="79"/>
      <c r="L95" s="79"/>
      <c r="M95" s="79"/>
    </row>
    <row r="96" spans="1:37" x14ac:dyDescent="0.2">
      <c r="D96" s="193"/>
      <c r="F96" s="193"/>
      <c r="G96" s="209"/>
      <c r="K96" s="79"/>
      <c r="L96" s="79"/>
      <c r="M96" s="79"/>
    </row>
    <row r="97" spans="1:37" x14ac:dyDescent="0.2">
      <c r="B97" s="14" t="s">
        <v>1076</v>
      </c>
    </row>
    <row r="98" spans="1:37" x14ac:dyDescent="0.2">
      <c r="B98" s="107" t="s">
        <v>1105</v>
      </c>
      <c r="C98" s="30"/>
      <c r="D98" s="30">
        <f>solar_luminosity!C9</f>
        <v>2.5750450803308646E-6</v>
      </c>
      <c r="E98" s="30">
        <v>6</v>
      </c>
      <c r="F98" s="29">
        <f>D98/F$26</f>
        <v>1.6513394794008666E-9</v>
      </c>
      <c r="G98" s="108" t="str">
        <f t="shared" ref="G98:G99" si="180">M98&amp;";"&amp;O98&amp;Q98&amp;S98&amp;U98&amp;W98&amp;Y98&amp;AA98&amp;AC98&amp;AE98&amp;AG98&amp;AI98&amp;AK98</f>
        <v>8;62E613</v>
      </c>
      <c r="H98" s="108"/>
      <c r="I98" s="286"/>
      <c r="J98" s="43">
        <v>-9</v>
      </c>
      <c r="K98" s="109">
        <f>F98/POWER(12,J98)+0.00000000000001</f>
        <v>8.5205490002945119</v>
      </c>
      <c r="L98" s="44" t="str">
        <f>INDEX(powers!$H$2:$H$75,33+J98)</f>
        <v>unino atomic</v>
      </c>
      <c r="M98" s="97" t="str">
        <f t="shared" ref="M98:M99" si="181">IF($E98&gt;=M$31,MID($J$31,IF($E98&gt;M$31,INT(K98),ROUND(K98,0))+1,1),"")</f>
        <v>8</v>
      </c>
      <c r="N98" s="8">
        <f>(K98-INT(K98))*12</f>
        <v>6.2465880035341428</v>
      </c>
      <c r="O98" s="96" t="str">
        <f t="shared" ref="O98:O99" si="182">IF($E98&gt;=O$31,MID($J$31,IF($E98&gt;O$31,INT(N98),ROUND(N98,0))+1,1),"")</f>
        <v>6</v>
      </c>
      <c r="P98" s="8">
        <f>(N98-INT(N98))*12</f>
        <v>2.9590560424097134</v>
      </c>
      <c r="Q98" s="96" t="str">
        <f t="shared" ref="Q98:Q99" si="183">IF($E98&gt;=Q$31,MID($J$31,IF($E98&gt;Q$31,INT(P98),ROUND(P98,0))+1,1),"")</f>
        <v>2</v>
      </c>
      <c r="R98" s="8">
        <f>(P98-INT(P98))*12</f>
        <v>11.508672508916561</v>
      </c>
      <c r="S98" s="96" t="str">
        <f t="shared" ref="S98:S99" si="184">IF($E98&gt;=S$31,MID($J$31,IF($E98&gt;S$31,INT(R98),ROUND(R98,0))+1,1),"")</f>
        <v>E</v>
      </c>
      <c r="T98" s="8">
        <f>(R98-INT(R98))*12</f>
        <v>6.1040701069987335</v>
      </c>
      <c r="U98" s="96" t="str">
        <f t="shared" ref="U98:U99" si="185">IF($E98&gt;=U$31,MID($J$31,IF($E98&gt;U$31,INT(T98),ROUND(T98,0))+1,1),"")</f>
        <v>6</v>
      </c>
      <c r="V98" s="8">
        <f>(T98-INT(T98))*12</f>
        <v>1.2488412839848024</v>
      </c>
      <c r="W98" s="96" t="str">
        <f t="shared" ref="W98:W99" si="186">IF($E98&gt;=W$31,MID($J$31,IF($E98&gt;W$31,INT(V98),ROUND(V98,0))+1,1),"")</f>
        <v>1</v>
      </c>
      <c r="X98" s="8">
        <f>(V98-INT(V98))*12</f>
        <v>2.9860954078176292</v>
      </c>
      <c r="Y98" s="96" t="str">
        <f t="shared" ref="Y98:Y99" si="187">IF($E98&gt;=Y$31,MID($J$31,IF($E98&gt;Y$31,INT(X98),ROUND(X98,0))+1,1),"")</f>
        <v>3</v>
      </c>
      <c r="Z98" s="8">
        <f>(X98-INT(X98))*12</f>
        <v>11.83314489381155</v>
      </c>
      <c r="AA98" s="96" t="str">
        <f t="shared" ref="AA98:AA99" si="188">IF($E98&gt;=AA$31,MID($J$31,IF($E98&gt;AA$31,INT(Z98),ROUND(Z98,0))+1,1),"")</f>
        <v/>
      </c>
      <c r="AB98" s="8">
        <f>(Z98-INT(Z98))*12</f>
        <v>9.9977387257385999</v>
      </c>
      <c r="AC98" s="96" t="str">
        <f t="shared" ref="AC98:AC99" si="189">IF($E98&gt;=AC$31,MID($J$31,IF($E98&gt;AC$31,INT(AB98),ROUND(AB98,0))+1,1),"")</f>
        <v/>
      </c>
      <c r="AD98" s="8">
        <f>(AB98-INT(AB98))*12</f>
        <v>11.972864708863199</v>
      </c>
      <c r="AE98" s="96" t="str">
        <f t="shared" ref="AE98:AE99" si="190">IF($E98&gt;=AE$31,MID($J$31,IF($E98&gt;AE$31,INT(AD98),ROUND(AD98,0))+1,1),"")</f>
        <v/>
      </c>
      <c r="AF98" s="8">
        <f>(AD98-INT(AD98))*12</f>
        <v>11.674376506358385</v>
      </c>
      <c r="AG98" s="96" t="str">
        <f t="shared" ref="AG98:AG99" si="191">IF($E98&gt;=AG$31,MID($J$31,IF($E98&gt;AG$31,INT(AF98),ROUND(AF98,0))+1,1),"")</f>
        <v/>
      </c>
      <c r="AH98" s="8">
        <f>(AF98-INT(AF98))*12</f>
        <v>8.092518076300621</v>
      </c>
      <c r="AI98" s="96" t="str">
        <f t="shared" ref="AI98:AI99" si="192">IF($E98&gt;=AI$31,MID($J$31,IF($E98&gt;AI$31,INT(AH98),ROUND(AH98,0))+1,1),"")</f>
        <v/>
      </c>
      <c r="AJ98" s="8">
        <f>(AH98-INT(AH98))*12</f>
        <v>1.1102169156074524</v>
      </c>
      <c r="AK98" s="96" t="str">
        <f t="shared" ref="AK98:AK99" si="193">IF($E98&gt;=AK$31,MID($J$31,IF($E98&gt;AK$31,INT(AJ98),ROUND(AJ98,0))+1,1),"")</f>
        <v/>
      </c>
    </row>
    <row r="99" spans="1:37" x14ac:dyDescent="0.2">
      <c r="B99" s="107" t="s">
        <v>1106</v>
      </c>
      <c r="C99" s="30"/>
      <c r="D99" s="30">
        <f>solar_luminosity!C14</f>
        <v>7.8136058826780172E-9</v>
      </c>
      <c r="E99" s="30">
        <v>6</v>
      </c>
      <c r="F99" s="29">
        <f>D99/F$26</f>
        <v>5.0107533918929242E-12</v>
      </c>
      <c r="G99" s="108" t="str">
        <f t="shared" si="180"/>
        <v>3;881495</v>
      </c>
      <c r="H99" s="108"/>
      <c r="I99" s="286"/>
      <c r="J99" s="43">
        <v>-11</v>
      </c>
      <c r="K99" s="109">
        <f>F99/POWER(12,J99)+0.00000000000001</f>
        <v>3.7230317136297413</v>
      </c>
      <c r="L99" s="44" t="str">
        <f>INDEX(powers!$H$2:$H$75,33+J99)</f>
        <v>terno atomic</v>
      </c>
      <c r="M99" s="97" t="str">
        <f t="shared" si="181"/>
        <v>3</v>
      </c>
      <c r="N99" s="8">
        <f>(K99-INT(K99))*12</f>
        <v>8.6763805635568954</v>
      </c>
      <c r="O99" s="96" t="str">
        <f t="shared" si="182"/>
        <v>8</v>
      </c>
      <c r="P99" s="8">
        <f>(N99-INT(N99))*12</f>
        <v>8.1165667626827442</v>
      </c>
      <c r="Q99" s="96" t="str">
        <f t="shared" si="183"/>
        <v>8</v>
      </c>
      <c r="R99" s="8">
        <f>(P99-INT(P99))*12</f>
        <v>1.3988011521929309</v>
      </c>
      <c r="S99" s="96" t="str">
        <f t="shared" si="184"/>
        <v>1</v>
      </c>
      <c r="T99" s="8">
        <f>(R99-INT(R99))*12</f>
        <v>4.7856138263151706</v>
      </c>
      <c r="U99" s="96" t="str">
        <f t="shared" si="185"/>
        <v>4</v>
      </c>
      <c r="V99" s="8">
        <f>(T99-INT(T99))*12</f>
        <v>9.4273659157820475</v>
      </c>
      <c r="W99" s="96" t="str">
        <f t="shared" si="186"/>
        <v>9</v>
      </c>
      <c r="X99" s="8">
        <f>(V99-INT(V99))*12</f>
        <v>5.1283909893845703</v>
      </c>
      <c r="Y99" s="96" t="str">
        <f t="shared" si="187"/>
        <v>5</v>
      </c>
      <c r="Z99" s="8">
        <f>(X99-INT(X99))*12</f>
        <v>1.5406918726148433</v>
      </c>
      <c r="AA99" s="96" t="str">
        <f t="shared" si="188"/>
        <v/>
      </c>
      <c r="AB99" s="8">
        <f>(Z99-INT(Z99))*12</f>
        <v>6.4883024713781197</v>
      </c>
      <c r="AC99" s="96" t="str">
        <f t="shared" si="189"/>
        <v/>
      </c>
      <c r="AD99" s="8">
        <f>(AB99-INT(AB99))*12</f>
        <v>5.8596296565374359</v>
      </c>
      <c r="AE99" s="96" t="str">
        <f t="shared" si="190"/>
        <v/>
      </c>
      <c r="AF99" s="8">
        <f>(AD99-INT(AD99))*12</f>
        <v>10.315555878449231</v>
      </c>
      <c r="AG99" s="96" t="str">
        <f t="shared" si="191"/>
        <v/>
      </c>
      <c r="AH99" s="8">
        <f>(AF99-INT(AF99))*12</f>
        <v>3.7866705413907766</v>
      </c>
      <c r="AI99" s="96" t="str">
        <f t="shared" si="192"/>
        <v/>
      </c>
      <c r="AJ99" s="8">
        <f>(AH99-INT(AH99))*12</f>
        <v>9.4400464966893196</v>
      </c>
      <c r="AK99" s="96" t="str">
        <f t="shared" si="193"/>
        <v/>
      </c>
    </row>
    <row r="100" spans="1:37" x14ac:dyDescent="0.2">
      <c r="A100" s="384"/>
      <c r="B100" s="107" t="s">
        <v>1107</v>
      </c>
      <c r="C100" s="8"/>
      <c r="D100" s="8">
        <f>solar_luminosity!C12</f>
        <v>1.0251439109782231E-8</v>
      </c>
      <c r="E100" s="8">
        <v>6</v>
      </c>
      <c r="F100" s="21">
        <f>D100/F$26</f>
        <v>6.5741008776756394E-12</v>
      </c>
      <c r="G100" s="37" t="str">
        <f t="shared" ref="G100" si="194">M100&amp;";"&amp;O100&amp;Q100&amp;S100&amp;U100&amp;W100&amp;Y100&amp;AA100&amp;AC100&amp;AE100&amp;AG100&amp;AI100&amp;AK100</f>
        <v>4;X74739</v>
      </c>
      <c r="H100" s="37"/>
      <c r="I100" s="285"/>
      <c r="J100" s="38">
        <v>-11</v>
      </c>
      <c r="K100" s="128">
        <f>F100/POWER(12,J100)+0.00000000000001</f>
        <v>4.8846119818603375</v>
      </c>
      <c r="L100" s="39" t="str">
        <f>INDEX(powers!$H$2:$H$75,33+J100)</f>
        <v>terno atomic</v>
      </c>
      <c r="M100" s="97" t="str">
        <f t="shared" ref="M100" si="195">IF($E100&gt;=M$31,MID($J$31,IF($E100&gt;M$31,INT(K100),ROUND(K100,0))+1,1),"")</f>
        <v>4</v>
      </c>
      <c r="N100" s="8">
        <f>(K100-INT(K100))*12</f>
        <v>10.61534378232405</v>
      </c>
      <c r="O100" s="96" t="str">
        <f t="shared" ref="O100" si="196">IF($E100&gt;=O$31,MID($J$31,IF($E100&gt;O$31,INT(N100),ROUND(N100,0))+1,1),"")</f>
        <v>X</v>
      </c>
      <c r="P100" s="8">
        <f>(N100-INT(N100))*12</f>
        <v>7.3841253878886022</v>
      </c>
      <c r="Q100" s="96" t="str">
        <f t="shared" ref="Q100" si="197">IF($E100&gt;=Q$31,MID($J$31,IF($E100&gt;Q$31,INT(P100),ROUND(P100,0))+1,1),"")</f>
        <v>7</v>
      </c>
      <c r="R100" s="8">
        <f>(P100-INT(P100))*12</f>
        <v>4.6095046546632261</v>
      </c>
      <c r="S100" s="96" t="str">
        <f t="shared" ref="S100" si="198">IF($E100&gt;=S$31,MID($J$31,IF($E100&gt;S$31,INT(R100),ROUND(R100,0))+1,1),"")</f>
        <v>4</v>
      </c>
      <c r="T100" s="8">
        <f>(R100-INT(R100))*12</f>
        <v>7.3140558559587134</v>
      </c>
      <c r="U100" s="96" t="str">
        <f t="shared" ref="U100" si="199">IF($E100&gt;=U$31,MID($J$31,IF($E100&gt;U$31,INT(T100),ROUND(T100,0))+1,1),"")</f>
        <v>7</v>
      </c>
      <c r="V100" s="8">
        <f>(T100-INT(T100))*12</f>
        <v>3.7686702715045612</v>
      </c>
      <c r="W100" s="96" t="str">
        <f t="shared" ref="W100" si="200">IF($E100&gt;=W$31,MID($J$31,IF($E100&gt;W$31,INT(V100),ROUND(V100,0))+1,1),"")</f>
        <v>3</v>
      </c>
      <c r="X100" s="8">
        <f>(V100-INT(V100))*12</f>
        <v>9.2240432580547349</v>
      </c>
      <c r="Y100" s="96" t="str">
        <f t="shared" ref="Y100" si="201">IF($E100&gt;=Y$31,MID($J$31,IF($E100&gt;Y$31,INT(X100),ROUND(X100,0))+1,1),"")</f>
        <v>9</v>
      </c>
      <c r="Z100" s="8">
        <f>(X100-INT(X100))*12</f>
        <v>2.6885190966568189</v>
      </c>
      <c r="AA100" s="96" t="str">
        <f t="shared" ref="AA100" si="202">IF($E100&gt;=AA$31,MID($J$31,IF($E100&gt;AA$31,INT(Z100),ROUND(Z100,0))+1,1),"")</f>
        <v/>
      </c>
      <c r="AB100" s="8">
        <f>(Z100-INT(Z100))*12</f>
        <v>8.2622291598818265</v>
      </c>
      <c r="AC100" s="96" t="str">
        <f t="shared" ref="AC100" si="203">IF($E100&gt;=AC$31,MID($J$31,IF($E100&gt;AC$31,INT(AB100),ROUND(AB100,0))+1,1),"")</f>
        <v/>
      </c>
      <c r="AD100" s="8">
        <f>(AB100-INT(AB100))*12</f>
        <v>3.1467499185819179</v>
      </c>
      <c r="AE100" s="96" t="str">
        <f t="shared" ref="AE100" si="204">IF($E100&gt;=AE$31,MID($J$31,IF($E100&gt;AE$31,INT(AD100),ROUND(AD100,0))+1,1),"")</f>
        <v/>
      </c>
      <c r="AF100" s="8">
        <f>(AD100-INT(AD100))*12</f>
        <v>1.7609990229830146</v>
      </c>
      <c r="AG100" s="96" t="str">
        <f t="shared" ref="AG100" si="205">IF($E100&gt;=AG$31,MID($J$31,IF($E100&gt;AG$31,INT(AF100),ROUND(AF100,0))+1,1),"")</f>
        <v/>
      </c>
      <c r="AH100" s="8">
        <f>(AF100-INT(AF100))*12</f>
        <v>9.131988275796175</v>
      </c>
      <c r="AI100" s="96" t="str">
        <f t="shared" ref="AI100" si="206">IF($E100&gt;=AI$31,MID($J$31,IF($E100&gt;AI$31,INT(AH100),ROUND(AH100,0))+1,1),"")</f>
        <v/>
      </c>
      <c r="AJ100" s="8">
        <f>(AH100-INT(AH100))*12</f>
        <v>1.5838593095541</v>
      </c>
      <c r="AK100" s="96" t="str">
        <f t="shared" ref="AK100" si="207">IF($E100&gt;=AK$31,MID($J$31,IF($E100&gt;AK$31,INT(AJ100),ROUND(AJ100,0))+1,1),"")</f>
        <v/>
      </c>
    </row>
    <row r="101" spans="1:37" ht="12" thickBot="1" x14ac:dyDescent="0.25">
      <c r="B101" s="105" t="s">
        <v>1108</v>
      </c>
      <c r="C101" s="377"/>
      <c r="D101" s="377">
        <f>solar_luminosity!C11</f>
        <v>2.5750450803308634E-8</v>
      </c>
      <c r="E101" s="377">
        <v>6</v>
      </c>
      <c r="F101" s="378">
        <f>D101/F$26</f>
        <v>1.6513394794008658E-11</v>
      </c>
      <c r="G101" s="379" t="str">
        <f t="shared" ref="G101" si="208">M101&amp;";"&amp;O101&amp;Q101&amp;S101&amp;U101&amp;W101&amp;Y101&amp;AA101&amp;AC101&amp;AE101&amp;AG101&amp;AI101&amp;AK101</f>
        <v>1;0329X3</v>
      </c>
      <c r="H101" s="379"/>
      <c r="I101" s="380"/>
      <c r="J101" s="381">
        <v>-10</v>
      </c>
      <c r="K101" s="382">
        <f>F101/POWER(12,J101)+0.00000000000001</f>
        <v>1.0224658800353497</v>
      </c>
      <c r="L101" s="383" t="str">
        <f>INDEX(powers!$H$2:$H$75,33+J101)</f>
        <v>dino atomic</v>
      </c>
      <c r="M101" s="97" t="str">
        <f t="shared" ref="M101" si="209">IF($E101&gt;=M$31,MID($J$31,IF($E101&gt;M$31,INT(K101),ROUND(K101,0))+1,1),"")</f>
        <v>1</v>
      </c>
      <c r="N101" s="8">
        <f>(K101-INT(K101))*12</f>
        <v>0.26959056042419594</v>
      </c>
      <c r="O101" s="96" t="str">
        <f t="shared" ref="O101" si="210">IF($E101&gt;=O$31,MID($J$31,IF($E101&gt;O$31,INT(N101),ROUND(N101,0))+1,1),"")</f>
        <v>0</v>
      </c>
      <c r="P101" s="8">
        <f>(N101-INT(N101))*12</f>
        <v>3.2350867250903512</v>
      </c>
      <c r="Q101" s="96" t="str">
        <f t="shared" ref="Q101" si="211">IF($E101&gt;=Q$31,MID($J$31,IF($E101&gt;Q$31,INT(P101),ROUND(P101,0))+1,1),"")</f>
        <v>3</v>
      </c>
      <c r="R101" s="8">
        <f>(P101-INT(P101))*12</f>
        <v>2.8210407010842147</v>
      </c>
      <c r="S101" s="96" t="str">
        <f t="shared" ref="S101" si="212">IF($E101&gt;=S$31,MID($J$31,IF($E101&gt;S$31,INT(R101),ROUND(R101,0))+1,1),"")</f>
        <v>2</v>
      </c>
      <c r="T101" s="8">
        <f>(R101-INT(R101))*12</f>
        <v>9.8524884130105761</v>
      </c>
      <c r="U101" s="96" t="str">
        <f t="shared" ref="U101" si="213">IF($E101&gt;=U$31,MID($J$31,IF($E101&gt;U$31,INT(T101),ROUND(T101,0))+1,1),"")</f>
        <v>9</v>
      </c>
      <c r="V101" s="8">
        <f>(T101-INT(T101))*12</f>
        <v>10.229860956126913</v>
      </c>
      <c r="W101" s="96" t="str">
        <f t="shared" ref="W101" si="214">IF($E101&gt;=W$31,MID($J$31,IF($E101&gt;W$31,INT(V101),ROUND(V101,0))+1,1),"")</f>
        <v>X</v>
      </c>
      <c r="X101" s="8">
        <f>(V101-INT(V101))*12</f>
        <v>2.7583314735229578</v>
      </c>
      <c r="Y101" s="96" t="str">
        <f t="shared" ref="Y101" si="215">IF($E101&gt;=Y$31,MID($J$31,IF($E101&gt;Y$31,INT(X101),ROUND(X101,0))+1,1),"")</f>
        <v>3</v>
      </c>
      <c r="Z101" s="8">
        <f>(X101-INT(X101))*12</f>
        <v>9.0999776822754939</v>
      </c>
      <c r="AA101" s="96" t="str">
        <f t="shared" ref="AA101" si="216">IF($E101&gt;=AA$31,MID($J$31,IF($E101&gt;AA$31,INT(Z101),ROUND(Z101,0))+1,1),"")</f>
        <v/>
      </c>
      <c r="AB101" s="8">
        <f>(Z101-INT(Z101))*12</f>
        <v>1.1997321873059263</v>
      </c>
      <c r="AC101" s="96" t="str">
        <f t="shared" ref="AC101" si="217">IF($E101&gt;=AC$31,MID($J$31,IF($E101&gt;AC$31,INT(AB101),ROUND(AB101,0))+1,1),"")</f>
        <v/>
      </c>
      <c r="AD101" s="8">
        <f>(AB101-INT(AB101))*12</f>
        <v>2.3967862476711161</v>
      </c>
      <c r="AE101" s="96" t="str">
        <f t="shared" ref="AE101" si="218">IF($E101&gt;=AE$31,MID($J$31,IF($E101&gt;AE$31,INT(AD101),ROUND(AD101,0))+1,1),"")</f>
        <v/>
      </c>
      <c r="AF101" s="8">
        <f>(AD101-INT(AD101))*12</f>
        <v>4.7614349720533937</v>
      </c>
      <c r="AG101" s="96" t="str">
        <f t="shared" ref="AG101" si="219">IF($E101&gt;=AG$31,MID($J$31,IF($E101&gt;AG$31,INT(AF101),ROUND(AF101,0))+1,1),"")</f>
        <v/>
      </c>
      <c r="AH101" s="8">
        <f>(AF101-INT(AF101))*12</f>
        <v>9.1372196646407247</v>
      </c>
      <c r="AI101" s="96" t="str">
        <f t="shared" ref="AI101" si="220">IF($E101&gt;=AI$31,MID($J$31,IF($E101&gt;AI$31,INT(AH101),ROUND(AH101,0))+1,1),"")</f>
        <v/>
      </c>
      <c r="AJ101" s="8">
        <f>(AH101-INT(AH101))*12</f>
        <v>1.6466359756886959</v>
      </c>
      <c r="AK101" s="96" t="str">
        <f t="shared" ref="AK101" si="221">IF($E101&gt;=AK$31,MID($J$31,IF($E101&gt;AK$31,INT(AJ101),ROUND(AJ101,0))+1,1),"")</f>
        <v/>
      </c>
    </row>
    <row r="102" spans="1:37" x14ac:dyDescent="0.2">
      <c r="F102" s="193"/>
      <c r="G102" s="234"/>
      <c r="H102" s="234"/>
      <c r="I102" s="292"/>
      <c r="J102" s="235"/>
      <c r="K102" s="236"/>
      <c r="L102" s="236"/>
      <c r="M102" s="237"/>
      <c r="O102" s="237"/>
      <c r="Q102" s="237"/>
      <c r="S102" s="237"/>
      <c r="U102" s="237"/>
      <c r="W102" s="237"/>
      <c r="Y102" s="237"/>
      <c r="AA102" s="237"/>
      <c r="AC102" s="237"/>
      <c r="AE102" s="237"/>
      <c r="AG102" s="237"/>
      <c r="AI102" s="237"/>
      <c r="AK102" s="237"/>
    </row>
    <row r="103" spans="1:37" ht="12" thickBot="1" x14ac:dyDescent="0.25">
      <c r="B103" s="14" t="s">
        <v>1280</v>
      </c>
      <c r="K103" s="79"/>
      <c r="L103" s="79"/>
      <c r="M103" s="79"/>
    </row>
    <row r="104" spans="1:37" ht="12" thickBot="1" x14ac:dyDescent="0.25">
      <c r="B104" s="68" t="s">
        <v>1281</v>
      </c>
      <c r="C104" s="69"/>
      <c r="D104" s="70">
        <f>D64*D35*D35/POWER(D66*2/PI(),2)</f>
        <v>9.8312061680638099</v>
      </c>
      <c r="E104" s="69">
        <v>7</v>
      </c>
      <c r="F104" s="70">
        <f>D104/(F3/F4/F4)</f>
        <v>5.508029173245947</v>
      </c>
      <c r="G104" s="71" t="str">
        <f t="shared" ref="G104" si="222">M104&amp;";"&amp;O104&amp;Q104&amp;S104&amp;U104&amp;W104&amp;Y104&amp;AA104&amp;AC104&amp;AE104&amp;AG104&amp;AI104&amp;AK104</f>
        <v>5;611X5X</v>
      </c>
      <c r="H104" s="71"/>
      <c r="I104" s="298"/>
      <c r="J104" s="72">
        <v>0</v>
      </c>
      <c r="K104" s="73">
        <f>F104/POWER(12,J104)+0.00000000000001</f>
        <v>5.5080291732459568</v>
      </c>
      <c r="L104" s="74" t="str">
        <f>INDEX(powers!$H$2:$H$75,33+J104)</f>
        <v xml:space="preserve"> </v>
      </c>
      <c r="M104" s="75" t="str">
        <f t="shared" ref="M104" si="223">IF($E104&gt;=M$31,MID($J$31,IF($E104&gt;M$31,INT(K104),ROUND(K104,0))+1,1),"")</f>
        <v>5</v>
      </c>
      <c r="N104" s="76">
        <f>(K104-INT(K104))*12</f>
        <v>6.0963500789514811</v>
      </c>
      <c r="O104" s="77" t="str">
        <f t="shared" ref="O104" si="224">IF($E104&gt;=O$31,MID($J$31,IF($E104&gt;O$31,INT(N104),ROUND(N104,0))+1,1),"")</f>
        <v>6</v>
      </c>
      <c r="P104" s="76">
        <f>(N104-INT(N104))*12</f>
        <v>1.1562009474177728</v>
      </c>
      <c r="Q104" s="77" t="str">
        <f t="shared" ref="Q104" si="225">IF($E104&gt;=Q$31,MID($J$31,IF($E104&gt;Q$31,INT(P104),ROUND(P104,0))+1,1),"")</f>
        <v>1</v>
      </c>
      <c r="R104" s="76">
        <f>(P104-INT(P104))*12</f>
        <v>1.8744113690132735</v>
      </c>
      <c r="S104" s="77" t="str">
        <f t="shared" ref="S104" si="226">IF($E104&gt;=S$31,MID($J$31,IF($E104&gt;S$31,INT(R104),ROUND(R104,0))+1,1),"")</f>
        <v>1</v>
      </c>
      <c r="T104" s="76">
        <f>(R104-INT(R104))*12</f>
        <v>10.492936428159283</v>
      </c>
      <c r="U104" s="77" t="str">
        <f t="shared" ref="U104" si="227">IF($E104&gt;=U$31,MID($J$31,IF($E104&gt;U$31,INT(T104),ROUND(T104,0))+1,1),"")</f>
        <v>X</v>
      </c>
      <c r="V104" s="76">
        <f>(T104-INT(T104))*12</f>
        <v>5.9152371379113902</v>
      </c>
      <c r="W104" s="77" t="str">
        <f t="shared" ref="W104" si="228">IF($E104&gt;=W$31,MID($J$31,IF($E104&gt;W$31,INT(V104),ROUND(V104,0))+1,1),"")</f>
        <v>5</v>
      </c>
      <c r="X104" s="76">
        <f>(V104-INT(V104))*12</f>
        <v>10.982845654936682</v>
      </c>
      <c r="Y104" s="77" t="str">
        <f t="shared" ref="Y104" si="229">IF($E104&gt;=Y$31,MID($J$31,IF($E104&gt;Y$31,INT(X104),ROUND(X104,0))+1,1),"")</f>
        <v>X</v>
      </c>
      <c r="Z104" s="76">
        <f>(X104-INT(X104))*12</f>
        <v>11.794147859240184</v>
      </c>
      <c r="AA104" s="77" t="str">
        <f t="shared" ref="AA104" si="230">IF($E104&gt;=AA$31,MID($J$31,IF($E104&gt;AA$31,INT(Z104),ROUND(Z104,0))+1,1),"")</f>
        <v/>
      </c>
      <c r="AB104" s="76">
        <f>(Z104-INT(Z104))*12</f>
        <v>9.5297743108822033</v>
      </c>
      <c r="AC104" s="77" t="str">
        <f t="shared" ref="AC104" si="231">IF($E104&gt;=AC$31,MID($J$31,IF($E104&gt;AC$31,INT(AB104),ROUND(AB104,0))+1,1),"")</f>
        <v/>
      </c>
      <c r="AD104" s="76">
        <f>(AB104-INT(AB104))*12</f>
        <v>6.3572917305864394</v>
      </c>
      <c r="AE104" s="77" t="str">
        <f t="shared" ref="AE104" si="232">IF($E104&gt;=AE$31,MID($J$31,IF($E104&gt;AE$31,INT(AD104),ROUND(AD104,0))+1,1),"")</f>
        <v/>
      </c>
      <c r="AF104" s="76">
        <f>(AD104-INT(AD104))*12</f>
        <v>4.2875007670372725</v>
      </c>
      <c r="AG104" s="77" t="str">
        <f t="shared" ref="AG104" si="233">IF($E104&gt;=AG$31,MID($J$31,IF($E104&gt;AG$31,INT(AF104),ROUND(AF104,0))+1,1),"")</f>
        <v/>
      </c>
      <c r="AH104" s="76">
        <f>(AF104-INT(AF104))*12</f>
        <v>3.4500092044472694</v>
      </c>
      <c r="AI104" s="77" t="str">
        <f t="shared" ref="AI104" si="234">IF($E104&gt;=AI$31,MID($J$31,IF($E104&gt;AI$31,INT(AH104),ROUND(AH104,0))+1,1),"")</f>
        <v/>
      </c>
      <c r="AJ104" s="76">
        <f>(AH104-INT(AH104))*12</f>
        <v>5.4001104533672333</v>
      </c>
      <c r="AK104" s="78" t="str">
        <f t="shared" ref="AK104" si="235">IF($E104&gt;=AK$31,MID($J$31,IF($E104&gt;AK$31,INT(AJ104),ROUND(AJ104,0))+1,1),"")</f>
        <v/>
      </c>
    </row>
    <row r="105" spans="1:37" x14ac:dyDescent="0.2">
      <c r="F105" s="193"/>
      <c r="G105" s="234"/>
      <c r="H105" s="234"/>
      <c r="I105" s="292"/>
      <c r="J105" s="235"/>
      <c r="K105" s="236"/>
      <c r="L105" s="236"/>
      <c r="M105" s="237"/>
      <c r="O105" s="237"/>
      <c r="Q105" s="237"/>
      <c r="S105" s="237"/>
      <c r="U105" s="237"/>
      <c r="W105" s="237"/>
      <c r="Y105" s="237"/>
      <c r="AA105" s="237"/>
      <c r="AC105" s="237"/>
      <c r="AE105" s="237"/>
      <c r="AG105" s="237"/>
      <c r="AI105" s="237"/>
      <c r="AK105" s="237"/>
    </row>
    <row r="106" spans="1:37" ht="12" thickBot="1" x14ac:dyDescent="0.25">
      <c r="B106" s="14" t="s">
        <v>1078</v>
      </c>
      <c r="K106" s="79"/>
      <c r="L106" s="79"/>
      <c r="M106" s="79"/>
    </row>
    <row r="107" spans="1:37" x14ac:dyDescent="0.2">
      <c r="B107" s="98" t="s">
        <v>115</v>
      </c>
      <c r="C107" s="99"/>
      <c r="D107" s="100"/>
      <c r="E107" s="99">
        <v>9</v>
      </c>
      <c r="F107" s="100">
        <f>Clock!F96</f>
        <v>1.0020361796982167</v>
      </c>
      <c r="G107" s="101" t="str">
        <f t="shared" ref="G107" si="236">M107&amp;";"&amp;O107&amp;Q107&amp;S107&amp;U107&amp;W107&amp;Y107&amp;AA107&amp;AC107&amp;AE107&amp;AG107&amp;AI107&amp;AK107</f>
        <v>1;003628000</v>
      </c>
      <c r="H107" s="101"/>
      <c r="I107" s="289"/>
      <c r="J107" s="102">
        <v>0</v>
      </c>
      <c r="K107" s="103">
        <f>F107/POWER(12,J107)+0.00000000000001</f>
        <v>1.0020361796982267</v>
      </c>
      <c r="L107" s="104" t="str">
        <f>INDEX(powers!$H$2:$H$75,33+J107)</f>
        <v xml:space="preserve"> </v>
      </c>
      <c r="M107" s="75" t="str">
        <f t="shared" ref="M107" si="237">IF($E107&gt;=M$31,MID($J$31,IF($E107&gt;M$31,INT(K107),ROUND(K107,0))+1,1),"")</f>
        <v>1</v>
      </c>
      <c r="N107" s="76">
        <f>(K107-INT(K107))*12</f>
        <v>2.443415637872004E-2</v>
      </c>
      <c r="O107" s="77" t="str">
        <f t="shared" ref="O107" si="238">IF($E107&gt;=O$31,MID($J$31,IF($E107&gt;O$31,INT(N107),ROUND(N107,0))+1,1),"")</f>
        <v>0</v>
      </c>
      <c r="P107" s="76">
        <f>(N107-INT(N107))*12</f>
        <v>0.29320987654464048</v>
      </c>
      <c r="Q107" s="77" t="str">
        <f t="shared" ref="Q107" si="239">IF($E107&gt;=Q$31,MID($J$31,IF($E107&gt;Q$31,INT(P107),ROUND(P107,0))+1,1),"")</f>
        <v>0</v>
      </c>
      <c r="R107" s="76">
        <f>(P107-INT(P107))*12</f>
        <v>3.5185185185356858</v>
      </c>
      <c r="S107" s="77" t="str">
        <f t="shared" ref="S107" si="240">IF($E107&gt;=S$31,MID($J$31,IF($E107&gt;S$31,INT(R107),ROUND(R107,0))+1,1),"")</f>
        <v>3</v>
      </c>
      <c r="T107" s="76">
        <f>(R107-INT(R107))*12</f>
        <v>6.2222222224282291</v>
      </c>
      <c r="U107" s="77" t="str">
        <f t="shared" ref="U107" si="241">IF($E107&gt;=U$31,MID($J$31,IF($E107&gt;U$31,INT(T107),ROUND(T107,0))+1,1),"")</f>
        <v>6</v>
      </c>
      <c r="V107" s="76">
        <f>(T107-INT(T107))*12</f>
        <v>2.6666666691387491</v>
      </c>
      <c r="W107" s="77" t="str">
        <f t="shared" ref="W107" si="242">IF($E107&gt;=W$31,MID($J$31,IF($E107&gt;W$31,INT(V107),ROUND(V107,0))+1,1),"")</f>
        <v>2</v>
      </c>
      <c r="X107" s="76">
        <f>(V107-INT(V107))*12</f>
        <v>8.0000000296649887</v>
      </c>
      <c r="Y107" s="77" t="str">
        <f t="shared" ref="Y107" si="243">IF($E107&gt;=Y$31,MID($J$31,IF($E107&gt;Y$31,INT(X107),ROUND(X107,0))+1,1),"")</f>
        <v>8</v>
      </c>
      <c r="Z107" s="76">
        <f>(X107-INT(X107))*12</f>
        <v>3.559798642527312E-7</v>
      </c>
      <c r="AA107" s="77" t="str">
        <f t="shared" ref="AA107" si="244">IF($E107&gt;=AA$31,MID($J$31,IF($E107&gt;AA$31,INT(Z107),ROUND(Z107,0))+1,1),"")</f>
        <v>0</v>
      </c>
      <c r="AB107" s="76">
        <f>(Z107-INT(Z107))*12</f>
        <v>4.2717583710327744E-6</v>
      </c>
      <c r="AC107" s="77" t="str">
        <f t="shared" ref="AC107" si="245">IF($E107&gt;=AC$31,MID($J$31,IF($E107&gt;AC$31,INT(AB107),ROUND(AB107,0))+1,1),"")</f>
        <v>0</v>
      </c>
      <c r="AD107" s="76">
        <f>(AB107-INT(AB107))*12</f>
        <v>5.1261100452393293E-5</v>
      </c>
      <c r="AE107" s="77" t="str">
        <f t="shared" ref="AE107" si="246">IF($E107&gt;=AE$31,MID($J$31,IF($E107&gt;AE$31,INT(AD107),ROUND(AD107,0))+1,1),"")</f>
        <v>0</v>
      </c>
      <c r="AF107" s="76">
        <f>(AD107-INT(AD107))*12</f>
        <v>6.1513320542871952E-4</v>
      </c>
      <c r="AG107" s="77" t="str">
        <f t="shared" ref="AG107" si="247">IF($E107&gt;=AG$31,MID($J$31,IF($E107&gt;AG$31,INT(AF107),ROUND(AF107,0))+1,1),"")</f>
        <v/>
      </c>
      <c r="AH107" s="76">
        <f>(AF107-INT(AF107))*12</f>
        <v>7.3815984651446342E-3</v>
      </c>
      <c r="AI107" s="77" t="str">
        <f t="shared" ref="AI107" si="248">IF($E107&gt;=AI$31,MID($J$31,IF($E107&gt;AI$31,INT(AH107),ROUND(AH107,0))+1,1),"")</f>
        <v/>
      </c>
      <c r="AJ107" s="76">
        <f>(AH107-INT(AH107))*12</f>
        <v>8.8579181581735611E-2</v>
      </c>
      <c r="AK107" s="78" t="str">
        <f t="shared" ref="AK107" si="249">IF($E107&gt;=AK$31,MID($J$31,IF($E107&gt;AK$31,INT(AJ107),ROUND(AJ107,0))+1,1),"")</f>
        <v/>
      </c>
    </row>
    <row r="108" spans="1:37" x14ac:dyDescent="0.2">
      <c r="B108" s="107" t="s">
        <v>204</v>
      </c>
      <c r="C108" s="30"/>
      <c r="D108" s="30"/>
      <c r="E108" s="30">
        <v>12</v>
      </c>
      <c r="F108" s="29">
        <f>F4/Clock!F4</f>
        <v>1.0000002947226576</v>
      </c>
      <c r="G108" s="108" t="str">
        <f t="shared" ref="G108" si="250">M108&amp;";"&amp;O108&amp;Q108&amp;S108&amp;U108&amp;W108&amp;Y108&amp;AA108&amp;AC108&amp;AE108&amp;AG108&amp;AI108&amp;AK108</f>
        <v>1;000000X68855</v>
      </c>
      <c r="H108" s="108"/>
      <c r="I108" s="286"/>
      <c r="J108" s="43">
        <v>0</v>
      </c>
      <c r="K108" s="109">
        <f>F108/POWER(12,J108)+0.00000000000001</f>
        <v>1.0000002947226676</v>
      </c>
      <c r="L108" s="44" t="str">
        <f>INDEX(powers!$H$2:$H$75,33+J108)</f>
        <v xml:space="preserve"> </v>
      </c>
      <c r="M108" s="97" t="str">
        <f t="shared" ref="M108" si="251">IF($E108&gt;=M$31,MID($J$31,IF($E108&gt;M$31,INT(K108),ROUND(K108,0))+1,1),"")</f>
        <v>1</v>
      </c>
      <c r="N108" s="8">
        <f>(K108-INT(K108))*12</f>
        <v>3.53667201125063E-6</v>
      </c>
      <c r="O108" s="96" t="str">
        <f t="shared" ref="O108" si="252">IF($E108&gt;=O$31,MID($J$31,IF($E108&gt;O$31,INT(N108),ROUND(N108,0))+1,1),"")</f>
        <v>0</v>
      </c>
      <c r="P108" s="8">
        <f>(N108-INT(N108))*12</f>
        <v>4.244006413500756E-5</v>
      </c>
      <c r="Q108" s="96" t="str">
        <f t="shared" ref="Q108" si="253">IF($E108&gt;=Q$31,MID($J$31,IF($E108&gt;Q$31,INT(P108),ROUND(P108,0))+1,1),"")</f>
        <v>0</v>
      </c>
      <c r="R108" s="8">
        <f>(P108-INT(P108))*12</f>
        <v>5.0928076962009072E-4</v>
      </c>
      <c r="S108" s="96" t="str">
        <f t="shared" ref="S108" si="254">IF($E108&gt;=S$31,MID($J$31,IF($E108&gt;S$31,INT(R108),ROUND(R108,0))+1,1),"")</f>
        <v>0</v>
      </c>
      <c r="T108" s="8">
        <f>(R108-INT(R108))*12</f>
        <v>6.1113692354410887E-3</v>
      </c>
      <c r="U108" s="96" t="str">
        <f t="shared" ref="U108" si="255">IF($E108&gt;=U$31,MID($J$31,IF($E108&gt;U$31,INT(T108),ROUND(T108,0))+1,1),"")</f>
        <v>0</v>
      </c>
      <c r="V108" s="8">
        <f>(T108-INT(T108))*12</f>
        <v>7.3336430825293064E-2</v>
      </c>
      <c r="W108" s="96" t="str">
        <f t="shared" ref="W108" si="256">IF($E108&gt;=W$31,MID($J$31,IF($E108&gt;W$31,INT(V108),ROUND(V108,0))+1,1),"")</f>
        <v>0</v>
      </c>
      <c r="X108" s="8">
        <f>(V108-INT(V108))*12</f>
        <v>0.88003716990351677</v>
      </c>
      <c r="Y108" s="96" t="str">
        <f t="shared" ref="Y108" si="257">IF($E108&gt;=Y$31,MID($J$31,IF($E108&gt;Y$31,INT(X108),ROUND(X108,0))+1,1),"")</f>
        <v>0</v>
      </c>
      <c r="Z108" s="8">
        <f>(X108-INT(X108))*12</f>
        <v>10.560446038842201</v>
      </c>
      <c r="AA108" s="96" t="str">
        <f t="shared" ref="AA108" si="258">IF($E108&gt;=AA$31,MID($J$31,IF($E108&gt;AA$31,INT(Z108),ROUND(Z108,0))+1,1),"")</f>
        <v>X</v>
      </c>
      <c r="AB108" s="8">
        <f>(Z108-INT(Z108))*12</f>
        <v>6.7253524661064148</v>
      </c>
      <c r="AC108" s="96" t="str">
        <f t="shared" ref="AC108" si="259">IF($E108&gt;=AC$31,MID($J$31,IF($E108&gt;AC$31,INT(AB108),ROUND(AB108,0))+1,1),"")</f>
        <v>6</v>
      </c>
      <c r="AD108" s="8">
        <f>(AB108-INT(AB108))*12</f>
        <v>8.7042295932769775</v>
      </c>
      <c r="AE108" s="96" t="str">
        <f t="shared" ref="AE108" si="260">IF($E108&gt;=AE$31,MID($J$31,IF($E108&gt;AE$31,INT(AD108),ROUND(AD108,0))+1,1),"")</f>
        <v>8</v>
      </c>
      <c r="AF108" s="8">
        <f>(AD108-INT(AD108))*12</f>
        <v>8.4507551193237305</v>
      </c>
      <c r="AG108" s="96" t="str">
        <f t="shared" ref="AG108" si="261">IF($E108&gt;=AG$31,MID($J$31,IF($E108&gt;AG$31,INT(AF108),ROUND(AF108,0))+1,1),"")</f>
        <v>8</v>
      </c>
      <c r="AH108" s="8">
        <f>(AF108-INT(AF108))*12</f>
        <v>5.4090614318847656</v>
      </c>
      <c r="AI108" s="96" t="str">
        <f t="shared" ref="AI108" si="262">IF($E108&gt;=AI$31,MID($J$31,IF($E108&gt;AI$31,INT(AH108),ROUND(AH108,0))+1,1),"")</f>
        <v>5</v>
      </c>
      <c r="AJ108" s="8">
        <f>(AH108-INT(AH108))*12</f>
        <v>4.9087371826171875</v>
      </c>
      <c r="AK108" s="96" t="str">
        <f t="shared" ref="AK108" si="263">IF($E108&gt;=AK$31,MID($J$31,IF($E108&gt;AK$31,INT(AJ108),ROUND(AJ108,0))+1,1),"")</f>
        <v>5</v>
      </c>
    </row>
    <row r="109" spans="1:37" ht="12" thickBot="1" x14ac:dyDescent="0.25">
      <c r="B109" s="105" t="s">
        <v>205</v>
      </c>
      <c r="C109" s="33"/>
      <c r="D109" s="33"/>
      <c r="E109" s="33">
        <v>12</v>
      </c>
      <c r="F109" s="32">
        <f>F5/Clock!F5</f>
        <v>0.99999970527742921</v>
      </c>
      <c r="G109" s="47" t="str">
        <f t="shared" ref="G109" si="264">M109&amp;";"&amp;O109&amp;Q109&amp;S109&amp;U109&amp;W109&amp;Y109&amp;AA109&amp;AC109&amp;AE109&amp;AG109&amp;AI109&amp;AK109</f>
        <v>0;EEEEEE153368</v>
      </c>
      <c r="H109" s="47"/>
      <c r="I109" s="287"/>
      <c r="J109" s="48">
        <v>0</v>
      </c>
      <c r="K109" s="106">
        <f>F109/POWER(12,J109)+0.00000000000001</f>
        <v>0.9999997052774392</v>
      </c>
      <c r="L109" s="49" t="str">
        <f>INDEX(powers!$H$2:$H$75,33+J109)</f>
        <v xml:space="preserve"> </v>
      </c>
      <c r="M109" s="97" t="str">
        <f t="shared" ref="M109" si="265">IF($E109&gt;=M$31,MID($J$31,IF($E109&gt;M$31,INT(K109),ROUND(K109,0))+1,1),"")</f>
        <v>0</v>
      </c>
      <c r="N109" s="8">
        <f>(K109-INT(K109))*12</f>
        <v>11.999996463329271</v>
      </c>
      <c r="O109" s="96" t="str">
        <f t="shared" ref="O109" si="266">IF($E109&gt;=O$31,MID($J$31,IF($E109&gt;O$31,INT(N109),ROUND(N109,0))+1,1),"")</f>
        <v>E</v>
      </c>
      <c r="P109" s="8">
        <f>(N109-INT(N109))*12</f>
        <v>11.999957559951255</v>
      </c>
      <c r="Q109" s="96" t="str">
        <f t="shared" ref="Q109" si="267">IF($E109&gt;=Q$31,MID($J$31,IF($E109&gt;Q$31,INT(P109),ROUND(P109,0))+1,1),"")</f>
        <v>E</v>
      </c>
      <c r="R109" s="8">
        <f>(P109-INT(P109))*12</f>
        <v>11.999490719415064</v>
      </c>
      <c r="S109" s="96" t="str">
        <f t="shared" ref="S109" si="268">IF($E109&gt;=S$31,MID($J$31,IF($E109&gt;S$31,INT(R109),ROUND(R109,0))+1,1),"")</f>
        <v>E</v>
      </c>
      <c r="T109" s="8">
        <f>(R109-INT(R109))*12</f>
        <v>11.99388863298077</v>
      </c>
      <c r="U109" s="96" t="str">
        <f t="shared" ref="U109" si="269">IF($E109&gt;=U$31,MID($J$31,IF($E109&gt;U$31,INT(T109),ROUND(T109,0))+1,1),"")</f>
        <v>E</v>
      </c>
      <c r="V109" s="8">
        <f>(T109-INT(T109))*12</f>
        <v>11.926663595769242</v>
      </c>
      <c r="W109" s="96" t="str">
        <f t="shared" ref="W109" si="270">IF($E109&gt;=W$31,MID($J$31,IF($E109&gt;W$31,INT(V109),ROUND(V109,0))+1,1),"")</f>
        <v>E</v>
      </c>
      <c r="X109" s="8">
        <f>(V109-INT(V109))*12</f>
        <v>11.119963149230898</v>
      </c>
      <c r="Y109" s="96" t="str">
        <f t="shared" ref="Y109" si="271">IF($E109&gt;=Y$31,MID($J$31,IF($E109&gt;Y$31,INT(X109),ROUND(X109,0))+1,1),"")</f>
        <v>E</v>
      </c>
      <c r="Z109" s="8">
        <f>(X109-INT(X109))*12</f>
        <v>1.4395577907707775</v>
      </c>
      <c r="AA109" s="96" t="str">
        <f t="shared" ref="AA109" si="272">IF($E109&gt;=AA$31,MID($J$31,IF($E109&gt;AA$31,INT(Z109),ROUND(Z109,0))+1,1),"")</f>
        <v>1</v>
      </c>
      <c r="AB109" s="8">
        <f>(Z109-INT(Z109))*12</f>
        <v>5.27469348924933</v>
      </c>
      <c r="AC109" s="96" t="str">
        <f t="shared" ref="AC109" si="273">IF($E109&gt;=AC$31,MID($J$31,IF($E109&gt;AC$31,INT(AB109),ROUND(AB109,0))+1,1),"")</f>
        <v>5</v>
      </c>
      <c r="AD109" s="8">
        <f>(AB109-INT(AB109))*12</f>
        <v>3.2963218709919602</v>
      </c>
      <c r="AE109" s="96" t="str">
        <f t="shared" ref="AE109" si="274">IF($E109&gt;=AE$31,MID($J$31,IF($E109&gt;AE$31,INT(AD109),ROUND(AD109,0))+1,1),"")</f>
        <v>3</v>
      </c>
      <c r="AF109" s="8">
        <f>(AD109-INT(AD109))*12</f>
        <v>3.555862451903522</v>
      </c>
      <c r="AG109" s="96" t="str">
        <f t="shared" ref="AG109" si="275">IF($E109&gt;=AG$31,MID($J$31,IF($E109&gt;AG$31,INT(AF109),ROUND(AF109,0))+1,1),"")</f>
        <v>3</v>
      </c>
      <c r="AH109" s="8">
        <f>(AF109-INT(AF109))*12</f>
        <v>6.6703494228422642</v>
      </c>
      <c r="AI109" s="96" t="str">
        <f t="shared" ref="AI109" si="276">IF($E109&gt;=AI$31,MID($J$31,IF($E109&gt;AI$31,INT(AH109),ROUND(AH109,0))+1,1),"")</f>
        <v>6</v>
      </c>
      <c r="AJ109" s="8">
        <f>(AH109-INT(AH109))*12</f>
        <v>8.0441930741071701</v>
      </c>
      <c r="AK109" s="96" t="str">
        <f t="shared" ref="AK109" si="277">IF($E109&gt;=AK$31,MID($J$31,IF($E109&gt;AK$31,INT(AJ109),ROUND(AJ109,0))+1,1),"")</f>
        <v>8</v>
      </c>
    </row>
    <row r="110" spans="1:37" x14ac:dyDescent="0.2">
      <c r="F110" s="193"/>
      <c r="G110" s="234"/>
      <c r="H110" s="234"/>
      <c r="I110" s="292"/>
      <c r="J110" s="235"/>
      <c r="K110" s="236"/>
      <c r="L110" s="236"/>
      <c r="M110" s="237"/>
      <c r="O110" s="237"/>
      <c r="Q110" s="237"/>
      <c r="S110" s="237"/>
      <c r="U110" s="237"/>
      <c r="W110" s="237"/>
      <c r="Y110" s="237"/>
      <c r="AA110" s="237"/>
      <c r="AC110" s="237"/>
      <c r="AE110" s="237"/>
      <c r="AG110" s="237"/>
      <c r="AI110" s="237"/>
      <c r="AK110" s="237"/>
    </row>
    <row r="111" spans="1:37" ht="12" thickBot="1" x14ac:dyDescent="0.25">
      <c r="B111" s="14" t="s">
        <v>1376</v>
      </c>
      <c r="C111" s="54">
        <v>1.0249999999999999</v>
      </c>
      <c r="F111" s="193"/>
      <c r="G111" s="234"/>
      <c r="H111" s="234"/>
      <c r="I111" s="292"/>
      <c r="J111" s="235"/>
      <c r="K111" s="236"/>
      <c r="L111" s="236"/>
      <c r="M111" s="237"/>
      <c r="O111" s="237"/>
      <c r="Q111" s="237"/>
      <c r="S111" s="237"/>
      <c r="U111" s="237"/>
      <c r="W111" s="237"/>
      <c r="Y111" s="237"/>
      <c r="AA111" s="237"/>
      <c r="AC111" s="237"/>
      <c r="AE111" s="237"/>
      <c r="AG111" s="237"/>
      <c r="AI111" s="237"/>
      <c r="AK111" s="237"/>
    </row>
    <row r="112" spans="1:37" ht="14" x14ac:dyDescent="0.2">
      <c r="B112" s="245" t="s">
        <v>1375</v>
      </c>
      <c r="C112" s="143"/>
      <c r="D112" s="142">
        <f>POWER(10,7)</f>
        <v>10000000</v>
      </c>
      <c r="E112" s="143">
        <v>9</v>
      </c>
      <c r="F112" s="142">
        <f>D112/F3/C$111</f>
        <v>35821621.224770993</v>
      </c>
      <c r="G112" s="145" t="str">
        <f t="shared" ref="G112" si="278">M112&amp;";"&amp;O112&amp;Q112&amp;S112&amp;U112&amp;W112&amp;Y112&amp;AA112&amp;AC112&amp;AE112&amp;AG112&amp;AI112&amp;AK112</f>
        <v>0;EEE613128</v>
      </c>
      <c r="H112" s="145"/>
      <c r="I112" s="521"/>
      <c r="J112" s="146">
        <v>7</v>
      </c>
      <c r="K112" s="194">
        <f>F112/POWER(12,J112)+0.00000000000001</f>
        <v>0.999715705798919</v>
      </c>
      <c r="L112" s="147" t="str">
        <f>INDEX(powers!$H$2:$H$75,33+J112)</f>
        <v>unino cosmic</v>
      </c>
      <c r="M112" s="75" t="str">
        <f t="shared" ref="M112" si="279">IF($E112&gt;=M$31,MID($J$31,IF($E112&gt;M$31,INT(K112),ROUND(K112,0))+1,1),"")</f>
        <v>0</v>
      </c>
      <c r="N112" s="76">
        <f>(K112-INT(K112))*12</f>
        <v>11.996588469587028</v>
      </c>
      <c r="O112" s="77" t="str">
        <f t="shared" ref="O112" si="280">IF($E112&gt;=O$31,MID($J$31,IF($E112&gt;O$31,INT(N112),ROUND(N112,0))+1,1),"")</f>
        <v>E</v>
      </c>
      <c r="P112" s="76">
        <f>(N112-INT(N112))*12</f>
        <v>11.959061635044336</v>
      </c>
      <c r="Q112" s="77" t="str">
        <f t="shared" ref="Q112" si="281">IF($E112&gt;=Q$31,MID($J$31,IF($E112&gt;Q$31,INT(P112),ROUND(P112,0))+1,1),"")</f>
        <v>E</v>
      </c>
      <c r="R112" s="76">
        <f>(P112-INT(P112))*12</f>
        <v>11.508739620532026</v>
      </c>
      <c r="S112" s="77" t="str">
        <f t="shared" ref="S112" si="282">IF($E112&gt;=S$31,MID($J$31,IF($E112&gt;S$31,INT(R112),ROUND(R112,0))+1,1),"")</f>
        <v>E</v>
      </c>
      <c r="T112" s="76">
        <f>(R112-INT(R112))*12</f>
        <v>6.1048754463843125</v>
      </c>
      <c r="U112" s="77" t="str">
        <f t="shared" ref="U112" si="283">IF($E112&gt;=U$31,MID($J$31,IF($E112&gt;U$31,INT(T112),ROUND(T112,0))+1,1),"")</f>
        <v>6</v>
      </c>
      <c r="V112" s="76">
        <f>(T112-INT(T112))*12</f>
        <v>1.2585053566117494</v>
      </c>
      <c r="W112" s="77" t="str">
        <f t="shared" ref="W112" si="284">IF($E112&gt;=W$31,MID($J$31,IF($E112&gt;W$31,INT(V112),ROUND(V112,0))+1,1),"")</f>
        <v>1</v>
      </c>
      <c r="X112" s="76">
        <f>(V112-INT(V112))*12</f>
        <v>3.1020642793409934</v>
      </c>
      <c r="Y112" s="77" t="str">
        <f t="shared" ref="Y112" si="285">IF($E112&gt;=Y$31,MID($J$31,IF($E112&gt;Y$31,INT(X112),ROUND(X112,0))+1,1),"")</f>
        <v>3</v>
      </c>
      <c r="Z112" s="76">
        <f>(X112-INT(X112))*12</f>
        <v>1.2247713520919206</v>
      </c>
      <c r="AA112" s="77" t="str">
        <f t="shared" ref="AA112" si="286">IF($E112&gt;=AA$31,MID($J$31,IF($E112&gt;AA$31,INT(Z112),ROUND(Z112,0))+1,1),"")</f>
        <v>1</v>
      </c>
      <c r="AB112" s="76">
        <f>(Z112-INT(Z112))*12</f>
        <v>2.6972562251030467</v>
      </c>
      <c r="AC112" s="77" t="str">
        <f t="shared" ref="AC112" si="287">IF($E112&gt;=AC$31,MID($J$31,IF($E112&gt;AC$31,INT(AB112),ROUND(AB112,0))+1,1),"")</f>
        <v>2</v>
      </c>
      <c r="AD112" s="76">
        <f>(AB112-INT(AB112))*12</f>
        <v>8.3670747012365609</v>
      </c>
      <c r="AE112" s="77" t="str">
        <f t="shared" ref="AE112" si="288">IF($E112&gt;=AE$31,MID($J$31,IF($E112&gt;AE$31,INT(AD112),ROUND(AD112,0))+1,1),"")</f>
        <v>8</v>
      </c>
      <c r="AF112" s="76">
        <f>(AD112-INT(AD112))*12</f>
        <v>4.4048964148387313</v>
      </c>
      <c r="AG112" s="77" t="str">
        <f t="shared" ref="AG112" si="289">IF($E112&gt;=AG$31,MID($J$31,IF($E112&gt;AG$31,INT(AF112),ROUND(AF112,0))+1,1),"")</f>
        <v/>
      </c>
      <c r="AH112" s="76">
        <f>(AF112-INT(AF112))*12</f>
        <v>4.8587569780647755</v>
      </c>
      <c r="AI112" s="77" t="str">
        <f t="shared" ref="AI112" si="290">IF($E112&gt;=AI$31,MID($J$31,IF($E112&gt;AI$31,INT(AH112),ROUND(AH112,0))+1,1),"")</f>
        <v/>
      </c>
      <c r="AJ112" s="76">
        <f>(AH112-INT(AH112))*12</f>
        <v>10.305083736777306</v>
      </c>
      <c r="AK112" s="78" t="str">
        <f t="shared" ref="AK112" si="291">IF($E112&gt;=AK$31,MID($J$31,IF($E112&gt;AK$31,INT(AJ112),ROUND(AJ112,0))+1,1),"")</f>
        <v/>
      </c>
    </row>
    <row r="113" spans="2:39" ht="14" x14ac:dyDescent="0.2">
      <c r="B113" s="91" t="s">
        <v>1377</v>
      </c>
      <c r="C113" s="8"/>
      <c r="D113" s="21">
        <f>POWER(10,5)</f>
        <v>100000</v>
      </c>
      <c r="E113" s="8">
        <v>9</v>
      </c>
      <c r="F113" s="21">
        <f>D113/F4/C$111</f>
        <v>249756.02395221649</v>
      </c>
      <c r="G113" s="37" t="str">
        <f t="shared" ref="G113" si="292">M113&amp;";"&amp;O113&amp;Q113&amp;S113&amp;U113&amp;W113&amp;Y113&amp;AA113&amp;AC113&amp;AE113&amp;AG113&amp;AI113&amp;AK113</f>
        <v>1;006500355</v>
      </c>
      <c r="H113" s="37"/>
      <c r="I113" s="285"/>
      <c r="J113" s="38">
        <v>5</v>
      </c>
      <c r="K113" s="128">
        <f>F113/POWER(12,J113)+0.00000000000001</f>
        <v>1.0037134450240282</v>
      </c>
      <c r="L113" s="39" t="str">
        <f>INDEX(powers!$H$2:$H$75,33+J113)</f>
        <v>terno cosmic</v>
      </c>
      <c r="M113" s="75" t="str">
        <f t="shared" ref="M113" si="293">IF($E113&gt;=M$31,MID($J$31,IF($E113&gt;M$31,INT(K113),ROUND(K113,0))+1,1),"")</f>
        <v>1</v>
      </c>
      <c r="N113" s="76">
        <f>(K113-INT(K113))*12</f>
        <v>4.4561340288337803E-2</v>
      </c>
      <c r="O113" s="77" t="str">
        <f t="shared" ref="O113" si="294">IF($E113&gt;=O$31,MID($J$31,IF($E113&gt;O$31,INT(N113),ROUND(N113,0))+1,1),"")</f>
        <v>0</v>
      </c>
      <c r="P113" s="76">
        <f>(N113-INT(N113))*12</f>
        <v>0.53473608346005364</v>
      </c>
      <c r="Q113" s="77" t="str">
        <f t="shared" ref="Q113" si="295">IF($E113&gt;=Q$31,MID($J$31,IF($E113&gt;Q$31,INT(P113),ROUND(P113,0))+1,1),"")</f>
        <v>0</v>
      </c>
      <c r="R113" s="76">
        <f>(P113-INT(P113))*12</f>
        <v>6.4168330015206436</v>
      </c>
      <c r="S113" s="77" t="str">
        <f t="shared" ref="S113" si="296">IF($E113&gt;=S$31,MID($J$31,IF($E113&gt;S$31,INT(R113),ROUND(R113,0))+1,1),"")</f>
        <v>6</v>
      </c>
      <c r="T113" s="76">
        <f>(R113-INT(R113))*12</f>
        <v>5.0019960182477234</v>
      </c>
      <c r="U113" s="77" t="str">
        <f t="shared" ref="U113" si="297">IF($E113&gt;=U$31,MID($J$31,IF($E113&gt;U$31,INT(T113),ROUND(T113,0))+1,1),"")</f>
        <v>5</v>
      </c>
      <c r="V113" s="76">
        <f>(T113-INT(T113))*12</f>
        <v>2.3952218972681294E-2</v>
      </c>
      <c r="W113" s="77" t="str">
        <f t="shared" ref="W113" si="298">IF($E113&gt;=W$31,MID($J$31,IF($E113&gt;W$31,INT(V113),ROUND(V113,0))+1,1),"")</f>
        <v>0</v>
      </c>
      <c r="X113" s="76">
        <f>(V113-INT(V113))*12</f>
        <v>0.28742662767217553</v>
      </c>
      <c r="Y113" s="77" t="str">
        <f t="shared" ref="Y113" si="299">IF($E113&gt;=Y$31,MID($J$31,IF($E113&gt;Y$31,INT(X113),ROUND(X113,0))+1,1),"")</f>
        <v>0</v>
      </c>
      <c r="Z113" s="76">
        <f>(X113-INT(X113))*12</f>
        <v>3.4491195320661063</v>
      </c>
      <c r="AA113" s="77" t="str">
        <f t="shared" ref="AA113" si="300">IF($E113&gt;=AA$31,MID($J$31,IF($E113&gt;AA$31,INT(Z113),ROUND(Z113,0))+1,1),"")</f>
        <v>3</v>
      </c>
      <c r="AB113" s="76">
        <f>(Z113-INT(Z113))*12</f>
        <v>5.389434384793276</v>
      </c>
      <c r="AC113" s="77" t="str">
        <f t="shared" ref="AC113" si="301">IF($E113&gt;=AC$31,MID($J$31,IF($E113&gt;AC$31,INT(AB113),ROUND(AB113,0))+1,1),"")</f>
        <v>5</v>
      </c>
      <c r="AD113" s="76">
        <f>(AB113-INT(AB113))*12</f>
        <v>4.6732126175193116</v>
      </c>
      <c r="AE113" s="77" t="str">
        <f t="shared" ref="AE113" si="302">IF($E113&gt;=AE$31,MID($J$31,IF($E113&gt;AE$31,INT(AD113),ROUND(AD113,0))+1,1),"")</f>
        <v>5</v>
      </c>
      <c r="AF113" s="76">
        <f>(AD113-INT(AD113))*12</f>
        <v>8.0785514102317393</v>
      </c>
      <c r="AG113" s="77" t="str">
        <f t="shared" ref="AG113" si="303">IF($E113&gt;=AG$31,MID($J$31,IF($E113&gt;AG$31,INT(AF113),ROUND(AF113,0))+1,1),"")</f>
        <v/>
      </c>
      <c r="AH113" s="76">
        <f>(AF113-INT(AF113))*12</f>
        <v>0.94261692278087139</v>
      </c>
      <c r="AI113" s="77" t="str">
        <f t="shared" ref="AI113" si="304">IF($E113&gt;=AI$31,MID($J$31,IF($E113&gt;AI$31,INT(AH113),ROUND(AH113,0))+1,1),"")</f>
        <v/>
      </c>
      <c r="AJ113" s="76">
        <f>(AH113-INT(AH113))*12</f>
        <v>11.311403073370457</v>
      </c>
      <c r="AK113" s="78" t="str">
        <f t="shared" ref="AK113" si="305">IF($E113&gt;=AK$31,MID($J$31,IF($E113&gt;AK$31,INT(AJ113),ROUND(AJ113,0))+1,1),"")</f>
        <v/>
      </c>
    </row>
    <row r="114" spans="2:39" x14ac:dyDescent="0.2">
      <c r="B114" s="91" t="s">
        <v>1378</v>
      </c>
      <c r="C114" s="8"/>
      <c r="D114" s="21">
        <f>D41</f>
        <v>1.6021766339999999E-19</v>
      </c>
      <c r="E114" s="8">
        <v>9</v>
      </c>
      <c r="F114" s="21">
        <f>D114/F12/C$111</f>
        <v>5.4092880485318259E-18</v>
      </c>
      <c r="G114" s="37" t="str">
        <f t="shared" ref="G114" si="306">M114&amp;";"&amp;O114&amp;Q114&amp;S114&amp;U114&amp;W114&amp;Y114&amp;AA114&amp;AC114&amp;AE114&amp;AG114&amp;AI114&amp;AK114</f>
        <v>1;0001XE416</v>
      </c>
      <c r="H114" s="37"/>
      <c r="I114" s="285"/>
      <c r="J114" s="38">
        <v>-16</v>
      </c>
      <c r="K114" s="128">
        <f>F114/POWER(12,J114)+0.00000000000001</f>
        <v>1.0000922120025946</v>
      </c>
      <c r="L114" s="39" t="str">
        <f>INDEX(powers!$H$2:$H$75,33+J114)</f>
        <v>di-atomic</v>
      </c>
      <c r="M114" s="75" t="str">
        <f t="shared" ref="M114" si="307">IF($E114&gt;=M$31,MID($J$31,IF($E114&gt;M$31,INT(K114),ROUND(K114,0))+1,1),"")</f>
        <v>1</v>
      </c>
      <c r="N114" s="76">
        <f>(K114-INT(K114))*12</f>
        <v>1.1065440311348596E-3</v>
      </c>
      <c r="O114" s="77" t="str">
        <f t="shared" ref="O114" si="308">IF($E114&gt;=O$31,MID($J$31,IF($E114&gt;O$31,INT(N114),ROUND(N114,0))+1,1),"")</f>
        <v>0</v>
      </c>
      <c r="P114" s="76">
        <f>(N114-INT(N114))*12</f>
        <v>1.3278528373618315E-2</v>
      </c>
      <c r="Q114" s="77" t="str">
        <f t="shared" ref="Q114" si="309">IF($E114&gt;=Q$31,MID($J$31,IF($E114&gt;Q$31,INT(P114),ROUND(P114,0))+1,1),"")</f>
        <v>0</v>
      </c>
      <c r="R114" s="76">
        <f>(P114-INT(P114))*12</f>
        <v>0.15934234048341978</v>
      </c>
      <c r="S114" s="77" t="str">
        <f t="shared" ref="S114" si="310">IF($E114&gt;=S$31,MID($J$31,IF($E114&gt;S$31,INT(R114),ROUND(R114,0))+1,1),"")</f>
        <v>0</v>
      </c>
      <c r="T114" s="76">
        <f>(R114-INT(R114))*12</f>
        <v>1.9121080858010373</v>
      </c>
      <c r="U114" s="77" t="str">
        <f t="shared" ref="U114" si="311">IF($E114&gt;=U$31,MID($J$31,IF($E114&gt;U$31,INT(T114),ROUND(T114,0))+1,1),"")</f>
        <v>1</v>
      </c>
      <c r="V114" s="76">
        <f>(T114-INT(T114))*12</f>
        <v>10.945297029612448</v>
      </c>
      <c r="W114" s="77" t="str">
        <f t="shared" ref="W114" si="312">IF($E114&gt;=W$31,MID($J$31,IF($E114&gt;W$31,INT(V114),ROUND(V114,0))+1,1),"")</f>
        <v>X</v>
      </c>
      <c r="X114" s="76">
        <f>(V114-INT(V114))*12</f>
        <v>11.343564355349372</v>
      </c>
      <c r="Y114" s="77" t="str">
        <f t="shared" ref="Y114" si="313">IF($E114&gt;=Y$31,MID($J$31,IF($E114&gt;Y$31,INT(X114),ROUND(X114,0))+1,1),"")</f>
        <v>E</v>
      </c>
      <c r="Z114" s="76">
        <f>(X114-INT(X114))*12</f>
        <v>4.1227722641924629</v>
      </c>
      <c r="AA114" s="77" t="str">
        <f t="shared" ref="AA114" si="314">IF($E114&gt;=AA$31,MID($J$31,IF($E114&gt;AA$31,INT(Z114),ROUND(Z114,0))+1,1),"")</f>
        <v>4</v>
      </c>
      <c r="AB114" s="76">
        <f>(Z114-INT(Z114))*12</f>
        <v>1.4732671703095548</v>
      </c>
      <c r="AC114" s="77" t="str">
        <f t="shared" ref="AC114" si="315">IF($E114&gt;=AC$31,MID($J$31,IF($E114&gt;AC$31,INT(AB114),ROUND(AB114,0))+1,1),"")</f>
        <v>1</v>
      </c>
      <c r="AD114" s="76">
        <f>(AB114-INT(AB114))*12</f>
        <v>5.6792060437146574</v>
      </c>
      <c r="AE114" s="77" t="str">
        <f t="shared" ref="AE114" si="316">IF($E114&gt;=AE$31,MID($J$31,IF($E114&gt;AE$31,INT(AD114),ROUND(AD114,0))+1,1),"")</f>
        <v>6</v>
      </c>
      <c r="AF114" s="76">
        <f>(AD114-INT(AD114))*12</f>
        <v>8.1504725245758891</v>
      </c>
      <c r="AG114" s="77" t="str">
        <f t="shared" ref="AG114" si="317">IF($E114&gt;=AG$31,MID($J$31,IF($E114&gt;AG$31,INT(AF114),ROUND(AF114,0))+1,1),"")</f>
        <v/>
      </c>
      <c r="AH114" s="76">
        <f>(AF114-INT(AF114))*12</f>
        <v>1.8056702949106693</v>
      </c>
      <c r="AI114" s="77" t="str">
        <f t="shared" ref="AI114" si="318">IF($E114&gt;=AI$31,MID($J$31,IF($E114&gt;AI$31,INT(AH114),ROUND(AH114,0))+1,1),"")</f>
        <v/>
      </c>
      <c r="AJ114" s="76">
        <f>(AH114-INT(AH114))*12</f>
        <v>9.6680435389280319</v>
      </c>
      <c r="AK114" s="78" t="str">
        <f t="shared" ref="AK114" si="319">IF($E114&gt;=AK$31,MID($J$31,IF($E114&gt;AK$31,INT(AJ114),ROUND(AJ114,0))+1,1),"")</f>
        <v/>
      </c>
    </row>
    <row r="115" spans="2:39" ht="12" thickBot="1" x14ac:dyDescent="0.25">
      <c r="B115" s="522" t="s">
        <v>1379</v>
      </c>
      <c r="C115" s="33"/>
      <c r="D115" s="32">
        <f>D55</f>
        <v>916.8</v>
      </c>
      <c r="E115" s="33">
        <v>9</v>
      </c>
      <c r="F115" s="32">
        <f>D115/(F8/POWER(F3,3)/C$111)</f>
        <v>144.00555688998193</v>
      </c>
      <c r="G115" s="47" t="str">
        <f t="shared" ref="G115" si="320">M115&amp;";"&amp;O115&amp;Q115&amp;S115&amp;U115&amp;W115&amp;Y115&amp;AA115&amp;AC115&amp;AE115&amp;AG115&amp;AI115&amp;AK115</f>
        <v>1;000097289</v>
      </c>
      <c r="H115" s="47"/>
      <c r="I115" s="287"/>
      <c r="J115" s="48">
        <v>2</v>
      </c>
      <c r="K115" s="106">
        <f>F115/POWER(12,J115)+0.00000000000001</f>
        <v>1.0000385895137733</v>
      </c>
      <c r="L115" s="49" t="str">
        <f>INDEX(powers!$H$2:$H$75,33+J115)</f>
        <v>gross</v>
      </c>
      <c r="M115" s="75" t="str">
        <f t="shared" ref="M115" si="321">IF($E115&gt;=M$31,MID($J$31,IF($E115&gt;M$31,INT(K115),ROUND(K115,0))+1,1),"")</f>
        <v>1</v>
      </c>
      <c r="N115" s="76">
        <f>(K115-INT(K115))*12</f>
        <v>4.6307416528001966E-4</v>
      </c>
      <c r="O115" s="77" t="str">
        <f t="shared" ref="O115" si="322">IF($E115&gt;=O$31,MID($J$31,IF($E115&gt;O$31,INT(N115),ROUND(N115,0))+1,1),"")</f>
        <v>0</v>
      </c>
      <c r="P115" s="76">
        <f>(N115-INT(N115))*12</f>
        <v>5.5568899833602359E-3</v>
      </c>
      <c r="Q115" s="77" t="str">
        <f t="shared" ref="Q115" si="323">IF($E115&gt;=Q$31,MID($J$31,IF($E115&gt;Q$31,INT(P115),ROUND(P115,0))+1,1),"")</f>
        <v>0</v>
      </c>
      <c r="R115" s="76">
        <f>(P115-INT(P115))*12</f>
        <v>6.668267980032283E-2</v>
      </c>
      <c r="S115" s="77" t="str">
        <f t="shared" ref="S115" si="324">IF($E115&gt;=S$31,MID($J$31,IF($E115&gt;S$31,INT(R115),ROUND(R115,0))+1,1),"")</f>
        <v>0</v>
      </c>
      <c r="T115" s="76">
        <f>(R115-INT(R115))*12</f>
        <v>0.80019215760387397</v>
      </c>
      <c r="U115" s="77" t="str">
        <f t="shared" ref="U115" si="325">IF($E115&gt;=U$31,MID($J$31,IF($E115&gt;U$31,INT(T115),ROUND(T115,0))+1,1),"")</f>
        <v>0</v>
      </c>
      <c r="V115" s="76">
        <f>(T115-INT(T115))*12</f>
        <v>9.6023058912464876</v>
      </c>
      <c r="W115" s="77" t="str">
        <f t="shared" ref="W115" si="326">IF($E115&gt;=W$31,MID($J$31,IF($E115&gt;W$31,INT(V115),ROUND(V115,0))+1,1),"")</f>
        <v>9</v>
      </c>
      <c r="X115" s="76">
        <f>(V115-INT(V115))*12</f>
        <v>7.2276706949578511</v>
      </c>
      <c r="Y115" s="77" t="str">
        <f t="shared" ref="Y115" si="327">IF($E115&gt;=Y$31,MID($J$31,IF($E115&gt;Y$31,INT(X115),ROUND(X115,0))+1,1),"")</f>
        <v>7</v>
      </c>
      <c r="Z115" s="76">
        <f>(X115-INT(X115))*12</f>
        <v>2.732048339494213</v>
      </c>
      <c r="AA115" s="77" t="str">
        <f t="shared" ref="AA115" si="328">IF($E115&gt;=AA$31,MID($J$31,IF($E115&gt;AA$31,INT(Z115),ROUND(Z115,0))+1,1),"")</f>
        <v>2</v>
      </c>
      <c r="AB115" s="76">
        <f>(Z115-INT(Z115))*12</f>
        <v>8.784580073930556</v>
      </c>
      <c r="AC115" s="77" t="str">
        <f t="shared" ref="AC115" si="329">IF($E115&gt;=AC$31,MID($J$31,IF($E115&gt;AC$31,INT(AB115),ROUND(AB115,0))+1,1),"")</f>
        <v>8</v>
      </c>
      <c r="AD115" s="76">
        <f>(AB115-INT(AB115))*12</f>
        <v>9.4149608871666715</v>
      </c>
      <c r="AE115" s="77" t="str">
        <f t="shared" ref="AE115" si="330">IF($E115&gt;=AE$31,MID($J$31,IF($E115&gt;AE$31,INT(AD115),ROUND(AD115,0))+1,1),"")</f>
        <v>9</v>
      </c>
      <c r="AF115" s="76">
        <f>(AD115-INT(AD115))*12</f>
        <v>4.9795306460000575</v>
      </c>
      <c r="AG115" s="77" t="str">
        <f t="shared" ref="AG115" si="331">IF($E115&gt;=AG$31,MID($J$31,IF($E115&gt;AG$31,INT(AF115),ROUND(AF115,0))+1,1),"")</f>
        <v/>
      </c>
      <c r="AH115" s="76">
        <f>(AF115-INT(AF115))*12</f>
        <v>11.75436775200069</v>
      </c>
      <c r="AI115" s="77" t="str">
        <f t="shared" ref="AI115" si="332">IF($E115&gt;=AI$31,MID($J$31,IF($E115&gt;AI$31,INT(AH115),ROUND(AH115,0))+1,1),"")</f>
        <v/>
      </c>
      <c r="AJ115" s="76">
        <f>(AH115-INT(AH115))*12</f>
        <v>9.0524130240082741</v>
      </c>
      <c r="AK115" s="78" t="str">
        <f t="shared" ref="AK115" si="333">IF($E115&gt;=AK$31,MID($J$31,IF($E115&gt;AK$31,INT(AJ115),ROUND(AJ115,0))+1,1),"")</f>
        <v/>
      </c>
    </row>
    <row r="116" spans="2:39" x14ac:dyDescent="0.2">
      <c r="F116" s="193"/>
      <c r="G116" s="234"/>
      <c r="H116" s="234"/>
      <c r="I116" s="292"/>
      <c r="J116" s="235"/>
      <c r="K116" s="236"/>
      <c r="L116" s="236"/>
      <c r="M116" s="237"/>
      <c r="O116" s="237"/>
      <c r="Q116" s="237"/>
      <c r="S116" s="237"/>
      <c r="U116" s="237"/>
      <c r="W116" s="237"/>
      <c r="Y116" s="237"/>
      <c r="AA116" s="237"/>
      <c r="AC116" s="237"/>
      <c r="AE116" s="237"/>
      <c r="AG116" s="237"/>
      <c r="AI116" s="237"/>
      <c r="AK116" s="237"/>
    </row>
    <row r="117" spans="2:39" ht="12" thickBot="1" x14ac:dyDescent="0.25">
      <c r="B117" s="14" t="s">
        <v>1077</v>
      </c>
      <c r="C117" s="54" t="s">
        <v>1764</v>
      </c>
      <c r="D117" s="238">
        <f>AM118</f>
        <v>-74.360505124985394</v>
      </c>
      <c r="F117" s="232"/>
      <c r="G117" s="193"/>
      <c r="H117" s="193"/>
    </row>
    <row r="118" spans="2:39" x14ac:dyDescent="0.2">
      <c r="B118" s="98" t="s">
        <v>616</v>
      </c>
      <c r="C118" s="240" t="s">
        <v>596</v>
      </c>
      <c r="D118" s="242">
        <v>-273.14999999999998</v>
      </c>
      <c r="E118" s="99">
        <v>9</v>
      </c>
      <c r="F118" s="225">
        <f t="shared" ref="F118:F140" si="334">(D118-D$117)/F$6/20736</f>
        <v>-164.19058641975303</v>
      </c>
      <c r="G118" s="239" t="str">
        <f>"-"&amp;M118&amp;";"&amp;O118&amp;Q118&amp;S118&amp;U118&amp;W118&amp;Y118&amp;AA118&amp;AC118&amp;AE118&amp;AG118&amp;AI118&amp;AK118</f>
        <v>-1;182354000</v>
      </c>
      <c r="H118" s="239"/>
      <c r="I118" s="290"/>
      <c r="J118" s="226">
        <v>2</v>
      </c>
      <c r="K118" s="227">
        <f>-F118/POWER(12,J118)+0.00000000000001</f>
        <v>1.1402124056927394</v>
      </c>
      <c r="L118" s="104" t="str">
        <f>INDEX(powers!$H$2:$H$75,33+J118)</f>
        <v>gross</v>
      </c>
      <c r="M118" s="97" t="str">
        <f t="shared" ref="M118:M140" si="335">IF($E118&gt;=M$31,MID($J$31,IF($E118&gt;M$31,INT(K118),ROUND(K118,0))+1,1),"")</f>
        <v>1</v>
      </c>
      <c r="N118" s="8">
        <f t="shared" ref="N118:N140" si="336">(K118-INT(K118))*12</f>
        <v>1.6825488683128729</v>
      </c>
      <c r="O118" s="96" t="str">
        <f t="shared" ref="O118:O140" si="337">IF($E118&gt;=O$31,MID($J$31,IF($E118&gt;O$31,INT(N118),ROUND(N118,0))+1,1),"")</f>
        <v>1</v>
      </c>
      <c r="P118" s="8">
        <f t="shared" ref="P118:P140" si="338">(N118-INT(N118))*12</f>
        <v>8.1905864197544744</v>
      </c>
      <c r="Q118" s="96" t="str">
        <f t="shared" ref="Q118:Q140" si="339">IF($E118&gt;=Q$31,MID($J$31,IF($E118&gt;Q$31,INT(P118),ROUND(P118,0))+1,1),"")</f>
        <v>8</v>
      </c>
      <c r="R118" s="8">
        <f t="shared" ref="R118:R140" si="340">(P118-INT(P118))*12</f>
        <v>2.2870370370536932</v>
      </c>
      <c r="S118" s="96" t="str">
        <f t="shared" ref="S118:S140" si="341">IF($E118&gt;=S$31,MID($J$31,IF($E118&gt;S$31,INT(R118),ROUND(R118,0))+1,1),"")</f>
        <v>2</v>
      </c>
      <c r="T118" s="8">
        <f t="shared" ref="T118:T140" si="342">(R118-INT(R118))*12</f>
        <v>3.4444444446443185</v>
      </c>
      <c r="U118" s="96" t="str">
        <f t="shared" ref="U118:U140" si="343">IF($E118&gt;=U$31,MID($J$31,IF($E118&gt;U$31,INT(T118),ROUND(T118,0))+1,1),"")</f>
        <v>3</v>
      </c>
      <c r="V118" s="8">
        <f t="shared" ref="V118:V140" si="344">(T118-INT(T118))*12</f>
        <v>5.3333333357318224</v>
      </c>
      <c r="W118" s="96" t="str">
        <f t="shared" ref="W118:W140" si="345">IF($E118&gt;=W$31,MID($J$31,IF($E118&gt;W$31,INT(V118),ROUND(V118,0))+1,1),"")</f>
        <v>5</v>
      </c>
      <c r="X118" s="8">
        <f t="shared" ref="X118:X140" si="346">(V118-INT(V118))*12</f>
        <v>4.0000000287818693</v>
      </c>
      <c r="Y118" s="96" t="str">
        <f t="shared" ref="Y118:Y140" si="347">IF($E118&gt;=Y$31,MID($J$31,IF($E118&gt;Y$31,INT(X118),ROUND(X118,0))+1,1),"")</f>
        <v>4</v>
      </c>
      <c r="Z118" s="8">
        <f t="shared" ref="Z118:Z140" si="348">(X118-INT(X118))*12</f>
        <v>3.4538243198767304E-7</v>
      </c>
      <c r="AA118" s="96" t="str">
        <f t="shared" ref="AA118:AA140" si="349">IF($E118&gt;=AA$31,MID($J$31,IF($E118&gt;AA$31,INT(Z118),ROUND(Z118,0))+1,1),"")</f>
        <v>0</v>
      </c>
      <c r="AB118" s="8">
        <f t="shared" ref="AB118:AB140" si="350">(Z118-INT(Z118))*12</f>
        <v>4.1445891838520765E-6</v>
      </c>
      <c r="AC118" s="96" t="str">
        <f t="shared" ref="AC118:AC140" si="351">IF($E118&gt;=AC$31,MID($J$31,IF($E118&gt;AC$31,INT(AB118),ROUND(AB118,0))+1,1),"")</f>
        <v>0</v>
      </c>
      <c r="AD118" s="8">
        <f t="shared" ref="AD118:AD140" si="352">(AB118-INT(AB118))*12</f>
        <v>4.9735070206224918E-5</v>
      </c>
      <c r="AE118" s="96" t="str">
        <f t="shared" ref="AE118:AE140" si="353">IF($E118&gt;=AE$31,MID($J$31,IF($E118&gt;AE$31,INT(AD118),ROUND(AD118,0))+1,1),"")</f>
        <v>0</v>
      </c>
      <c r="AF118" s="8">
        <f t="shared" ref="AF118:AF140" si="354">(AD118-INT(AD118))*12</f>
        <v>5.9682084247469902E-4</v>
      </c>
      <c r="AG118" s="96" t="str">
        <f t="shared" ref="AG118:AG140" si="355">IF($E118&gt;=AG$31,MID($J$31,IF($E118&gt;AG$31,INT(AF118),ROUND(AF118,0))+1,1),"")</f>
        <v/>
      </c>
      <c r="AH118" s="8">
        <f t="shared" ref="AH118:AH140" si="356">(AF118-INT(AF118))*12</f>
        <v>7.1618501096963882E-3</v>
      </c>
      <c r="AI118" s="96" t="str">
        <f t="shared" ref="AI118:AI140" si="357">IF($E118&gt;=AI$31,MID($J$31,IF($E118&gt;AI$31,INT(AH118),ROUND(AH118,0))+1,1),"")</f>
        <v/>
      </c>
      <c r="AJ118" s="8">
        <f t="shared" ref="AJ118:AJ140" si="358">(AH118-INT(AH118))*12</f>
        <v>8.5942201316356659E-2</v>
      </c>
      <c r="AK118" s="96" t="str">
        <f t="shared" ref="AK118:AK140" si="359">IF($E118&gt;=AK$31,MID($J$31,IF($E118&gt;AK$31,INT(AJ118),ROUND(AJ118,0))+1,1),"")</f>
        <v/>
      </c>
      <c r="AL118" s="238">
        <f>-(144*1+1*12+8+2/12+3/144+5/1728+4/20736)</f>
        <v>-164.19058641975306</v>
      </c>
      <c r="AM118" s="238">
        <f>-AL118*F$6*20736+D118</f>
        <v>-74.360505124985394</v>
      </c>
    </row>
    <row r="119" spans="2:39" x14ac:dyDescent="0.2">
      <c r="B119" s="126" t="s">
        <v>614</v>
      </c>
      <c r="C119" s="10" t="s">
        <v>615</v>
      </c>
      <c r="D119" s="198">
        <v>-89.4</v>
      </c>
      <c r="E119" s="8">
        <v>9</v>
      </c>
      <c r="F119" s="228">
        <f t="shared" si="334"/>
        <v>-12.421901290800482</v>
      </c>
      <c r="G119" s="229" t="str">
        <f>"-"&amp;M119&amp;";"&amp;O119&amp;Q119&amp;S119&amp;U119&amp;W119&amp;Y119&amp;AA119&amp;AC119&amp;AE119&amp;AG119&amp;AI119&amp;AK119</f>
        <v>-1;050906661</v>
      </c>
      <c r="H119" s="229"/>
      <c r="I119" s="291"/>
      <c r="J119" s="230">
        <v>1</v>
      </c>
      <c r="K119" s="231">
        <f>-F119/POWER(12,J119)+0.00000000000001</f>
        <v>1.0351584409000503</v>
      </c>
      <c r="L119" s="39" t="str">
        <f>INDEX(powers!$H$2:$H$75,33+J119)</f>
        <v>dozen</v>
      </c>
      <c r="M119" s="97" t="str">
        <f t="shared" si="335"/>
        <v>1</v>
      </c>
      <c r="N119" s="8">
        <f t="shared" si="336"/>
        <v>0.42190129080060323</v>
      </c>
      <c r="O119" s="96" t="str">
        <f t="shared" si="337"/>
        <v>0</v>
      </c>
      <c r="P119" s="8">
        <f t="shared" si="338"/>
        <v>5.0628154896072388</v>
      </c>
      <c r="Q119" s="96" t="str">
        <f t="shared" si="339"/>
        <v>5</v>
      </c>
      <c r="R119" s="8">
        <f t="shared" si="340"/>
        <v>0.7537858752868658</v>
      </c>
      <c r="S119" s="96" t="str">
        <f t="shared" si="341"/>
        <v>0</v>
      </c>
      <c r="T119" s="8">
        <f t="shared" si="342"/>
        <v>9.0454305034423896</v>
      </c>
      <c r="U119" s="96" t="str">
        <f t="shared" si="343"/>
        <v>9</v>
      </c>
      <c r="V119" s="8">
        <f t="shared" si="344"/>
        <v>0.54516604130867563</v>
      </c>
      <c r="W119" s="96" t="str">
        <f t="shared" si="345"/>
        <v>0</v>
      </c>
      <c r="X119" s="8">
        <f t="shared" si="346"/>
        <v>6.5419924957041076</v>
      </c>
      <c r="Y119" s="96" t="str">
        <f t="shared" si="347"/>
        <v>6</v>
      </c>
      <c r="Z119" s="8">
        <f t="shared" si="348"/>
        <v>6.5039099484492908</v>
      </c>
      <c r="AA119" s="96" t="str">
        <f t="shared" si="349"/>
        <v>6</v>
      </c>
      <c r="AB119" s="8">
        <f t="shared" si="350"/>
        <v>6.0469193813914899</v>
      </c>
      <c r="AC119" s="96" t="str">
        <f t="shared" si="351"/>
        <v>6</v>
      </c>
      <c r="AD119" s="8">
        <f t="shared" si="352"/>
        <v>0.56303257669787854</v>
      </c>
      <c r="AE119" s="96" t="str">
        <f t="shared" si="353"/>
        <v>1</v>
      </c>
      <c r="AF119" s="8">
        <f t="shared" si="354"/>
        <v>6.7563909203745425</v>
      </c>
      <c r="AG119" s="96" t="str">
        <f t="shared" si="355"/>
        <v/>
      </c>
      <c r="AH119" s="8">
        <f t="shared" si="356"/>
        <v>9.0766910444945097</v>
      </c>
      <c r="AI119" s="96" t="str">
        <f t="shared" si="357"/>
        <v/>
      </c>
      <c r="AJ119" s="8">
        <f t="shared" si="358"/>
        <v>0.92029253393411636</v>
      </c>
      <c r="AK119" s="96" t="str">
        <f t="shared" si="359"/>
        <v/>
      </c>
    </row>
    <row r="120" spans="2:39" x14ac:dyDescent="0.2">
      <c r="B120" s="126"/>
      <c r="C120" s="9" t="s">
        <v>597</v>
      </c>
      <c r="D120" s="198">
        <v>-78</v>
      </c>
      <c r="E120" s="8">
        <v>9</v>
      </c>
      <c r="F120" s="228">
        <f t="shared" si="334"/>
        <v>-3.0060481725960728</v>
      </c>
      <c r="G120" s="229" t="str">
        <f>"-"&amp;M120&amp;";"&amp;O120&amp;Q120&amp;S120&amp;U120&amp;W120&amp;Y120&amp;AA120&amp;AC120&amp;AE120&amp;AG120&amp;AI120&amp;AK120</f>
        <v>-3;00X54E8E6</v>
      </c>
      <c r="H120" s="229"/>
      <c r="I120" s="291"/>
      <c r="J120" s="230">
        <v>0</v>
      </c>
      <c r="K120" s="231">
        <f>-F120/POWER(12,J120)+0.00000000000001</f>
        <v>3.006048172596083</v>
      </c>
      <c r="L120" s="39" t="str">
        <f>INDEX(powers!$H$2:$H$75,33+J120)</f>
        <v xml:space="preserve"> </v>
      </c>
      <c r="M120" s="97" t="str">
        <f t="shared" ref="M120" si="360">IF($E120&gt;=M$31,MID($J$31,IF($E120&gt;M$31,INT(K120),ROUND(K120,0))+1,1),"")</f>
        <v>3</v>
      </c>
      <c r="N120" s="8">
        <f t="shared" ref="N120" si="361">(K120-INT(K120))*12</f>
        <v>7.2578071152996415E-2</v>
      </c>
      <c r="O120" s="96" t="str">
        <f t="shared" ref="O120" si="362">IF($E120&gt;=O$31,MID($J$31,IF($E120&gt;O$31,INT(N120),ROUND(N120,0))+1,1),"")</f>
        <v>0</v>
      </c>
      <c r="P120" s="8">
        <f t="shared" ref="P120" si="363">(N120-INT(N120))*12</f>
        <v>0.87093685383595698</v>
      </c>
      <c r="Q120" s="96" t="str">
        <f t="shared" ref="Q120" si="364">IF($E120&gt;=Q$31,MID($J$31,IF($E120&gt;Q$31,INT(P120),ROUND(P120,0))+1,1),"")</f>
        <v>0</v>
      </c>
      <c r="R120" s="8">
        <f t="shared" ref="R120" si="365">(P120-INT(P120))*12</f>
        <v>10.451242246031484</v>
      </c>
      <c r="S120" s="96" t="str">
        <f t="shared" ref="S120" si="366">IF($E120&gt;=S$31,MID($J$31,IF($E120&gt;S$31,INT(R120),ROUND(R120,0))+1,1),"")</f>
        <v>X</v>
      </c>
      <c r="T120" s="8">
        <f t="shared" ref="T120" si="367">(R120-INT(R120))*12</f>
        <v>5.4149069523778053</v>
      </c>
      <c r="U120" s="96" t="str">
        <f t="shared" ref="U120" si="368">IF($E120&gt;=U$31,MID($J$31,IF($E120&gt;U$31,INT(T120),ROUND(T120,0))+1,1),"")</f>
        <v>5</v>
      </c>
      <c r="V120" s="8">
        <f t="shared" ref="V120" si="369">(T120-INT(T120))*12</f>
        <v>4.9788834285336634</v>
      </c>
      <c r="W120" s="96" t="str">
        <f t="shared" ref="W120" si="370">IF($E120&gt;=W$31,MID($J$31,IF($E120&gt;W$31,INT(V120),ROUND(V120,0))+1,1),"")</f>
        <v>4</v>
      </c>
      <c r="X120" s="8">
        <f t="shared" ref="X120" si="371">(V120-INT(V120))*12</f>
        <v>11.746601142403961</v>
      </c>
      <c r="Y120" s="96" t="str">
        <f t="shared" ref="Y120" si="372">IF($E120&gt;=Y$31,MID($J$31,IF($E120&gt;Y$31,INT(X120),ROUND(X120,0))+1,1),"")</f>
        <v>E</v>
      </c>
      <c r="Z120" s="8">
        <f t="shared" ref="Z120" si="373">(X120-INT(X120))*12</f>
        <v>8.9592137088475283</v>
      </c>
      <c r="AA120" s="96" t="str">
        <f t="shared" ref="AA120" si="374">IF($E120&gt;=AA$31,MID($J$31,IF($E120&gt;AA$31,INT(Z120),ROUND(Z120,0))+1,1),"")</f>
        <v>8</v>
      </c>
      <c r="AB120" s="8">
        <f t="shared" ref="AB120" si="375">(Z120-INT(Z120))*12</f>
        <v>11.51056450617034</v>
      </c>
      <c r="AC120" s="96" t="str">
        <f t="shared" ref="AC120" si="376">IF($E120&gt;=AC$31,MID($J$31,IF($E120&gt;AC$31,INT(AB120),ROUND(AB120,0))+1,1),"")</f>
        <v>E</v>
      </c>
      <c r="AD120" s="8">
        <f t="shared" ref="AD120" si="377">(AB120-INT(AB120))*12</f>
        <v>6.1267740740440786</v>
      </c>
      <c r="AE120" s="96" t="str">
        <f t="shared" ref="AE120" si="378">IF($E120&gt;=AE$31,MID($J$31,IF($E120&gt;AE$31,INT(AD120),ROUND(AD120,0))+1,1),"")</f>
        <v>6</v>
      </c>
      <c r="AF120" s="8">
        <f t="shared" ref="AF120" si="379">(AD120-INT(AD120))*12</f>
        <v>1.5212888885289431</v>
      </c>
      <c r="AG120" s="96" t="str">
        <f t="shared" ref="AG120" si="380">IF($E120&gt;=AG$31,MID($J$31,IF($E120&gt;AG$31,INT(AF120),ROUND(AF120,0))+1,1),"")</f>
        <v/>
      </c>
      <c r="AH120" s="8">
        <f t="shared" ref="AH120" si="381">(AF120-INT(AF120))*12</f>
        <v>6.2554666623473167</v>
      </c>
      <c r="AI120" s="96" t="str">
        <f t="shared" ref="AI120" si="382">IF($E120&gt;=AI$31,MID($J$31,IF($E120&gt;AI$31,INT(AH120),ROUND(AH120,0))+1,1),"")</f>
        <v/>
      </c>
      <c r="AJ120" s="8">
        <f t="shared" ref="AJ120" si="383">(AH120-INT(AH120))*12</f>
        <v>3.0655999481678009</v>
      </c>
      <c r="AK120" s="96" t="str">
        <f t="shared" ref="AK120" si="384">IF($E120&gt;=AK$31,MID($J$31,IF($E120&gt;AK$31,INT(AJ120),ROUND(AJ120,0))+1,1),"")</f>
        <v/>
      </c>
    </row>
    <row r="121" spans="2:39" x14ac:dyDescent="0.2">
      <c r="B121" s="126"/>
      <c r="C121" s="9" t="s">
        <v>598</v>
      </c>
      <c r="D121" s="198">
        <v>-55</v>
      </c>
      <c r="E121" s="8">
        <v>9</v>
      </c>
      <c r="F121" s="127">
        <f t="shared" si="334"/>
        <v>15.990848469395273</v>
      </c>
      <c r="G121" s="37" t="str">
        <f t="shared" ref="G121:G140" si="385">M121&amp;";"&amp;O121&amp;Q121&amp;S121&amp;U121&amp;W121&amp;Y121&amp;AA121&amp;AC121&amp;AE121&amp;AG121&amp;AI121&amp;AK121</f>
        <v>1;3EX822981</v>
      </c>
      <c r="H121" s="37"/>
      <c r="I121" s="285"/>
      <c r="J121" s="38">
        <v>1</v>
      </c>
      <c r="K121" s="128">
        <f t="shared" ref="K121:K140" si="386">F121/POWER(12,J121)+0.00000000000001</f>
        <v>1.3325707057829494</v>
      </c>
      <c r="L121" s="39" t="str">
        <f>INDEX(powers!$H$2:$H$75,33+J121)</f>
        <v>dozen</v>
      </c>
      <c r="M121" s="97" t="str">
        <f t="shared" si="335"/>
        <v>1</v>
      </c>
      <c r="N121" s="8">
        <f t="shared" si="336"/>
        <v>3.9908484693953934</v>
      </c>
      <c r="O121" s="96" t="str">
        <f t="shared" si="337"/>
        <v>3</v>
      </c>
      <c r="P121" s="8">
        <f t="shared" si="338"/>
        <v>11.890181632744721</v>
      </c>
      <c r="Q121" s="96" t="str">
        <f t="shared" si="339"/>
        <v>E</v>
      </c>
      <c r="R121" s="8">
        <f t="shared" si="340"/>
        <v>10.682179592936649</v>
      </c>
      <c r="S121" s="96" t="str">
        <f t="shared" si="341"/>
        <v>X</v>
      </c>
      <c r="T121" s="8">
        <f t="shared" si="342"/>
        <v>8.1861551152397851</v>
      </c>
      <c r="U121" s="96" t="str">
        <f t="shared" si="343"/>
        <v>8</v>
      </c>
      <c r="V121" s="8">
        <f t="shared" si="344"/>
        <v>2.2338613828774214</v>
      </c>
      <c r="W121" s="96" t="str">
        <f t="shared" si="345"/>
        <v>2</v>
      </c>
      <c r="X121" s="8">
        <f t="shared" si="346"/>
        <v>2.806336594529057</v>
      </c>
      <c r="Y121" s="96" t="str">
        <f t="shared" si="347"/>
        <v>2</v>
      </c>
      <c r="Z121" s="8">
        <f t="shared" si="348"/>
        <v>9.6760391343486845</v>
      </c>
      <c r="AA121" s="96" t="str">
        <f t="shared" si="349"/>
        <v>9</v>
      </c>
      <c r="AB121" s="8">
        <f t="shared" si="350"/>
        <v>8.1124696121842135</v>
      </c>
      <c r="AC121" s="96" t="str">
        <f t="shared" si="351"/>
        <v>8</v>
      </c>
      <c r="AD121" s="8">
        <f t="shared" si="352"/>
        <v>1.3496353462105617</v>
      </c>
      <c r="AE121" s="96" t="str">
        <f t="shared" si="353"/>
        <v>1</v>
      </c>
      <c r="AF121" s="8">
        <f t="shared" si="354"/>
        <v>4.1956241545267403</v>
      </c>
      <c r="AG121" s="96" t="str">
        <f t="shared" si="355"/>
        <v/>
      </c>
      <c r="AH121" s="8">
        <f t="shared" si="356"/>
        <v>2.3474898543208838</v>
      </c>
      <c r="AI121" s="96" t="str">
        <f t="shared" si="357"/>
        <v/>
      </c>
      <c r="AJ121" s="8">
        <f t="shared" si="358"/>
        <v>4.169878251850605</v>
      </c>
      <c r="AK121" s="96" t="str">
        <f t="shared" si="359"/>
        <v/>
      </c>
    </row>
    <row r="122" spans="2:39" x14ac:dyDescent="0.2">
      <c r="B122" s="126"/>
      <c r="C122" s="9" t="s">
        <v>599</v>
      </c>
      <c r="D122" s="198">
        <v>-32</v>
      </c>
      <c r="E122" s="8">
        <v>9</v>
      </c>
      <c r="F122" s="127">
        <f t="shared" si="334"/>
        <v>34.987745111386616</v>
      </c>
      <c r="G122" s="37" t="str">
        <f t="shared" si="385"/>
        <v>2;XEX29X712</v>
      </c>
      <c r="H122" s="37"/>
      <c r="I122" s="285"/>
      <c r="J122" s="38">
        <v>1</v>
      </c>
      <c r="K122" s="128">
        <f t="shared" si="386"/>
        <v>2.9156454259488949</v>
      </c>
      <c r="L122" s="39" t="str">
        <f>INDEX(powers!$H$2:$H$75,33+J122)</f>
        <v>dozen</v>
      </c>
      <c r="M122" s="97" t="str">
        <f t="shared" si="335"/>
        <v>2</v>
      </c>
      <c r="N122" s="8">
        <f t="shared" si="336"/>
        <v>10.987745111386738</v>
      </c>
      <c r="O122" s="96" t="str">
        <f t="shared" si="337"/>
        <v>X</v>
      </c>
      <c r="P122" s="8">
        <f t="shared" si="338"/>
        <v>11.85294133664086</v>
      </c>
      <c r="Q122" s="96" t="str">
        <f t="shared" si="339"/>
        <v>E</v>
      </c>
      <c r="R122" s="8">
        <f t="shared" si="340"/>
        <v>10.235296039690326</v>
      </c>
      <c r="S122" s="96" t="str">
        <f t="shared" si="341"/>
        <v>X</v>
      </c>
      <c r="T122" s="8">
        <f t="shared" si="342"/>
        <v>2.8235524762839077</v>
      </c>
      <c r="U122" s="96" t="str">
        <f t="shared" si="343"/>
        <v>2</v>
      </c>
      <c r="V122" s="8">
        <f t="shared" si="344"/>
        <v>9.8826297154068925</v>
      </c>
      <c r="W122" s="96" t="str">
        <f t="shared" si="345"/>
        <v>9</v>
      </c>
      <c r="X122" s="8">
        <f t="shared" si="346"/>
        <v>10.59155658488271</v>
      </c>
      <c r="Y122" s="96" t="str">
        <f t="shared" si="347"/>
        <v>X</v>
      </c>
      <c r="Z122" s="8">
        <f t="shared" si="348"/>
        <v>7.0986790185925202</v>
      </c>
      <c r="AA122" s="96" t="str">
        <f t="shared" si="349"/>
        <v>7</v>
      </c>
      <c r="AB122" s="8">
        <f t="shared" si="350"/>
        <v>1.1841482231102418</v>
      </c>
      <c r="AC122" s="96" t="str">
        <f t="shared" si="351"/>
        <v>1</v>
      </c>
      <c r="AD122" s="8">
        <f t="shared" si="352"/>
        <v>2.2097786773229018</v>
      </c>
      <c r="AE122" s="96" t="str">
        <f t="shared" si="353"/>
        <v>2</v>
      </c>
      <c r="AF122" s="8">
        <f t="shared" si="354"/>
        <v>2.5173441278748214</v>
      </c>
      <c r="AG122" s="96" t="str">
        <f t="shared" si="355"/>
        <v/>
      </c>
      <c r="AH122" s="8">
        <f t="shared" si="356"/>
        <v>6.2081295344978571</v>
      </c>
      <c r="AI122" s="96" t="str">
        <f t="shared" si="357"/>
        <v/>
      </c>
      <c r="AJ122" s="8">
        <f t="shared" si="358"/>
        <v>2.4975544139742851</v>
      </c>
      <c r="AK122" s="96" t="str">
        <f t="shared" si="359"/>
        <v/>
      </c>
    </row>
    <row r="123" spans="2:39" x14ac:dyDescent="0.2">
      <c r="B123" s="126"/>
      <c r="C123" s="9" t="s">
        <v>600</v>
      </c>
      <c r="D123" s="198">
        <v>-17.8</v>
      </c>
      <c r="E123" s="8">
        <v>9</v>
      </c>
      <c r="F123" s="127">
        <f t="shared" si="334"/>
        <v>46.716263907746495</v>
      </c>
      <c r="G123" s="37" t="str">
        <f t="shared" si="385"/>
        <v>3;X8718546X</v>
      </c>
      <c r="H123" s="37"/>
      <c r="I123" s="285"/>
      <c r="J123" s="38">
        <v>1</v>
      </c>
      <c r="K123" s="128">
        <f t="shared" si="386"/>
        <v>3.8930219923122182</v>
      </c>
      <c r="L123" s="39" t="str">
        <f>INDEX(powers!$H$2:$H$75,33+J123)</f>
        <v>dozen</v>
      </c>
      <c r="M123" s="97" t="str">
        <f t="shared" si="335"/>
        <v>3</v>
      </c>
      <c r="N123" s="8">
        <f t="shared" si="336"/>
        <v>10.716263907746619</v>
      </c>
      <c r="O123" s="96" t="str">
        <f t="shared" si="337"/>
        <v>X</v>
      </c>
      <c r="P123" s="8">
        <f t="shared" si="338"/>
        <v>8.5951668929594263</v>
      </c>
      <c r="Q123" s="96" t="str">
        <f t="shared" si="339"/>
        <v>8</v>
      </c>
      <c r="R123" s="8">
        <f t="shared" si="340"/>
        <v>7.1420027155131152</v>
      </c>
      <c r="S123" s="96" t="str">
        <f t="shared" si="341"/>
        <v>7</v>
      </c>
      <c r="T123" s="8">
        <f t="shared" si="342"/>
        <v>1.704032586157382</v>
      </c>
      <c r="U123" s="96" t="str">
        <f t="shared" si="343"/>
        <v>1</v>
      </c>
      <c r="V123" s="8">
        <f t="shared" si="344"/>
        <v>8.4483910338885835</v>
      </c>
      <c r="W123" s="96" t="str">
        <f t="shared" si="345"/>
        <v>8</v>
      </c>
      <c r="X123" s="8">
        <f t="shared" si="346"/>
        <v>5.3806924066630017</v>
      </c>
      <c r="Y123" s="96" t="str">
        <f t="shared" si="347"/>
        <v>5</v>
      </c>
      <c r="Z123" s="8">
        <f t="shared" si="348"/>
        <v>4.568308879956021</v>
      </c>
      <c r="AA123" s="96" t="str">
        <f t="shared" si="349"/>
        <v>4</v>
      </c>
      <c r="AB123" s="8">
        <f t="shared" si="350"/>
        <v>6.8197065594722517</v>
      </c>
      <c r="AC123" s="96" t="str">
        <f t="shared" si="351"/>
        <v>6</v>
      </c>
      <c r="AD123" s="8">
        <f t="shared" si="352"/>
        <v>9.8364787136670202</v>
      </c>
      <c r="AE123" s="96" t="str">
        <f t="shared" si="353"/>
        <v>X</v>
      </c>
      <c r="AF123" s="8">
        <f t="shared" si="354"/>
        <v>10.037744564004242</v>
      </c>
      <c r="AG123" s="96" t="str">
        <f t="shared" si="355"/>
        <v/>
      </c>
      <c r="AH123" s="8">
        <f t="shared" si="356"/>
        <v>0.45293476805090904</v>
      </c>
      <c r="AI123" s="96" t="str">
        <f t="shared" si="357"/>
        <v/>
      </c>
      <c r="AJ123" s="8">
        <f t="shared" si="358"/>
        <v>5.4352172166109085</v>
      </c>
      <c r="AK123" s="96" t="str">
        <f t="shared" si="359"/>
        <v/>
      </c>
    </row>
    <row r="124" spans="2:39" x14ac:dyDescent="0.2">
      <c r="B124" s="126"/>
      <c r="C124" s="9" t="s">
        <v>601</v>
      </c>
      <c r="D124" s="198">
        <v>-9</v>
      </c>
      <c r="E124" s="8">
        <v>9</v>
      </c>
      <c r="F124" s="127">
        <f t="shared" si="334"/>
        <v>53.984641753377957</v>
      </c>
      <c r="G124" s="37" t="str">
        <f t="shared" si="385"/>
        <v>4;5E9956463</v>
      </c>
      <c r="H124" s="37"/>
      <c r="I124" s="285"/>
      <c r="J124" s="38">
        <v>1</v>
      </c>
      <c r="K124" s="128">
        <f t="shared" si="386"/>
        <v>4.4987201461148398</v>
      </c>
      <c r="L124" s="39" t="str">
        <f>INDEX(powers!$H$2:$H$75,33+J124)</f>
        <v>dozen</v>
      </c>
      <c r="M124" s="97" t="str">
        <f t="shared" si="335"/>
        <v>4</v>
      </c>
      <c r="N124" s="8">
        <f t="shared" si="336"/>
        <v>5.984641753378078</v>
      </c>
      <c r="O124" s="96" t="str">
        <f t="shared" si="337"/>
        <v>5</v>
      </c>
      <c r="P124" s="8">
        <f t="shared" si="338"/>
        <v>11.815701040536936</v>
      </c>
      <c r="Q124" s="96" t="str">
        <f t="shared" si="339"/>
        <v>E</v>
      </c>
      <c r="R124" s="8">
        <f t="shared" si="340"/>
        <v>9.7884124864432351</v>
      </c>
      <c r="S124" s="96" t="str">
        <f t="shared" si="341"/>
        <v>9</v>
      </c>
      <c r="T124" s="8">
        <f t="shared" si="342"/>
        <v>9.4609498373188217</v>
      </c>
      <c r="U124" s="96" t="str">
        <f t="shared" si="343"/>
        <v>9</v>
      </c>
      <c r="V124" s="8">
        <f t="shared" si="344"/>
        <v>5.53139804782586</v>
      </c>
      <c r="W124" s="96" t="str">
        <f t="shared" si="345"/>
        <v>5</v>
      </c>
      <c r="X124" s="8">
        <f t="shared" si="346"/>
        <v>6.3767765739103197</v>
      </c>
      <c r="Y124" s="96" t="str">
        <f t="shared" si="347"/>
        <v>6</v>
      </c>
      <c r="Z124" s="8">
        <f t="shared" si="348"/>
        <v>4.5213188869238365</v>
      </c>
      <c r="AA124" s="96" t="str">
        <f t="shared" si="349"/>
        <v>4</v>
      </c>
      <c r="AB124" s="8">
        <f t="shared" si="350"/>
        <v>6.2558266430860385</v>
      </c>
      <c r="AC124" s="96" t="str">
        <f t="shared" si="351"/>
        <v>6</v>
      </c>
      <c r="AD124" s="8">
        <f t="shared" si="352"/>
        <v>3.0699197170324624</v>
      </c>
      <c r="AE124" s="96" t="str">
        <f t="shared" si="353"/>
        <v>3</v>
      </c>
      <c r="AF124" s="8">
        <f t="shared" si="354"/>
        <v>0.8390366043895483</v>
      </c>
      <c r="AG124" s="96" t="str">
        <f t="shared" si="355"/>
        <v/>
      </c>
      <c r="AH124" s="8">
        <f t="shared" si="356"/>
        <v>10.06843925267458</v>
      </c>
      <c r="AI124" s="96" t="str">
        <f t="shared" si="357"/>
        <v/>
      </c>
      <c r="AJ124" s="8">
        <f t="shared" si="358"/>
        <v>0.82127103209495544</v>
      </c>
      <c r="AK124" s="96" t="str">
        <f t="shared" si="359"/>
        <v/>
      </c>
    </row>
    <row r="125" spans="2:39" x14ac:dyDescent="0.2">
      <c r="B125" s="126" t="s">
        <v>617</v>
      </c>
      <c r="C125" s="9" t="s">
        <v>602</v>
      </c>
      <c r="D125" s="198">
        <v>0</v>
      </c>
      <c r="E125" s="8">
        <v>9</v>
      </c>
      <c r="F125" s="127">
        <f t="shared" si="334"/>
        <v>61.41821000459197</v>
      </c>
      <c r="G125" s="37" t="str">
        <f t="shared" si="385"/>
        <v>5;150280047</v>
      </c>
      <c r="H125" s="37"/>
      <c r="I125" s="285"/>
      <c r="J125" s="38">
        <v>1</v>
      </c>
      <c r="K125" s="128">
        <f t="shared" si="386"/>
        <v>5.1181841670493409</v>
      </c>
      <c r="L125" s="39" t="str">
        <f>INDEX(powers!$H$2:$H$75,33+J125)</f>
        <v>dozen</v>
      </c>
      <c r="M125" s="97" t="str">
        <f t="shared" si="335"/>
        <v>5</v>
      </c>
      <c r="N125" s="8">
        <f t="shared" si="336"/>
        <v>1.4182100045920905</v>
      </c>
      <c r="O125" s="96" t="str">
        <f t="shared" si="337"/>
        <v>1</v>
      </c>
      <c r="P125" s="8">
        <f t="shared" si="338"/>
        <v>5.0185200551050855</v>
      </c>
      <c r="Q125" s="96" t="str">
        <f t="shared" si="339"/>
        <v>5</v>
      </c>
      <c r="R125" s="8">
        <f t="shared" si="340"/>
        <v>0.22224066126102571</v>
      </c>
      <c r="S125" s="96" t="str">
        <f t="shared" si="341"/>
        <v>0</v>
      </c>
      <c r="T125" s="8">
        <f t="shared" si="342"/>
        <v>2.6668879351323085</v>
      </c>
      <c r="U125" s="96" t="str">
        <f t="shared" si="343"/>
        <v>2</v>
      </c>
      <c r="V125" s="8">
        <f t="shared" si="344"/>
        <v>8.0026552215877018</v>
      </c>
      <c r="W125" s="96" t="str">
        <f t="shared" si="345"/>
        <v>8</v>
      </c>
      <c r="X125" s="8">
        <f t="shared" si="346"/>
        <v>3.1862659052421805E-2</v>
      </c>
      <c r="Y125" s="96" t="str">
        <f t="shared" si="347"/>
        <v>0</v>
      </c>
      <c r="Z125" s="8">
        <f t="shared" si="348"/>
        <v>0.38235190862906165</v>
      </c>
      <c r="AA125" s="96" t="str">
        <f t="shared" si="349"/>
        <v>0</v>
      </c>
      <c r="AB125" s="8">
        <f t="shared" si="350"/>
        <v>4.5882229035487399</v>
      </c>
      <c r="AC125" s="96" t="str">
        <f t="shared" si="351"/>
        <v>4</v>
      </c>
      <c r="AD125" s="8">
        <f t="shared" si="352"/>
        <v>7.0586748425848782</v>
      </c>
      <c r="AE125" s="96" t="str">
        <f t="shared" si="353"/>
        <v>7</v>
      </c>
      <c r="AF125" s="8">
        <f t="shared" si="354"/>
        <v>0.70409811101853848</v>
      </c>
      <c r="AG125" s="96" t="str">
        <f t="shared" si="355"/>
        <v/>
      </c>
      <c r="AH125" s="8">
        <f t="shared" si="356"/>
        <v>8.4491773322224617</v>
      </c>
      <c r="AI125" s="96" t="str">
        <f t="shared" si="357"/>
        <v/>
      </c>
      <c r="AJ125" s="8">
        <f t="shared" si="358"/>
        <v>5.3901279866695404</v>
      </c>
      <c r="AK125" s="96" t="str">
        <f t="shared" si="359"/>
        <v/>
      </c>
      <c r="AL125" s="238">
        <f>5*12+1+5/12</f>
        <v>61.416666666666664</v>
      </c>
      <c r="AM125" s="238">
        <f t="shared" ref="AM125:AM127" si="387">-AL125*F$6*20736+D125</f>
        <v>-74.358636568612695</v>
      </c>
    </row>
    <row r="126" spans="2:39" x14ac:dyDescent="0.2">
      <c r="B126" s="126" t="s">
        <v>626</v>
      </c>
      <c r="C126" s="9" t="s">
        <v>627</v>
      </c>
      <c r="D126" s="198">
        <v>8.8999999999999995E-5</v>
      </c>
      <c r="E126" s="8">
        <v>9</v>
      </c>
      <c r="F126" s="127">
        <f t="shared" si="334"/>
        <v>61.418283514322454</v>
      </c>
      <c r="G126" s="37" t="str">
        <f t="shared" ref="G126" si="388">M126&amp;";"&amp;O126&amp;Q126&amp;S126&amp;U126&amp;W126&amp;Y126&amp;AA126&amp;AC126&amp;AE126&amp;AG126&amp;AI126&amp;AK126</f>
        <v>5;1502963X7</v>
      </c>
      <c r="H126" s="37"/>
      <c r="I126" s="285"/>
      <c r="J126" s="38">
        <v>1</v>
      </c>
      <c r="K126" s="128">
        <f t="shared" ref="K126" si="389">F126/POWER(12,J126)+0.00000000000001</f>
        <v>5.1181902928602145</v>
      </c>
      <c r="L126" s="39" t="str">
        <f>INDEX(powers!$H$2:$H$75,33+J126)</f>
        <v>dozen</v>
      </c>
      <c r="M126" s="97" t="str">
        <f t="shared" ref="M126" si="390">IF($E126&gt;=M$31,MID($J$31,IF($E126&gt;M$31,INT(K126),ROUND(K126,0))+1,1),"")</f>
        <v>5</v>
      </c>
      <c r="N126" s="8">
        <f t="shared" ref="N126" si="391">(K126-INT(K126))*12</f>
        <v>1.4182835143225745</v>
      </c>
      <c r="O126" s="96" t="str">
        <f t="shared" ref="O126" si="392">IF($E126&gt;=O$31,MID($J$31,IF($E126&gt;O$31,INT(N126),ROUND(N126,0))+1,1),"")</f>
        <v>1</v>
      </c>
      <c r="P126" s="8">
        <f t="shared" ref="P126" si="393">(N126-INT(N126))*12</f>
        <v>5.0194021718708939</v>
      </c>
      <c r="Q126" s="96" t="str">
        <f t="shared" ref="Q126" si="394">IF($E126&gt;=Q$31,MID($J$31,IF($E126&gt;Q$31,INT(P126),ROUND(P126,0))+1,1),"")</f>
        <v>5</v>
      </c>
      <c r="R126" s="8">
        <f t="shared" ref="R126" si="395">(P126-INT(P126))*12</f>
        <v>0.23282606245072657</v>
      </c>
      <c r="S126" s="96" t="str">
        <f t="shared" ref="S126" si="396">IF($E126&gt;=S$31,MID($J$31,IF($E126&gt;S$31,INT(R126),ROUND(R126,0))+1,1),"")</f>
        <v>0</v>
      </c>
      <c r="T126" s="8">
        <f t="shared" ref="T126" si="397">(R126-INT(R126))*12</f>
        <v>2.7939127494087188</v>
      </c>
      <c r="U126" s="96" t="str">
        <f t="shared" ref="U126" si="398">IF($E126&gt;=U$31,MID($J$31,IF($E126&gt;U$31,INT(T126),ROUND(T126,0))+1,1),"")</f>
        <v>2</v>
      </c>
      <c r="V126" s="8">
        <f t="shared" ref="V126" si="399">(T126-INT(T126))*12</f>
        <v>9.5269529929046257</v>
      </c>
      <c r="W126" s="96" t="str">
        <f t="shared" ref="W126" si="400">IF($E126&gt;=W$31,MID($J$31,IF($E126&gt;W$31,INT(V126),ROUND(V126,0))+1,1),"")</f>
        <v>9</v>
      </c>
      <c r="X126" s="8">
        <f t="shared" ref="X126" si="401">(V126-INT(V126))*12</f>
        <v>6.3234359148555086</v>
      </c>
      <c r="Y126" s="96" t="str">
        <f t="shared" ref="Y126" si="402">IF($E126&gt;=Y$31,MID($J$31,IF($E126&gt;Y$31,INT(X126),ROUND(X126,0))+1,1),"")</f>
        <v>6</v>
      </c>
      <c r="Z126" s="8">
        <f t="shared" ref="Z126" si="403">(X126-INT(X126))*12</f>
        <v>3.8812309782661032</v>
      </c>
      <c r="AA126" s="96" t="str">
        <f t="shared" ref="AA126" si="404">IF($E126&gt;=AA$31,MID($J$31,IF($E126&gt;AA$31,INT(Z126),ROUND(Z126,0))+1,1),"")</f>
        <v>3</v>
      </c>
      <c r="AB126" s="8">
        <f t="shared" ref="AB126" si="405">(Z126-INT(Z126))*12</f>
        <v>10.574771739193238</v>
      </c>
      <c r="AC126" s="96" t="str">
        <f t="shared" ref="AC126" si="406">IF($E126&gt;=AC$31,MID($J$31,IF($E126&gt;AC$31,INT(AB126),ROUND(AB126,0))+1,1),"")</f>
        <v>X</v>
      </c>
      <c r="AD126" s="8">
        <f t="shared" ref="AD126" si="407">(AB126-INT(AB126))*12</f>
        <v>6.8972608703188598</v>
      </c>
      <c r="AE126" s="96" t="str">
        <f t="shared" ref="AE126" si="408">IF($E126&gt;=AE$31,MID($J$31,IF($E126&gt;AE$31,INT(AD126),ROUND(AD126,0))+1,1),"")</f>
        <v>7</v>
      </c>
      <c r="AF126" s="8">
        <f t="shared" ref="AF126" si="409">(AD126-INT(AD126))*12</f>
        <v>10.767130443826318</v>
      </c>
      <c r="AG126" s="96" t="str">
        <f t="shared" ref="AG126" si="410">IF($E126&gt;=AG$31,MID($J$31,IF($E126&gt;AG$31,INT(AF126),ROUND(AF126,0))+1,1),"")</f>
        <v/>
      </c>
      <c r="AH126" s="8">
        <f t="shared" ref="AH126" si="411">(AF126-INT(AF126))*12</f>
        <v>9.2055653259158134</v>
      </c>
      <c r="AI126" s="96" t="str">
        <f t="shared" ref="AI126" si="412">IF($E126&gt;=AI$31,MID($J$31,IF($E126&gt;AI$31,INT(AH126),ROUND(AH126,0))+1,1),"")</f>
        <v/>
      </c>
      <c r="AJ126" s="8">
        <f t="shared" ref="AJ126" si="413">(AH126-INT(AH126))*12</f>
        <v>2.4667839109897614</v>
      </c>
      <c r="AK126" s="96" t="str">
        <f t="shared" ref="AK126" si="414">IF($E126&gt;=AK$31,MID($J$31,IF($E126&gt;AK$31,INT(AJ126),ROUND(AJ126,0))+1,1),"")</f>
        <v/>
      </c>
      <c r="AL126" s="238">
        <f>5*12+1+5/12</f>
        <v>61.416666666666664</v>
      </c>
      <c r="AM126" s="238">
        <f t="shared" ref="AM126" si="415">-AL126*F$6*20736+D126</f>
        <v>-74.358547568612693</v>
      </c>
    </row>
    <row r="127" spans="2:39" x14ac:dyDescent="0.2">
      <c r="B127" s="126" t="s">
        <v>618</v>
      </c>
      <c r="C127" s="9" t="s">
        <v>612</v>
      </c>
      <c r="D127" s="198">
        <v>0.01</v>
      </c>
      <c r="E127" s="8">
        <v>9</v>
      </c>
      <c r="F127" s="127">
        <f t="shared" si="334"/>
        <v>61.426469524871095</v>
      </c>
      <c r="G127" s="37" t="str">
        <f t="shared" si="385"/>
        <v>5;1514E3322</v>
      </c>
      <c r="H127" s="37"/>
      <c r="I127" s="285"/>
      <c r="J127" s="38">
        <v>1</v>
      </c>
      <c r="K127" s="128">
        <f t="shared" si="386"/>
        <v>5.1188724604059344</v>
      </c>
      <c r="L127" s="39" t="str">
        <f>INDEX(powers!$H$2:$H$75,33+J127)</f>
        <v>dozen</v>
      </c>
      <c r="M127" s="97" t="str">
        <f t="shared" si="335"/>
        <v>5</v>
      </c>
      <c r="N127" s="8">
        <f t="shared" si="336"/>
        <v>1.4264695248712123</v>
      </c>
      <c r="O127" s="96" t="str">
        <f t="shared" si="337"/>
        <v>1</v>
      </c>
      <c r="P127" s="8">
        <f t="shared" si="338"/>
        <v>5.1176342984545471</v>
      </c>
      <c r="Q127" s="96" t="str">
        <f t="shared" si="339"/>
        <v>5</v>
      </c>
      <c r="R127" s="8">
        <f t="shared" si="340"/>
        <v>1.4116115814545651</v>
      </c>
      <c r="S127" s="96" t="str">
        <f t="shared" si="341"/>
        <v>1</v>
      </c>
      <c r="T127" s="8">
        <f t="shared" si="342"/>
        <v>4.9393389774547813</v>
      </c>
      <c r="U127" s="96" t="str">
        <f t="shared" si="343"/>
        <v>4</v>
      </c>
      <c r="V127" s="8">
        <f t="shared" si="344"/>
        <v>11.272067729457376</v>
      </c>
      <c r="W127" s="96" t="str">
        <f t="shared" si="345"/>
        <v>E</v>
      </c>
      <c r="X127" s="8">
        <f t="shared" si="346"/>
        <v>3.2648127534885134</v>
      </c>
      <c r="Y127" s="96" t="str">
        <f t="shared" si="347"/>
        <v>3</v>
      </c>
      <c r="Z127" s="8">
        <f t="shared" si="348"/>
        <v>3.1777530418621609</v>
      </c>
      <c r="AA127" s="96" t="str">
        <f t="shared" si="349"/>
        <v>3</v>
      </c>
      <c r="AB127" s="8">
        <f t="shared" si="350"/>
        <v>2.1330365023459308</v>
      </c>
      <c r="AC127" s="96" t="str">
        <f t="shared" si="351"/>
        <v>2</v>
      </c>
      <c r="AD127" s="8">
        <f t="shared" si="352"/>
        <v>1.5964380281511694</v>
      </c>
      <c r="AE127" s="96" t="str">
        <f t="shared" si="353"/>
        <v>2</v>
      </c>
      <c r="AF127" s="8">
        <f t="shared" si="354"/>
        <v>7.157256337814033</v>
      </c>
      <c r="AG127" s="96" t="str">
        <f t="shared" si="355"/>
        <v/>
      </c>
      <c r="AH127" s="8">
        <f t="shared" si="356"/>
        <v>1.8870760537683964</v>
      </c>
      <c r="AI127" s="96" t="str">
        <f t="shared" si="357"/>
        <v/>
      </c>
      <c r="AJ127" s="8">
        <f t="shared" si="358"/>
        <v>10.644912645220757</v>
      </c>
      <c r="AK127" s="96" t="str">
        <f t="shared" si="359"/>
        <v/>
      </c>
      <c r="AL127" s="238">
        <f>5*12+1+5/12</f>
        <v>61.416666666666664</v>
      </c>
      <c r="AM127" s="238">
        <f t="shared" si="387"/>
        <v>-74.34863656861269</v>
      </c>
    </row>
    <row r="128" spans="2:39" x14ac:dyDescent="0.2">
      <c r="B128" s="126" t="s">
        <v>620</v>
      </c>
      <c r="C128" s="9" t="s">
        <v>603</v>
      </c>
      <c r="D128" s="198">
        <v>3.98</v>
      </c>
      <c r="E128" s="8">
        <v>9</v>
      </c>
      <c r="F128" s="127">
        <f t="shared" si="334"/>
        <v>64.705499075684386</v>
      </c>
      <c r="G128" s="37" t="str">
        <f t="shared" ref="G128:G129" si="416">M128&amp;";"&amp;O128&amp;Q128&amp;S128&amp;U128&amp;W128&amp;Y128&amp;AA128&amp;AC128&amp;AE128&amp;AG128&amp;AI128&amp;AK128</f>
        <v>5;4857128E5</v>
      </c>
      <c r="H128" s="37"/>
      <c r="I128" s="285"/>
      <c r="J128" s="38">
        <v>1</v>
      </c>
      <c r="K128" s="128">
        <f t="shared" ref="K128:K129" si="417">F128/POWER(12,J128)+0.00000000000001</f>
        <v>5.3921249229737089</v>
      </c>
      <c r="L128" s="39" t="str">
        <f>INDEX(powers!$H$2:$H$75,33+J128)</f>
        <v>dozen</v>
      </c>
      <c r="M128" s="97" t="str">
        <f t="shared" ref="M128:M129" si="418">IF($E128&gt;=M$31,MID($J$31,IF($E128&gt;M$31,INT(K128),ROUND(K128,0))+1,1),"")</f>
        <v>5</v>
      </c>
      <c r="N128" s="8">
        <f t="shared" ref="N128:N129" si="419">(K128-INT(K128))*12</f>
        <v>4.7054990756845072</v>
      </c>
      <c r="O128" s="96" t="str">
        <f t="shared" ref="O128:O129" si="420">IF($E128&gt;=O$31,MID($J$31,IF($E128&gt;O$31,INT(N128),ROUND(N128,0))+1,1),"")</f>
        <v>4</v>
      </c>
      <c r="P128" s="8">
        <f t="shared" ref="P128:P129" si="421">(N128-INT(N128))*12</f>
        <v>8.4659889082140865</v>
      </c>
      <c r="Q128" s="96" t="str">
        <f t="shared" ref="Q128:Q129" si="422">IF($E128&gt;=Q$31,MID($J$31,IF($E128&gt;Q$31,INT(P128),ROUND(P128,0))+1,1),"")</f>
        <v>8</v>
      </c>
      <c r="R128" s="8">
        <f t="shared" ref="R128:R129" si="423">(P128-INT(P128))*12</f>
        <v>5.5918668985690374</v>
      </c>
      <c r="S128" s="96" t="str">
        <f t="shared" ref="S128:S129" si="424">IF($E128&gt;=S$31,MID($J$31,IF($E128&gt;S$31,INT(R128),ROUND(R128,0))+1,1),"")</f>
        <v>5</v>
      </c>
      <c r="T128" s="8">
        <f t="shared" ref="T128:T129" si="425">(R128-INT(R128))*12</f>
        <v>7.1024027828284488</v>
      </c>
      <c r="U128" s="96" t="str">
        <f t="shared" ref="U128:U129" si="426">IF($E128&gt;=U$31,MID($J$31,IF($E128&gt;U$31,INT(T128),ROUND(T128,0))+1,1),"")</f>
        <v>7</v>
      </c>
      <c r="V128" s="8">
        <f t="shared" ref="V128:V129" si="427">(T128-INT(T128))*12</f>
        <v>1.228833393941386</v>
      </c>
      <c r="W128" s="96" t="str">
        <f t="shared" ref="W128:W129" si="428">IF($E128&gt;=W$31,MID($J$31,IF($E128&gt;W$31,INT(V128),ROUND(V128,0))+1,1),"")</f>
        <v>1</v>
      </c>
      <c r="X128" s="8">
        <f t="shared" ref="X128:X129" si="429">(V128-INT(V128))*12</f>
        <v>2.7460007272966322</v>
      </c>
      <c r="Y128" s="96" t="str">
        <f t="shared" ref="Y128:Y129" si="430">IF($E128&gt;=Y$31,MID($J$31,IF($E128&gt;Y$31,INT(X128),ROUND(X128,0))+1,1),"")</f>
        <v>2</v>
      </c>
      <c r="Z128" s="8">
        <f t="shared" ref="Z128:Z129" si="431">(X128-INT(X128))*12</f>
        <v>8.952008727559587</v>
      </c>
      <c r="AA128" s="96" t="str">
        <f t="shared" ref="AA128:AA129" si="432">IF($E128&gt;=AA$31,MID($J$31,IF($E128&gt;AA$31,INT(Z128),ROUND(Z128,0))+1,1),"")</f>
        <v>8</v>
      </c>
      <c r="AB128" s="8">
        <f t="shared" ref="AB128:AB129" si="433">(Z128-INT(Z128))*12</f>
        <v>11.424104730715044</v>
      </c>
      <c r="AC128" s="96" t="str">
        <f t="shared" ref="AC128:AC129" si="434">IF($E128&gt;=AC$31,MID($J$31,IF($E128&gt;AC$31,INT(AB128),ROUND(AB128,0))+1,1),"")</f>
        <v>E</v>
      </c>
      <c r="AD128" s="8">
        <f t="shared" ref="AD128:AD129" si="435">(AB128-INT(AB128))*12</f>
        <v>5.0892567685805261</v>
      </c>
      <c r="AE128" s="96" t="str">
        <f t="shared" ref="AE128:AE129" si="436">IF($E128&gt;=AE$31,MID($J$31,IF($E128&gt;AE$31,INT(AD128),ROUND(AD128,0))+1,1),"")</f>
        <v>5</v>
      </c>
      <c r="AF128" s="8">
        <f t="shared" ref="AF128:AF129" si="437">(AD128-INT(AD128))*12</f>
        <v>1.0710812229663134</v>
      </c>
      <c r="AG128" s="96" t="str">
        <f t="shared" ref="AG128:AG129" si="438">IF($E128&gt;=AG$31,MID($J$31,IF($E128&gt;AG$31,INT(AF128),ROUND(AF128,0))+1,1),"")</f>
        <v/>
      </c>
      <c r="AH128" s="8">
        <f t="shared" ref="AH128:AH129" si="439">(AF128-INT(AF128))*12</f>
        <v>0.85297467559576035</v>
      </c>
      <c r="AI128" s="96" t="str">
        <f t="shared" ref="AI128:AI129" si="440">IF($E128&gt;=AI$31,MID($J$31,IF($E128&gt;AI$31,INT(AH128),ROUND(AH128,0))+1,1),"")</f>
        <v/>
      </c>
      <c r="AJ128" s="8">
        <f t="shared" ref="AJ128:AJ129" si="441">(AH128-INT(AH128))*12</f>
        <v>10.235696107149124</v>
      </c>
      <c r="AK128" s="96" t="str">
        <f t="shared" ref="AK128:AK129" si="442">IF($E128&gt;=AK$31,MID($J$31,IF($E128&gt;AK$31,INT(AJ128),ROUND(AJ128,0))+1,1),"")</f>
        <v/>
      </c>
    </row>
    <row r="129" spans="2:39" x14ac:dyDescent="0.2">
      <c r="B129" s="126"/>
      <c r="C129" s="9" t="s">
        <v>604</v>
      </c>
      <c r="D129" s="198">
        <v>14</v>
      </c>
      <c r="E129" s="8">
        <v>9</v>
      </c>
      <c r="F129" s="127">
        <f t="shared" si="334"/>
        <v>72.981538395369299</v>
      </c>
      <c r="G129" s="37" t="str">
        <f t="shared" si="416"/>
        <v>6;0E94121E4</v>
      </c>
      <c r="H129" s="37"/>
      <c r="I129" s="285"/>
      <c r="J129" s="38">
        <v>1</v>
      </c>
      <c r="K129" s="128">
        <f t="shared" si="417"/>
        <v>6.0817948662807844</v>
      </c>
      <c r="L129" s="39" t="str">
        <f>INDEX(powers!$H$2:$H$75,33+J129)</f>
        <v>dozen</v>
      </c>
      <c r="M129" s="97" t="str">
        <f t="shared" si="418"/>
        <v>6</v>
      </c>
      <c r="N129" s="8">
        <f t="shared" si="419"/>
        <v>0.98153839536941234</v>
      </c>
      <c r="O129" s="96" t="str">
        <f t="shared" si="420"/>
        <v>0</v>
      </c>
      <c r="P129" s="8">
        <f t="shared" si="421"/>
        <v>11.778460744432948</v>
      </c>
      <c r="Q129" s="96" t="str">
        <f t="shared" si="422"/>
        <v>E</v>
      </c>
      <c r="R129" s="8">
        <f t="shared" si="423"/>
        <v>9.3415289331953772</v>
      </c>
      <c r="S129" s="96" t="str">
        <f t="shared" si="424"/>
        <v>9</v>
      </c>
      <c r="T129" s="8">
        <f t="shared" si="425"/>
        <v>4.098347198344527</v>
      </c>
      <c r="U129" s="96" t="str">
        <f t="shared" si="426"/>
        <v>4</v>
      </c>
      <c r="V129" s="8">
        <f t="shared" si="427"/>
        <v>1.1801663801343238</v>
      </c>
      <c r="W129" s="96" t="str">
        <f t="shared" si="428"/>
        <v>1</v>
      </c>
      <c r="X129" s="8">
        <f t="shared" si="429"/>
        <v>2.1619965616118861</v>
      </c>
      <c r="Y129" s="96" t="str">
        <f t="shared" si="430"/>
        <v>2</v>
      </c>
      <c r="Z129" s="8">
        <f t="shared" si="431"/>
        <v>1.9439587393426336</v>
      </c>
      <c r="AA129" s="96" t="str">
        <f t="shared" si="432"/>
        <v>1</v>
      </c>
      <c r="AB129" s="8">
        <f t="shared" si="433"/>
        <v>11.327504872111604</v>
      </c>
      <c r="AC129" s="96" t="str">
        <f t="shared" si="434"/>
        <v>E</v>
      </c>
      <c r="AD129" s="8">
        <f t="shared" si="435"/>
        <v>3.9300584653392434</v>
      </c>
      <c r="AE129" s="96" t="str">
        <f t="shared" si="436"/>
        <v>4</v>
      </c>
      <c r="AF129" s="8">
        <f t="shared" si="437"/>
        <v>11.160701584070921</v>
      </c>
      <c r="AG129" s="96" t="str">
        <f t="shared" si="438"/>
        <v/>
      </c>
      <c r="AH129" s="8">
        <f t="shared" si="439"/>
        <v>1.9284190088510513</v>
      </c>
      <c r="AI129" s="96" t="str">
        <f t="shared" si="440"/>
        <v/>
      </c>
      <c r="AJ129" s="8">
        <f t="shared" si="441"/>
        <v>11.141028106212616</v>
      </c>
      <c r="AK129" s="96" t="str">
        <f t="shared" si="442"/>
        <v/>
      </c>
    </row>
    <row r="130" spans="2:39" x14ac:dyDescent="0.2">
      <c r="B130" s="126"/>
      <c r="C130" s="9" t="s">
        <v>624</v>
      </c>
      <c r="D130" s="198">
        <v>15</v>
      </c>
      <c r="E130" s="8">
        <v>9</v>
      </c>
      <c r="F130" s="127">
        <f t="shared" si="334"/>
        <v>73.807490423281976</v>
      </c>
      <c r="G130" s="37" t="str">
        <f t="shared" si="385"/>
        <v>6;19834155X</v>
      </c>
      <c r="H130" s="37"/>
      <c r="I130" s="285"/>
      <c r="J130" s="38">
        <v>1</v>
      </c>
      <c r="K130" s="128">
        <f t="shared" si="386"/>
        <v>6.1506242019401745</v>
      </c>
      <c r="L130" s="39" t="str">
        <f>INDEX(powers!$H$2:$H$75,33+J130)</f>
        <v>dozen</v>
      </c>
      <c r="M130" s="97" t="str">
        <f t="shared" si="335"/>
        <v>6</v>
      </c>
      <c r="N130" s="8">
        <f t="shared" si="336"/>
        <v>1.8074904232820934</v>
      </c>
      <c r="O130" s="96" t="str">
        <f t="shared" si="337"/>
        <v>1</v>
      </c>
      <c r="P130" s="8">
        <f t="shared" si="338"/>
        <v>9.689885079385121</v>
      </c>
      <c r="Q130" s="96" t="str">
        <f t="shared" si="339"/>
        <v>9</v>
      </c>
      <c r="R130" s="8">
        <f t="shared" si="340"/>
        <v>8.278620952621452</v>
      </c>
      <c r="S130" s="96" t="str">
        <f t="shared" si="341"/>
        <v>8</v>
      </c>
      <c r="T130" s="8">
        <f t="shared" si="342"/>
        <v>3.3434514314574244</v>
      </c>
      <c r="U130" s="96" t="str">
        <f t="shared" si="343"/>
        <v>3</v>
      </c>
      <c r="V130" s="8">
        <f t="shared" si="344"/>
        <v>4.1214171774890929</v>
      </c>
      <c r="W130" s="96" t="str">
        <f t="shared" si="345"/>
        <v>4</v>
      </c>
      <c r="X130" s="8">
        <f t="shared" si="346"/>
        <v>1.4570061298691144</v>
      </c>
      <c r="Y130" s="96" t="str">
        <f t="shared" si="347"/>
        <v>1</v>
      </c>
      <c r="Z130" s="8">
        <f t="shared" si="348"/>
        <v>5.4840735584293725</v>
      </c>
      <c r="AA130" s="96" t="str">
        <f t="shared" si="349"/>
        <v>5</v>
      </c>
      <c r="AB130" s="8">
        <f t="shared" si="350"/>
        <v>5.80888270115247</v>
      </c>
      <c r="AC130" s="96" t="str">
        <f t="shared" si="351"/>
        <v>5</v>
      </c>
      <c r="AD130" s="8">
        <f t="shared" si="352"/>
        <v>9.7065924138296396</v>
      </c>
      <c r="AE130" s="96" t="str">
        <f t="shared" si="353"/>
        <v>X</v>
      </c>
      <c r="AF130" s="8">
        <f t="shared" si="354"/>
        <v>8.4791089659556746</v>
      </c>
      <c r="AG130" s="96" t="str">
        <f t="shared" si="355"/>
        <v/>
      </c>
      <c r="AH130" s="8">
        <f t="shared" si="356"/>
        <v>5.7493075914680958</v>
      </c>
      <c r="AI130" s="96" t="str">
        <f t="shared" si="357"/>
        <v/>
      </c>
      <c r="AJ130" s="8">
        <f t="shared" si="358"/>
        <v>8.9916910976171494</v>
      </c>
      <c r="AK130" s="96" t="str">
        <f t="shared" si="359"/>
        <v/>
      </c>
      <c r="AL130" s="238">
        <f>6*12+1+9/12+8/144+3/1728</f>
        <v>73.807291666666671</v>
      </c>
      <c r="AM130" s="238">
        <f t="shared" ref="AM130" si="443">-AL130*F$6*20736+D130</f>
        <v>-74.360264485567384</v>
      </c>
    </row>
    <row r="131" spans="2:39" x14ac:dyDescent="0.2">
      <c r="B131" s="126"/>
      <c r="C131" s="9" t="s">
        <v>605</v>
      </c>
      <c r="D131" s="198">
        <v>20</v>
      </c>
      <c r="E131" s="8">
        <v>9</v>
      </c>
      <c r="F131" s="127">
        <f t="shared" si="334"/>
        <v>77.937250562845307</v>
      </c>
      <c r="G131" s="37" t="str">
        <f t="shared" si="385"/>
        <v>6;5E2E69E23</v>
      </c>
      <c r="H131" s="37"/>
      <c r="I131" s="285"/>
      <c r="J131" s="38">
        <v>1</v>
      </c>
      <c r="K131" s="128">
        <f t="shared" si="386"/>
        <v>6.4947708802371187</v>
      </c>
      <c r="L131" s="39" t="str">
        <f>INDEX(powers!$H$2:$H$75,33+J131)</f>
        <v>dozen</v>
      </c>
      <c r="M131" s="97" t="str">
        <f t="shared" si="335"/>
        <v>6</v>
      </c>
      <c r="N131" s="8">
        <f t="shared" si="336"/>
        <v>5.9372505628454242</v>
      </c>
      <c r="O131" s="96" t="str">
        <f t="shared" si="337"/>
        <v>5</v>
      </c>
      <c r="P131" s="8">
        <f t="shared" si="338"/>
        <v>11.24700675414509</v>
      </c>
      <c r="Q131" s="96" t="str">
        <f t="shared" si="339"/>
        <v>E</v>
      </c>
      <c r="R131" s="8">
        <f t="shared" si="340"/>
        <v>2.9640810497410826</v>
      </c>
      <c r="S131" s="96" t="str">
        <f t="shared" si="341"/>
        <v>2</v>
      </c>
      <c r="T131" s="8">
        <f t="shared" si="342"/>
        <v>11.568972596892991</v>
      </c>
      <c r="U131" s="96" t="str">
        <f t="shared" si="343"/>
        <v>E</v>
      </c>
      <c r="V131" s="8">
        <f t="shared" si="344"/>
        <v>6.8276711627158875</v>
      </c>
      <c r="W131" s="96" t="str">
        <f t="shared" si="345"/>
        <v>6</v>
      </c>
      <c r="X131" s="8">
        <f t="shared" si="346"/>
        <v>9.9320539525906497</v>
      </c>
      <c r="Y131" s="96" t="str">
        <f t="shared" si="347"/>
        <v>9</v>
      </c>
      <c r="Z131" s="8">
        <f t="shared" si="348"/>
        <v>11.184647431087797</v>
      </c>
      <c r="AA131" s="96" t="str">
        <f t="shared" si="349"/>
        <v>E</v>
      </c>
      <c r="AB131" s="8">
        <f t="shared" si="350"/>
        <v>2.2157691730535589</v>
      </c>
      <c r="AC131" s="96" t="str">
        <f t="shared" si="351"/>
        <v>2</v>
      </c>
      <c r="AD131" s="8">
        <f t="shared" si="352"/>
        <v>2.589230076642707</v>
      </c>
      <c r="AE131" s="96" t="str">
        <f t="shared" si="353"/>
        <v>3</v>
      </c>
      <c r="AF131" s="8">
        <f t="shared" si="354"/>
        <v>7.0707609197124839</v>
      </c>
      <c r="AG131" s="96" t="str">
        <f t="shared" si="355"/>
        <v/>
      </c>
      <c r="AH131" s="8">
        <f t="shared" si="356"/>
        <v>0.84913103654980659</v>
      </c>
      <c r="AI131" s="96" t="str">
        <f t="shared" si="357"/>
        <v/>
      </c>
      <c r="AJ131" s="8">
        <f t="shared" si="358"/>
        <v>10.189572438597679</v>
      </c>
      <c r="AK131" s="96" t="str">
        <f t="shared" si="359"/>
        <v/>
      </c>
    </row>
    <row r="132" spans="2:39" x14ac:dyDescent="0.2">
      <c r="B132" s="126"/>
      <c r="C132" s="9" t="s">
        <v>625</v>
      </c>
      <c r="D132" s="198">
        <v>25.5</v>
      </c>
      <c r="E132" s="8">
        <v>9</v>
      </c>
      <c r="F132" s="127">
        <f t="shared" si="334"/>
        <v>82.479986716364976</v>
      </c>
      <c r="G132" s="37" t="str">
        <f t="shared" si="385"/>
        <v>6;X5915007X</v>
      </c>
      <c r="H132" s="37"/>
      <c r="I132" s="285"/>
      <c r="J132" s="38">
        <v>1</v>
      </c>
      <c r="K132" s="128">
        <f t="shared" si="386"/>
        <v>6.8733322263637575</v>
      </c>
      <c r="L132" s="39" t="str">
        <f>INDEX(powers!$H$2:$H$75,33+J132)</f>
        <v>dozen</v>
      </c>
      <c r="M132" s="97" t="str">
        <f t="shared" si="335"/>
        <v>6</v>
      </c>
      <c r="N132" s="8">
        <f t="shared" si="336"/>
        <v>10.47998671636509</v>
      </c>
      <c r="O132" s="96" t="str">
        <f t="shared" si="337"/>
        <v>X</v>
      </c>
      <c r="P132" s="8">
        <f t="shared" si="338"/>
        <v>5.7598405963810819</v>
      </c>
      <c r="Q132" s="96" t="str">
        <f t="shared" si="339"/>
        <v>5</v>
      </c>
      <c r="R132" s="8">
        <f t="shared" si="340"/>
        <v>9.1180871565729831</v>
      </c>
      <c r="S132" s="96" t="str">
        <f t="shared" si="341"/>
        <v>9</v>
      </c>
      <c r="T132" s="8">
        <f t="shared" si="342"/>
        <v>1.4170458788757969</v>
      </c>
      <c r="U132" s="96" t="str">
        <f t="shared" si="343"/>
        <v>1</v>
      </c>
      <c r="V132" s="8">
        <f t="shared" si="344"/>
        <v>5.004550546509563</v>
      </c>
      <c r="W132" s="96" t="str">
        <f t="shared" si="345"/>
        <v>5</v>
      </c>
      <c r="X132" s="8">
        <f t="shared" si="346"/>
        <v>5.4606558114755899E-2</v>
      </c>
      <c r="Y132" s="96" t="str">
        <f t="shared" si="347"/>
        <v>0</v>
      </c>
      <c r="Z132" s="8">
        <f t="shared" si="348"/>
        <v>0.65527869737707078</v>
      </c>
      <c r="AA132" s="96" t="str">
        <f t="shared" si="349"/>
        <v>0</v>
      </c>
      <c r="AB132" s="8">
        <f t="shared" si="350"/>
        <v>7.8633443685248494</v>
      </c>
      <c r="AC132" s="96" t="str">
        <f t="shared" si="351"/>
        <v>7</v>
      </c>
      <c r="AD132" s="8">
        <f t="shared" si="352"/>
        <v>10.360132422298193</v>
      </c>
      <c r="AE132" s="96" t="str">
        <f t="shared" si="353"/>
        <v>X</v>
      </c>
      <c r="AF132" s="8">
        <f t="shared" si="354"/>
        <v>4.3215890675783157</v>
      </c>
      <c r="AG132" s="96" t="str">
        <f t="shared" si="355"/>
        <v/>
      </c>
      <c r="AH132" s="8">
        <f t="shared" si="356"/>
        <v>3.8590688109397888</v>
      </c>
      <c r="AI132" s="96" t="str">
        <f t="shared" si="357"/>
        <v/>
      </c>
      <c r="AJ132" s="8">
        <f t="shared" si="358"/>
        <v>10.308825731277466</v>
      </c>
      <c r="AK132" s="96" t="str">
        <f t="shared" si="359"/>
        <v/>
      </c>
      <c r="AL132" s="238">
        <f>6*12+10+6/12</f>
        <v>82.5</v>
      </c>
      <c r="AM132" s="238">
        <f t="shared" ref="AM132" si="444">-AL132*F$6*20736+D132</f>
        <v>-74.384735689181241</v>
      </c>
    </row>
    <row r="133" spans="2:39" x14ac:dyDescent="0.2">
      <c r="B133" s="91"/>
      <c r="C133" s="9" t="s">
        <v>606</v>
      </c>
      <c r="D133" s="198">
        <v>37</v>
      </c>
      <c r="E133" s="8">
        <v>9</v>
      </c>
      <c r="F133" s="127">
        <f t="shared" si="334"/>
        <v>91.978435037360654</v>
      </c>
      <c r="G133" s="37" t="str">
        <f t="shared" si="385"/>
        <v>7;7E8X89E45</v>
      </c>
      <c r="H133" s="37"/>
      <c r="I133" s="285"/>
      <c r="J133" s="38">
        <v>1</v>
      </c>
      <c r="K133" s="128">
        <f t="shared" si="386"/>
        <v>7.6648695864467307</v>
      </c>
      <c r="L133" s="39" t="str">
        <f>INDEX(powers!$H$2:$H$75,33+J133)</f>
        <v>dozen</v>
      </c>
      <c r="M133" s="97" t="str">
        <f t="shared" si="335"/>
        <v>7</v>
      </c>
      <c r="N133" s="8">
        <f t="shared" si="336"/>
        <v>7.978435037360768</v>
      </c>
      <c r="O133" s="96" t="str">
        <f t="shared" si="337"/>
        <v>7</v>
      </c>
      <c r="P133" s="8">
        <f t="shared" si="338"/>
        <v>11.741220448329216</v>
      </c>
      <c r="Q133" s="96" t="str">
        <f t="shared" si="339"/>
        <v>E</v>
      </c>
      <c r="R133" s="8">
        <f t="shared" si="340"/>
        <v>8.8946453799505889</v>
      </c>
      <c r="S133" s="96" t="str">
        <f t="shared" si="341"/>
        <v>8</v>
      </c>
      <c r="T133" s="8">
        <f t="shared" si="342"/>
        <v>10.735744559407067</v>
      </c>
      <c r="U133" s="96" t="str">
        <f t="shared" si="343"/>
        <v>X</v>
      </c>
      <c r="V133" s="8">
        <f t="shared" si="344"/>
        <v>8.8289347128848021</v>
      </c>
      <c r="W133" s="96" t="str">
        <f t="shared" si="345"/>
        <v>8</v>
      </c>
      <c r="X133" s="8">
        <f t="shared" si="346"/>
        <v>9.9472165546176257</v>
      </c>
      <c r="Y133" s="96" t="str">
        <f t="shared" si="347"/>
        <v>9</v>
      </c>
      <c r="Z133" s="8">
        <f t="shared" si="348"/>
        <v>11.366598655411508</v>
      </c>
      <c r="AA133" s="96" t="str">
        <f t="shared" si="349"/>
        <v>E</v>
      </c>
      <c r="AB133" s="8">
        <f t="shared" si="350"/>
        <v>4.3991838649380952</v>
      </c>
      <c r="AC133" s="96" t="str">
        <f t="shared" si="351"/>
        <v>4</v>
      </c>
      <c r="AD133" s="8">
        <f t="shared" si="352"/>
        <v>4.7902063792571425</v>
      </c>
      <c r="AE133" s="96" t="str">
        <f t="shared" si="353"/>
        <v>5</v>
      </c>
      <c r="AF133" s="8">
        <f t="shared" si="354"/>
        <v>9.4824765510857105</v>
      </c>
      <c r="AG133" s="96" t="str">
        <f t="shared" si="355"/>
        <v/>
      </c>
      <c r="AH133" s="8">
        <f t="shared" si="356"/>
        <v>5.7897186130285263</v>
      </c>
      <c r="AI133" s="96" t="str">
        <f t="shared" si="357"/>
        <v/>
      </c>
      <c r="AJ133" s="8">
        <f t="shared" si="358"/>
        <v>9.4766233563423157</v>
      </c>
      <c r="AK133" s="96" t="str">
        <f t="shared" si="359"/>
        <v/>
      </c>
    </row>
    <row r="134" spans="2:39" x14ac:dyDescent="0.2">
      <c r="B134" s="126"/>
      <c r="C134" s="9" t="s">
        <v>607</v>
      </c>
      <c r="D134" s="198">
        <v>37.799999999999997</v>
      </c>
      <c r="E134" s="8">
        <v>9</v>
      </c>
      <c r="F134" s="127">
        <f t="shared" si="334"/>
        <v>92.639196659690782</v>
      </c>
      <c r="G134" s="37" t="str">
        <f t="shared" si="385"/>
        <v>7;8780646E</v>
      </c>
      <c r="H134" s="37"/>
      <c r="I134" s="285"/>
      <c r="J134" s="38">
        <v>1</v>
      </c>
      <c r="K134" s="128">
        <f t="shared" si="386"/>
        <v>7.7199330549742413</v>
      </c>
      <c r="L134" s="39" t="str">
        <f>INDEX(powers!$H$2:$H$75,33+J134)</f>
        <v>dozen</v>
      </c>
      <c r="M134" s="97" t="str">
        <f t="shared" si="335"/>
        <v>7</v>
      </c>
      <c r="N134" s="8">
        <f t="shared" si="336"/>
        <v>8.6391966596908958</v>
      </c>
      <c r="O134" s="96" t="str">
        <f t="shared" si="337"/>
        <v>8</v>
      </c>
      <c r="P134" s="8">
        <f t="shared" si="338"/>
        <v>7.6703599162907494</v>
      </c>
      <c r="Q134" s="96" t="str">
        <f t="shared" si="339"/>
        <v>7</v>
      </c>
      <c r="R134" s="8">
        <f t="shared" si="340"/>
        <v>8.0443189954889931</v>
      </c>
      <c r="S134" s="96" t="str">
        <f t="shared" si="341"/>
        <v>8</v>
      </c>
      <c r="T134" s="8">
        <f t="shared" si="342"/>
        <v>0.53182794586791715</v>
      </c>
      <c r="U134" s="96" t="str">
        <f t="shared" si="343"/>
        <v>0</v>
      </c>
      <c r="V134" s="8">
        <f t="shared" si="344"/>
        <v>6.3819353504150058</v>
      </c>
      <c r="W134" s="96" t="str">
        <f t="shared" si="345"/>
        <v>6</v>
      </c>
      <c r="X134" s="8">
        <f t="shared" si="346"/>
        <v>4.5832242049800698</v>
      </c>
      <c r="Y134" s="96" t="str">
        <f t="shared" si="347"/>
        <v>4</v>
      </c>
      <c r="Z134" s="8">
        <f t="shared" si="348"/>
        <v>6.9986904597608373</v>
      </c>
      <c r="AA134" s="96" t="str">
        <f t="shared" si="349"/>
        <v>6</v>
      </c>
      <c r="AB134" s="8">
        <f t="shared" si="350"/>
        <v>11.984285517130047</v>
      </c>
      <c r="AC134" s="96" t="str">
        <f t="shared" si="351"/>
        <v>E</v>
      </c>
      <c r="AD134" s="8">
        <f t="shared" si="352"/>
        <v>11.811426205560565</v>
      </c>
      <c r="AE134" s="96" t="str">
        <f t="shared" si="353"/>
        <v/>
      </c>
      <c r="AF134" s="8">
        <f t="shared" si="354"/>
        <v>9.7371144667267799</v>
      </c>
      <c r="AG134" s="96" t="str">
        <f t="shared" si="355"/>
        <v/>
      </c>
      <c r="AH134" s="8">
        <f t="shared" si="356"/>
        <v>8.8453736007213593</v>
      </c>
      <c r="AI134" s="96" t="str">
        <f t="shared" si="357"/>
        <v/>
      </c>
      <c r="AJ134" s="8">
        <f t="shared" si="358"/>
        <v>10.144483208656311</v>
      </c>
      <c r="AK134" s="96" t="str">
        <f t="shared" si="359"/>
        <v/>
      </c>
    </row>
    <row r="135" spans="2:39" x14ac:dyDescent="0.2">
      <c r="B135" s="126" t="s">
        <v>619</v>
      </c>
      <c r="C135" s="9" t="s">
        <v>608</v>
      </c>
      <c r="D135" s="198">
        <v>58.8</v>
      </c>
      <c r="E135" s="8">
        <v>9</v>
      </c>
      <c r="F135" s="127">
        <f t="shared" si="334"/>
        <v>109.98418924585678</v>
      </c>
      <c r="G135" s="37" t="str">
        <f t="shared" ref="G135" si="445">M135&amp;";"&amp;O135&amp;Q135&amp;S135&amp;U135&amp;W135&amp;Y135&amp;AA135&amp;AC135&amp;AE135&amp;AG135&amp;AI135&amp;AK135</f>
        <v>9;1E9881941</v>
      </c>
      <c r="H135" s="37"/>
      <c r="I135" s="285"/>
      <c r="J135" s="38">
        <v>1</v>
      </c>
      <c r="K135" s="128">
        <f t="shared" ref="K135" si="446">F135/POWER(12,J135)+0.00000000000001</f>
        <v>9.1653491038214092</v>
      </c>
      <c r="L135" s="39" t="str">
        <f>INDEX(powers!$H$2:$H$75,33+J135)</f>
        <v>dozen</v>
      </c>
      <c r="M135" s="97" t="str">
        <f t="shared" ref="M135" si="447">IF($E135&gt;=M$31,MID($J$31,IF($E135&gt;M$31,INT(K135),ROUND(K135,0))+1,1),"")</f>
        <v>9</v>
      </c>
      <c r="N135" s="8">
        <f t="shared" ref="N135" si="448">(K135-INT(K135))*12</f>
        <v>1.9841892458569106</v>
      </c>
      <c r="O135" s="96" t="str">
        <f t="shared" ref="O135" si="449">IF($E135&gt;=O$31,MID($J$31,IF($E135&gt;O$31,INT(N135),ROUND(N135,0))+1,1),"")</f>
        <v>1</v>
      </c>
      <c r="P135" s="8">
        <f t="shared" ref="P135" si="450">(N135-INT(N135))*12</f>
        <v>11.810270950282927</v>
      </c>
      <c r="Q135" s="96" t="str">
        <f t="shared" ref="Q135" si="451">IF($E135&gt;=Q$31,MID($J$31,IF($E135&gt;Q$31,INT(P135),ROUND(P135,0))+1,1),"")</f>
        <v>E</v>
      </c>
      <c r="R135" s="8">
        <f t="shared" ref="R135" si="452">(P135-INT(P135))*12</f>
        <v>9.7232514033951247</v>
      </c>
      <c r="S135" s="96" t="str">
        <f t="shared" ref="S135" si="453">IF($E135&gt;=S$31,MID($J$31,IF($E135&gt;S$31,INT(R135),ROUND(R135,0))+1,1),"")</f>
        <v>9</v>
      </c>
      <c r="T135" s="8">
        <f t="shared" ref="T135" si="454">(R135-INT(R135))*12</f>
        <v>8.6790168407414967</v>
      </c>
      <c r="U135" s="96" t="str">
        <f t="shared" ref="U135" si="455">IF($E135&gt;=U$31,MID($J$31,IF($E135&gt;U$31,INT(T135),ROUND(T135,0))+1,1),"")</f>
        <v>8</v>
      </c>
      <c r="V135" s="8">
        <f t="shared" ref="V135" si="456">(T135-INT(T135))*12</f>
        <v>8.1482020888979605</v>
      </c>
      <c r="W135" s="96" t="str">
        <f t="shared" ref="W135" si="457">IF($E135&gt;=W$31,MID($J$31,IF($E135&gt;W$31,INT(V135),ROUND(V135,0))+1,1),"")</f>
        <v>8</v>
      </c>
      <c r="X135" s="8">
        <f t="shared" ref="X135" si="458">(V135-INT(V135))*12</f>
        <v>1.7784250667755259</v>
      </c>
      <c r="Y135" s="96" t="str">
        <f t="shared" ref="Y135" si="459">IF($E135&gt;=Y$31,MID($J$31,IF($E135&gt;Y$31,INT(X135),ROUND(X135,0))+1,1),"")</f>
        <v>1</v>
      </c>
      <c r="Z135" s="8">
        <f t="shared" ref="Z135" si="460">(X135-INT(X135))*12</f>
        <v>9.341100801306311</v>
      </c>
      <c r="AA135" s="96" t="str">
        <f t="shared" ref="AA135" si="461">IF($E135&gt;=AA$31,MID($J$31,IF($E135&gt;AA$31,INT(Z135),ROUND(Z135,0))+1,1),"")</f>
        <v>9</v>
      </c>
      <c r="AB135" s="8">
        <f t="shared" ref="AB135" si="462">(Z135-INT(Z135))*12</f>
        <v>4.0932096156757325</v>
      </c>
      <c r="AC135" s="96" t="str">
        <f t="shared" ref="AC135" si="463">IF($E135&gt;=AC$31,MID($J$31,IF($E135&gt;AC$31,INT(AB135),ROUND(AB135,0))+1,1),"")</f>
        <v>4</v>
      </c>
      <c r="AD135" s="8">
        <f t="shared" ref="AD135" si="464">(AB135-INT(AB135))*12</f>
        <v>1.1185153881087899</v>
      </c>
      <c r="AE135" s="96" t="str">
        <f t="shared" ref="AE135" si="465">IF($E135&gt;=AE$31,MID($J$31,IF($E135&gt;AE$31,INT(AD135),ROUND(AD135,0))+1,1),"")</f>
        <v>1</v>
      </c>
      <c r="AF135" s="8">
        <f t="shared" ref="AF135" si="466">(AD135-INT(AD135))*12</f>
        <v>1.422184657305479</v>
      </c>
      <c r="AG135" s="96" t="str">
        <f t="shared" ref="AG135" si="467">IF($E135&gt;=AG$31,MID($J$31,IF($E135&gt;AG$31,INT(AF135),ROUND(AF135,0))+1,1),"")</f>
        <v/>
      </c>
      <c r="AH135" s="8">
        <f t="shared" ref="AH135" si="468">(AF135-INT(AF135))*12</f>
        <v>5.0662158876657486</v>
      </c>
      <c r="AI135" s="96" t="str">
        <f t="shared" ref="AI135" si="469">IF($E135&gt;=AI$31,MID($J$31,IF($E135&gt;AI$31,INT(AH135),ROUND(AH135,0))+1,1),"")</f>
        <v/>
      </c>
      <c r="AJ135" s="8">
        <f t="shared" ref="AJ135" si="470">(AH135-INT(AH135))*12</f>
        <v>0.79459065198898315</v>
      </c>
      <c r="AK135" s="96" t="str">
        <f t="shared" ref="AK135" si="471">IF($E135&gt;=AK$31,MID($J$31,IF($E135&gt;AK$31,INT(AJ135),ROUND(AJ135,0))+1,1),"")</f>
        <v/>
      </c>
    </row>
    <row r="136" spans="2:39" x14ac:dyDescent="0.2">
      <c r="B136" s="126"/>
      <c r="C136" s="9" t="s">
        <v>609</v>
      </c>
      <c r="D136" s="198">
        <v>60</v>
      </c>
      <c r="E136" s="8">
        <v>9</v>
      </c>
      <c r="F136" s="127">
        <f t="shared" si="334"/>
        <v>110.97533167935198</v>
      </c>
      <c r="G136" s="37" t="str">
        <f t="shared" si="385"/>
        <v>9;2E8545896</v>
      </c>
      <c r="H136" s="37"/>
      <c r="I136" s="285"/>
      <c r="J136" s="38">
        <v>1</v>
      </c>
      <c r="K136" s="128">
        <f t="shared" si="386"/>
        <v>9.2479443066126752</v>
      </c>
      <c r="L136" s="39" t="str">
        <f>INDEX(powers!$H$2:$H$75,33+J136)</f>
        <v>dozen</v>
      </c>
      <c r="M136" s="97" t="str">
        <f t="shared" si="335"/>
        <v>9</v>
      </c>
      <c r="N136" s="8">
        <f t="shared" si="336"/>
        <v>2.9753316793521023</v>
      </c>
      <c r="O136" s="96" t="str">
        <f t="shared" si="337"/>
        <v>2</v>
      </c>
      <c r="P136" s="8">
        <f t="shared" si="338"/>
        <v>11.703980152225228</v>
      </c>
      <c r="Q136" s="96" t="str">
        <f t="shared" si="339"/>
        <v>E</v>
      </c>
      <c r="R136" s="8">
        <f t="shared" si="340"/>
        <v>8.447761826702731</v>
      </c>
      <c r="S136" s="96" t="str">
        <f t="shared" si="341"/>
        <v>8</v>
      </c>
      <c r="T136" s="8">
        <f t="shared" si="342"/>
        <v>5.3731419204327722</v>
      </c>
      <c r="U136" s="96" t="str">
        <f t="shared" si="343"/>
        <v>5</v>
      </c>
      <c r="V136" s="8">
        <f t="shared" si="344"/>
        <v>4.477703045193266</v>
      </c>
      <c r="W136" s="96" t="str">
        <f t="shared" si="345"/>
        <v>4</v>
      </c>
      <c r="X136" s="8">
        <f t="shared" si="346"/>
        <v>5.7324365423191921</v>
      </c>
      <c r="Y136" s="96" t="str">
        <f t="shared" si="347"/>
        <v>5</v>
      </c>
      <c r="Z136" s="8">
        <f t="shared" si="348"/>
        <v>8.789238507830305</v>
      </c>
      <c r="AA136" s="96" t="str">
        <f t="shared" si="349"/>
        <v>8</v>
      </c>
      <c r="AB136" s="8">
        <f t="shared" si="350"/>
        <v>9.4708620939636603</v>
      </c>
      <c r="AC136" s="96" t="str">
        <f t="shared" si="351"/>
        <v>9</v>
      </c>
      <c r="AD136" s="8">
        <f t="shared" si="352"/>
        <v>5.6503451275639236</v>
      </c>
      <c r="AE136" s="96" t="str">
        <f t="shared" si="353"/>
        <v>6</v>
      </c>
      <c r="AF136" s="8">
        <f t="shared" si="354"/>
        <v>7.8041415307670832</v>
      </c>
      <c r="AG136" s="96" t="str">
        <f t="shared" si="355"/>
        <v/>
      </c>
      <c r="AH136" s="8">
        <f t="shared" si="356"/>
        <v>9.649698369204998</v>
      </c>
      <c r="AI136" s="96" t="str">
        <f t="shared" si="357"/>
        <v/>
      </c>
      <c r="AJ136" s="8">
        <f t="shared" si="358"/>
        <v>7.7963804304599762</v>
      </c>
      <c r="AK136" s="96" t="str">
        <f t="shared" si="359"/>
        <v/>
      </c>
    </row>
    <row r="137" spans="2:39" x14ac:dyDescent="0.2">
      <c r="B137" s="126"/>
      <c r="C137" s="9" t="s">
        <v>610</v>
      </c>
      <c r="D137" s="198">
        <v>83</v>
      </c>
      <c r="E137" s="8">
        <v>9</v>
      </c>
      <c r="F137" s="127">
        <f t="shared" si="334"/>
        <v>129.97222832134335</v>
      </c>
      <c r="G137" s="37" t="str">
        <f t="shared" si="385"/>
        <v>X;9E8001627</v>
      </c>
      <c r="H137" s="37"/>
      <c r="I137" s="285"/>
      <c r="J137" s="38">
        <v>1</v>
      </c>
      <c r="K137" s="128">
        <f t="shared" si="386"/>
        <v>10.831019026778623</v>
      </c>
      <c r="L137" s="39" t="str">
        <f>INDEX(powers!$H$2:$H$75,33+J137)</f>
        <v>dozen</v>
      </c>
      <c r="M137" s="97" t="str">
        <f t="shared" si="335"/>
        <v>X</v>
      </c>
      <c r="N137" s="8">
        <f t="shared" si="336"/>
        <v>9.9722283213434793</v>
      </c>
      <c r="O137" s="96" t="str">
        <f t="shared" si="337"/>
        <v>9</v>
      </c>
      <c r="P137" s="8">
        <f t="shared" si="338"/>
        <v>11.666739856121751</v>
      </c>
      <c r="Q137" s="96" t="str">
        <f t="shared" si="339"/>
        <v>E</v>
      </c>
      <c r="R137" s="8">
        <f t="shared" si="340"/>
        <v>8.0008782734610122</v>
      </c>
      <c r="S137" s="96" t="str">
        <f t="shared" si="341"/>
        <v>8</v>
      </c>
      <c r="T137" s="8">
        <f t="shared" si="342"/>
        <v>1.053928153214656E-2</v>
      </c>
      <c r="U137" s="96" t="str">
        <f t="shared" si="343"/>
        <v>0</v>
      </c>
      <c r="V137" s="8">
        <f t="shared" si="344"/>
        <v>0.12647137838575873</v>
      </c>
      <c r="W137" s="96" t="str">
        <f t="shared" si="345"/>
        <v>0</v>
      </c>
      <c r="X137" s="8">
        <f t="shared" si="346"/>
        <v>1.5176565406291047</v>
      </c>
      <c r="Y137" s="96" t="str">
        <f t="shared" si="347"/>
        <v>1</v>
      </c>
      <c r="Z137" s="8">
        <f t="shared" si="348"/>
        <v>6.2118784875492565</v>
      </c>
      <c r="AA137" s="96" t="str">
        <f t="shared" si="349"/>
        <v>6</v>
      </c>
      <c r="AB137" s="8">
        <f t="shared" si="350"/>
        <v>2.5425418505910784</v>
      </c>
      <c r="AC137" s="96" t="str">
        <f t="shared" si="351"/>
        <v>2</v>
      </c>
      <c r="AD137" s="8">
        <f t="shared" si="352"/>
        <v>6.5105022070929408</v>
      </c>
      <c r="AE137" s="96" t="str">
        <f t="shared" si="353"/>
        <v>7</v>
      </c>
      <c r="AF137" s="8">
        <f t="shared" si="354"/>
        <v>6.1260264851152897</v>
      </c>
      <c r="AG137" s="96" t="str">
        <f t="shared" si="355"/>
        <v/>
      </c>
      <c r="AH137" s="8">
        <f t="shared" si="356"/>
        <v>1.5123178213834763</v>
      </c>
      <c r="AI137" s="96" t="str">
        <f t="shared" si="357"/>
        <v/>
      </c>
      <c r="AJ137" s="8">
        <f t="shared" si="358"/>
        <v>6.1478138566017151</v>
      </c>
      <c r="AK137" s="96" t="str">
        <f t="shared" si="359"/>
        <v/>
      </c>
    </row>
    <row r="138" spans="2:39" x14ac:dyDescent="0.2">
      <c r="B138" s="91" t="s">
        <v>622</v>
      </c>
      <c r="C138" s="9" t="s">
        <v>613</v>
      </c>
      <c r="D138" s="198">
        <v>99.974000000000004</v>
      </c>
      <c r="E138" s="8">
        <v>9</v>
      </c>
      <c r="F138" s="127">
        <f t="shared" si="334"/>
        <v>143.99193804313296</v>
      </c>
      <c r="G138" s="37" t="str">
        <f t="shared" si="385"/>
        <v>0;EEEXX09E2</v>
      </c>
      <c r="H138" s="37"/>
      <c r="I138" s="285"/>
      <c r="J138" s="38">
        <v>2</v>
      </c>
      <c r="K138" s="128">
        <f t="shared" si="386"/>
        <v>0.99994401418843337</v>
      </c>
      <c r="L138" s="39" t="str">
        <f>INDEX(powers!$H$2:$H$75,33+J138)</f>
        <v>gross</v>
      </c>
      <c r="M138" s="97" t="str">
        <f t="shared" si="335"/>
        <v>0</v>
      </c>
      <c r="N138" s="8">
        <f t="shared" si="336"/>
        <v>11.999328170261201</v>
      </c>
      <c r="O138" s="96" t="str">
        <f t="shared" si="337"/>
        <v>E</v>
      </c>
      <c r="P138" s="8">
        <f t="shared" si="338"/>
        <v>11.991938043134411</v>
      </c>
      <c r="Q138" s="96" t="str">
        <f t="shared" si="339"/>
        <v>E</v>
      </c>
      <c r="R138" s="8">
        <f t="shared" si="340"/>
        <v>11.903256517612931</v>
      </c>
      <c r="S138" s="96" t="str">
        <f t="shared" si="341"/>
        <v>E</v>
      </c>
      <c r="T138" s="8">
        <f t="shared" si="342"/>
        <v>10.839078211355172</v>
      </c>
      <c r="U138" s="96" t="str">
        <f t="shared" si="343"/>
        <v>X</v>
      </c>
      <c r="V138" s="8">
        <f t="shared" si="344"/>
        <v>10.068938536262067</v>
      </c>
      <c r="W138" s="96" t="str">
        <f t="shared" si="345"/>
        <v>X</v>
      </c>
      <c r="X138" s="8">
        <f t="shared" si="346"/>
        <v>0.82726243514480302</v>
      </c>
      <c r="Y138" s="96" t="str">
        <f t="shared" si="347"/>
        <v>0</v>
      </c>
      <c r="Z138" s="8">
        <f t="shared" si="348"/>
        <v>9.9271492217376363</v>
      </c>
      <c r="AA138" s="96" t="str">
        <f t="shared" si="349"/>
        <v>9</v>
      </c>
      <c r="AB138" s="8">
        <f t="shared" si="350"/>
        <v>11.125790660851635</v>
      </c>
      <c r="AC138" s="96" t="str">
        <f t="shared" si="351"/>
        <v>E</v>
      </c>
      <c r="AD138" s="8">
        <f t="shared" si="352"/>
        <v>1.5094879302196205</v>
      </c>
      <c r="AE138" s="96" t="str">
        <f t="shared" si="353"/>
        <v>2</v>
      </c>
      <c r="AF138" s="8">
        <f t="shared" si="354"/>
        <v>6.1138551626354456</v>
      </c>
      <c r="AG138" s="96" t="str">
        <f t="shared" si="355"/>
        <v/>
      </c>
      <c r="AH138" s="8">
        <f t="shared" si="356"/>
        <v>1.3662619516253471</v>
      </c>
      <c r="AI138" s="96" t="str">
        <f t="shared" si="357"/>
        <v/>
      </c>
      <c r="AJ138" s="8">
        <f t="shared" si="358"/>
        <v>4.3951434195041656</v>
      </c>
      <c r="AK138" s="96" t="str">
        <f t="shared" si="359"/>
        <v/>
      </c>
      <c r="AL138" s="238">
        <f>144</f>
        <v>144</v>
      </c>
      <c r="AM138" s="238">
        <f t="shared" ref="AM138:AM140" si="472">-AL138*F$6*20736+D138</f>
        <v>-74.370265930207253</v>
      </c>
    </row>
    <row r="139" spans="2:39" x14ac:dyDescent="0.2">
      <c r="B139" s="91" t="s">
        <v>623</v>
      </c>
      <c r="C139" s="9" t="s">
        <v>621</v>
      </c>
      <c r="D139" s="198">
        <v>99.983900000000006</v>
      </c>
      <c r="E139" s="8">
        <v>9</v>
      </c>
      <c r="F139" s="127">
        <f t="shared" si="334"/>
        <v>144.00011496820929</v>
      </c>
      <c r="G139" s="37" t="str">
        <f t="shared" ref="G139" si="473">M139&amp;";"&amp;O139&amp;Q139&amp;S139&amp;U139&amp;W139&amp;Y139&amp;AA139&amp;AC139&amp;AE139&amp;AG139&amp;AI139&amp;AK139</f>
        <v>1;000002474</v>
      </c>
      <c r="H139" s="37"/>
      <c r="I139" s="285"/>
      <c r="J139" s="38">
        <v>2</v>
      </c>
      <c r="K139" s="128">
        <f t="shared" ref="K139" si="474">F139/POWER(12,J139)+0.00000000000001</f>
        <v>1.0000007983903523</v>
      </c>
      <c r="L139" s="39" t="str">
        <f>INDEX(powers!$H$2:$H$75,33+J139)</f>
        <v>gross</v>
      </c>
      <c r="M139" s="97" t="str">
        <f t="shared" ref="M139" si="475">IF($E139&gt;=M$31,MID($J$31,IF($E139&gt;M$31,INT(K139),ROUND(K139,0))+1,1),"")</f>
        <v>1</v>
      </c>
      <c r="N139" s="8">
        <f t="shared" ref="N139" si="476">(K139-INT(K139))*12</f>
        <v>9.5806842272949666E-6</v>
      </c>
      <c r="O139" s="96" t="str">
        <f t="shared" ref="O139" si="477">IF($E139&gt;=O$31,MID($J$31,IF($E139&gt;O$31,INT(N139),ROUND(N139,0))+1,1),"")</f>
        <v>0</v>
      </c>
      <c r="P139" s="8">
        <f t="shared" ref="P139" si="478">(N139-INT(N139))*12</f>
        <v>1.149682107275396E-4</v>
      </c>
      <c r="Q139" s="96" t="str">
        <f t="shared" ref="Q139" si="479">IF($E139&gt;=Q$31,MID($J$31,IF($E139&gt;Q$31,INT(P139),ROUND(P139,0))+1,1),"")</f>
        <v>0</v>
      </c>
      <c r="R139" s="8">
        <f t="shared" ref="R139" si="480">(P139-INT(P139))*12</f>
        <v>1.3796185287304752E-3</v>
      </c>
      <c r="S139" s="96" t="str">
        <f t="shared" ref="S139" si="481">IF($E139&gt;=S$31,MID($J$31,IF($E139&gt;S$31,INT(R139),ROUND(R139,0))+1,1),"")</f>
        <v>0</v>
      </c>
      <c r="T139" s="8">
        <f t="shared" ref="T139" si="482">(R139-INT(R139))*12</f>
        <v>1.6555422344765702E-2</v>
      </c>
      <c r="U139" s="96" t="str">
        <f t="shared" ref="U139" si="483">IF($E139&gt;=U$31,MID($J$31,IF($E139&gt;U$31,INT(T139),ROUND(T139,0))+1,1),"")</f>
        <v>0</v>
      </c>
      <c r="V139" s="8">
        <f t="shared" ref="V139" si="484">(T139-INT(T139))*12</f>
        <v>0.19866506813718843</v>
      </c>
      <c r="W139" s="96" t="str">
        <f t="shared" ref="W139" si="485">IF($E139&gt;=W$31,MID($J$31,IF($E139&gt;W$31,INT(V139),ROUND(V139,0))+1,1),"")</f>
        <v>0</v>
      </c>
      <c r="X139" s="8">
        <f t="shared" ref="X139" si="486">(V139-INT(V139))*12</f>
        <v>2.3839808176462611</v>
      </c>
      <c r="Y139" s="96" t="str">
        <f t="shared" ref="Y139" si="487">IF($E139&gt;=Y$31,MID($J$31,IF($E139&gt;Y$31,INT(X139),ROUND(X139,0))+1,1),"")</f>
        <v>2</v>
      </c>
      <c r="Z139" s="8">
        <f t="shared" ref="Z139" si="488">(X139-INT(X139))*12</f>
        <v>4.6077698117551336</v>
      </c>
      <c r="AA139" s="96" t="str">
        <f t="shared" ref="AA139" si="489">IF($E139&gt;=AA$31,MID($J$31,IF($E139&gt;AA$31,INT(Z139),ROUND(Z139,0))+1,1),"")</f>
        <v>4</v>
      </c>
      <c r="AB139" s="8">
        <f t="shared" ref="AB139" si="490">(Z139-INT(Z139))*12</f>
        <v>7.2932377410616027</v>
      </c>
      <c r="AC139" s="96" t="str">
        <f t="shared" ref="AC139" si="491">IF($E139&gt;=AC$31,MID($J$31,IF($E139&gt;AC$31,INT(AB139),ROUND(AB139,0))+1,1),"")</f>
        <v>7</v>
      </c>
      <c r="AD139" s="8">
        <f t="shared" ref="AD139" si="492">(AB139-INT(AB139))*12</f>
        <v>3.5188528927392326</v>
      </c>
      <c r="AE139" s="96" t="str">
        <f t="shared" ref="AE139" si="493">IF($E139&gt;=AE$31,MID($J$31,IF($E139&gt;AE$31,INT(AD139),ROUND(AD139,0))+1,1),"")</f>
        <v>4</v>
      </c>
      <c r="AF139" s="8">
        <f t="shared" ref="AF139" si="494">(AD139-INT(AD139))*12</f>
        <v>6.2262347128707916</v>
      </c>
      <c r="AG139" s="96" t="str">
        <f t="shared" ref="AG139" si="495">IF($E139&gt;=AG$31,MID($J$31,IF($E139&gt;AG$31,INT(AF139),ROUND(AF139,0))+1,1),"")</f>
        <v/>
      </c>
      <c r="AH139" s="8">
        <f t="shared" ref="AH139" si="496">(AF139-INT(AF139))*12</f>
        <v>2.7148165544494987</v>
      </c>
      <c r="AI139" s="96" t="str">
        <f t="shared" ref="AI139" si="497">IF($E139&gt;=AI$31,MID($J$31,IF($E139&gt;AI$31,INT(AH139),ROUND(AH139,0))+1,1),"")</f>
        <v/>
      </c>
      <c r="AJ139" s="8">
        <f t="shared" ref="AJ139" si="498">(AH139-INT(AH139))*12</f>
        <v>8.5777986533939838</v>
      </c>
      <c r="AK139" s="96" t="str">
        <f t="shared" ref="AK139" si="499">IF($E139&gt;=AK$31,MID($J$31,IF($E139&gt;AK$31,INT(AJ139),ROUND(AJ139,0))+1,1),"")</f>
        <v/>
      </c>
      <c r="AL139" s="238">
        <f>144</f>
        <v>144</v>
      </c>
      <c r="AM139" s="238">
        <f t="shared" si="472"/>
        <v>-74.360365930207251</v>
      </c>
    </row>
    <row r="140" spans="2:39" ht="12" thickBot="1" x14ac:dyDescent="0.25">
      <c r="B140" s="129"/>
      <c r="C140" s="241" t="s">
        <v>611</v>
      </c>
      <c r="D140" s="199">
        <v>100</v>
      </c>
      <c r="E140" s="33">
        <v>9</v>
      </c>
      <c r="F140" s="130">
        <f t="shared" si="334"/>
        <v>144.01341279585867</v>
      </c>
      <c r="G140" s="47" t="str">
        <f t="shared" si="385"/>
        <v>1;0001E2165</v>
      </c>
      <c r="H140" s="47"/>
      <c r="I140" s="287"/>
      <c r="J140" s="48">
        <v>2</v>
      </c>
      <c r="K140" s="106">
        <f t="shared" si="386"/>
        <v>1.0000931444156953</v>
      </c>
      <c r="L140" s="49" t="str">
        <f>INDEX(powers!$H$2:$H$75,33+J140)</f>
        <v>gross</v>
      </c>
      <c r="M140" s="97" t="str">
        <f t="shared" si="335"/>
        <v>1</v>
      </c>
      <c r="N140" s="8">
        <f t="shared" si="336"/>
        <v>1.1177329883436116E-3</v>
      </c>
      <c r="O140" s="96" t="str">
        <f t="shared" si="337"/>
        <v>0</v>
      </c>
      <c r="P140" s="8">
        <f t="shared" si="338"/>
        <v>1.3412795860123339E-2</v>
      </c>
      <c r="Q140" s="96" t="str">
        <f t="shared" si="339"/>
        <v>0</v>
      </c>
      <c r="R140" s="8">
        <f t="shared" si="340"/>
        <v>0.16095355032148007</v>
      </c>
      <c r="S140" s="96" t="str">
        <f t="shared" si="341"/>
        <v>0</v>
      </c>
      <c r="T140" s="8">
        <f t="shared" si="342"/>
        <v>1.9314426038577608</v>
      </c>
      <c r="U140" s="96" t="str">
        <f t="shared" si="343"/>
        <v>1</v>
      </c>
      <c r="V140" s="8">
        <f t="shared" si="344"/>
        <v>11.177311246293129</v>
      </c>
      <c r="W140" s="96" t="str">
        <f t="shared" si="345"/>
        <v>E</v>
      </c>
      <c r="X140" s="8">
        <f t="shared" si="346"/>
        <v>2.1277349555175533</v>
      </c>
      <c r="Y140" s="96" t="str">
        <f t="shared" si="347"/>
        <v>2</v>
      </c>
      <c r="Z140" s="8">
        <f t="shared" si="348"/>
        <v>1.5328194662106398</v>
      </c>
      <c r="AA140" s="96" t="str">
        <f t="shared" si="349"/>
        <v>1</v>
      </c>
      <c r="AB140" s="8">
        <f t="shared" si="350"/>
        <v>6.3938335945276776</v>
      </c>
      <c r="AC140" s="96" t="str">
        <f t="shared" si="351"/>
        <v>6</v>
      </c>
      <c r="AD140" s="8">
        <f t="shared" si="352"/>
        <v>4.7260031343321316</v>
      </c>
      <c r="AE140" s="96" t="str">
        <f t="shared" si="353"/>
        <v>5</v>
      </c>
      <c r="AF140" s="8">
        <f t="shared" si="354"/>
        <v>8.7120376119855791</v>
      </c>
      <c r="AG140" s="96" t="str">
        <f t="shared" si="355"/>
        <v/>
      </c>
      <c r="AH140" s="8">
        <f t="shared" si="356"/>
        <v>8.5444513438269496</v>
      </c>
      <c r="AI140" s="96" t="str">
        <f t="shared" si="357"/>
        <v/>
      </c>
      <c r="AJ140" s="8">
        <f t="shared" si="358"/>
        <v>6.5334161259233952</v>
      </c>
      <c r="AK140" s="96" t="str">
        <f t="shared" si="359"/>
        <v/>
      </c>
      <c r="AL140" s="238">
        <f>144</f>
        <v>144</v>
      </c>
      <c r="AM140" s="238">
        <f t="shared" si="472"/>
        <v>-74.344265930207257</v>
      </c>
    </row>
    <row r="141" spans="2:39" x14ac:dyDescent="0.2">
      <c r="B141" s="55"/>
      <c r="D141" s="243">
        <f>(D117+144*F6*20736-D139)*1</f>
        <v>-1.3919477814283709E-4</v>
      </c>
      <c r="F141" s="233"/>
      <c r="G141" s="234"/>
      <c r="H141" s="234"/>
      <c r="I141" s="292"/>
      <c r="J141" s="235"/>
      <c r="K141" s="236"/>
      <c r="L141" s="236"/>
      <c r="M141" s="237"/>
      <c r="O141" s="237"/>
      <c r="Q141" s="237"/>
      <c r="S141" s="237"/>
      <c r="U141" s="237"/>
      <c r="W141" s="237"/>
      <c r="Y141" s="237"/>
      <c r="AA141" s="237"/>
      <c r="AC141" s="237"/>
      <c r="AE141" s="237"/>
      <c r="AG141" s="237"/>
      <c r="AI141" s="237"/>
      <c r="AK141" s="237"/>
    </row>
    <row r="142" spans="2:39" x14ac:dyDescent="0.2">
      <c r="B142" s="138" t="s">
        <v>1765</v>
      </c>
      <c r="C142" s="54"/>
      <c r="D142" s="238">
        <f>D$117+F$6*F142*20736</f>
        <v>14.022351909077997</v>
      </c>
      <c r="F142" s="233">
        <f>12*6+1</f>
        <v>73</v>
      </c>
    </row>
    <row r="143" spans="2:39" x14ac:dyDescent="0.2">
      <c r="B143" s="138" t="s">
        <v>1766</v>
      </c>
      <c r="C143" s="54"/>
      <c r="D143" s="238">
        <f>D$117+F$6*F143*20736</f>
        <v>37.026109219313668</v>
      </c>
      <c r="F143" s="233">
        <f>12*7+8</f>
        <v>92</v>
      </c>
      <c r="AL143" s="238"/>
    </row>
    <row r="144" spans="2:39" x14ac:dyDescent="0.2">
      <c r="B144" s="138" t="s">
        <v>1767</v>
      </c>
      <c r="C144" s="54"/>
      <c r="D144" s="238">
        <f>D$117+F$6*F144*20736</f>
        <v>99.983760805221863</v>
      </c>
      <c r="F144" s="233">
        <v>144</v>
      </c>
    </row>
    <row r="145" spans="2:5" ht="13.5" x14ac:dyDescent="0.2">
      <c r="B145" s="138" t="s">
        <v>1768</v>
      </c>
      <c r="D145" s="442">
        <f>F6*POWER(12,7)*3-273.15</f>
        <v>6003.2435734874616</v>
      </c>
      <c r="E145" s="14" t="s">
        <v>1176</v>
      </c>
    </row>
  </sheetData>
  <mergeCells count="7">
    <mergeCell ref="A72:A89"/>
    <mergeCell ref="J31:K31"/>
    <mergeCell ref="A31:A71"/>
    <mergeCell ref="M1:R1"/>
    <mergeCell ref="M2:N2"/>
    <mergeCell ref="A1:A30"/>
    <mergeCell ref="R24:W26"/>
  </mergeCells>
  <phoneticPr fontId="1"/>
  <printOptions horizontalCentered="1"/>
  <pageMargins left="0.70866141732283472" right="0.70866141732283472" top="0.74803149606299213" bottom="0.74803149606299213" header="0.31496062992125984" footer="0.31496062992125984"/>
  <pageSetup paperSize="9" scale="72" fitToHeight="2" orientation="portrait" r:id="rId1"/>
  <headerFooter>
    <oddHeader>&amp;A</oddHeader>
  </headerFooter>
  <rowBreaks count="1" manualBreakCount="1">
    <brk id="7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38"/>
  <sheetViews>
    <sheetView zoomScaleNormal="100" workbookViewId="0">
      <selection activeCell="D16" sqref="D16"/>
    </sheetView>
  </sheetViews>
  <sheetFormatPr defaultColWidth="9" defaultRowHeight="11.5" x14ac:dyDescent="0.2"/>
  <cols>
    <col min="1" max="1" width="2.7265625" style="14" customWidth="1"/>
    <col min="2" max="2" width="27.1796875" style="14" customWidth="1"/>
    <col min="3" max="3" width="8.6328125" style="14" customWidth="1"/>
    <col min="4" max="4" width="14.1796875" style="14" customWidth="1"/>
    <col min="5" max="5" width="3.453125" style="14" customWidth="1"/>
    <col min="6" max="6" width="14.6328125" style="14" customWidth="1"/>
    <col min="7" max="7" width="14.1796875" style="14" customWidth="1"/>
    <col min="8" max="8" width="7" style="14" customWidth="1"/>
    <col min="9" max="9" width="2.7265625" style="288" customWidth="1"/>
    <col min="10" max="10" width="3.6328125" style="14" customWidth="1"/>
    <col min="11" max="11" width="9.6328125" style="14" customWidth="1"/>
    <col min="12" max="12" width="15.7265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38" width="10.26953125" style="14" customWidth="1"/>
    <col min="39" max="39" width="10.1796875" style="14" customWidth="1"/>
    <col min="40" max="16384" width="9" style="14"/>
  </cols>
  <sheetData>
    <row r="1" spans="1:37" ht="11.25" customHeight="1" x14ac:dyDescent="0.2">
      <c r="A1" s="580" t="s">
        <v>26</v>
      </c>
      <c r="B1" s="17" t="s">
        <v>42</v>
      </c>
      <c r="C1" s="18" t="str">
        <f>Rydberg!C1</f>
        <v>Unit Symbol</v>
      </c>
      <c r="D1" s="17" t="s">
        <v>43</v>
      </c>
      <c r="E1" s="18" t="s">
        <v>44</v>
      </c>
      <c r="F1" s="17" t="s">
        <v>55</v>
      </c>
      <c r="G1" s="17" t="s">
        <v>203</v>
      </c>
      <c r="H1" s="18" t="str">
        <f>Rydberg!H$1</f>
        <v>difference</v>
      </c>
      <c r="I1" s="293" t="s">
        <v>724</v>
      </c>
      <c r="J1" s="19"/>
      <c r="K1" s="56" t="s">
        <v>46</v>
      </c>
      <c r="L1" s="20"/>
      <c r="M1" s="591" t="s">
        <v>116</v>
      </c>
      <c r="N1" s="592"/>
      <c r="O1" s="592"/>
      <c r="P1" s="592"/>
      <c r="Q1" s="592"/>
      <c r="R1" s="592"/>
    </row>
    <row r="2" spans="1:37" ht="13.5" customHeight="1" x14ac:dyDescent="0.2">
      <c r="A2" s="581"/>
      <c r="B2" s="2" t="str">
        <f>Rydberg!B2</f>
        <v>Local Time</v>
      </c>
      <c r="C2" s="2" t="str">
        <f>Rydberg!C2</f>
        <v>s</v>
      </c>
      <c r="D2" s="21"/>
      <c r="E2" s="8"/>
      <c r="F2" s="8"/>
      <c r="G2" s="8"/>
      <c r="H2" s="8"/>
      <c r="I2" s="278"/>
      <c r="J2" s="8"/>
      <c r="K2" s="57"/>
      <c r="L2" s="22"/>
      <c r="M2" s="589">
        <f>365.2421896698-(0.00000615359)*P2-(0.000000000729)*P2*P2+(0.000000000264)*P2*P2*P2</f>
        <v>365.24218750000171</v>
      </c>
      <c r="N2" s="590"/>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5">
        <f>D66/POWER(12,13)</f>
        <v>9.3482251649191144E-8</v>
      </c>
      <c r="E3" s="8">
        <v>6</v>
      </c>
      <c r="F3" s="21">
        <f t="shared" ref="F3:F30" si="0">D3*POWER(12,E3)</f>
        <v>0.27913650770845838</v>
      </c>
      <c r="G3" s="21"/>
      <c r="H3" s="26"/>
      <c r="I3" s="279"/>
      <c r="J3" s="8">
        <v>-3</v>
      </c>
      <c r="K3" s="58">
        <f>F3/POWER(10,J3)</f>
        <v>279.1365077084584</v>
      </c>
      <c r="L3" s="118" t="str">
        <f>Rydberg!L3</f>
        <v>mm</v>
      </c>
      <c r="M3" s="23"/>
      <c r="N3" s="82">
        <f>-LOG(F3)/(LOG(12)-LOG(10))</f>
        <v>6.9989219284591266</v>
      </c>
      <c r="O3" s="24"/>
      <c r="P3" s="83">
        <f>POWER(12,N3)*F3/POWER(10,N3)</f>
        <v>0.99999999999999967</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8">
        <f>86400/POWER(12,17)/POWER(2,7)</f>
        <v>3.0424439774472407E-16</v>
      </c>
      <c r="E4" s="8">
        <v>14</v>
      </c>
      <c r="F4" s="21">
        <f t="shared" si="0"/>
        <v>0.390625</v>
      </c>
      <c r="G4" s="21"/>
      <c r="H4" s="253"/>
      <c r="I4" s="280"/>
      <c r="J4" s="8">
        <v>-3</v>
      </c>
      <c r="K4" s="58">
        <f t="shared" ref="K4:K30" si="1">F4/POWER(10,J4)</f>
        <v>390.625</v>
      </c>
      <c r="L4" s="118" t="str">
        <f>Rydberg!L4</f>
        <v>ms</v>
      </c>
      <c r="M4" s="23"/>
      <c r="N4" s="82">
        <f t="shared" ref="N4:N30" si="2">-LOG(F4)/(LOG(12)-LOG(10))</f>
        <v>5.1557658623647677</v>
      </c>
      <c r="O4" s="24"/>
      <c r="P4" s="83">
        <f t="shared" ref="P4:P30" si="3">POWER(12,N4)*F4/POWER(10,N4)</f>
        <v>0.99999999999999833</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D8*POWER(D3/D4,2)</f>
        <v>3.8245056774225131E-19</v>
      </c>
      <c r="E5" s="8">
        <v>16</v>
      </c>
      <c r="F5" s="21">
        <f t="shared" si="0"/>
        <v>7.0709089781012049E-2</v>
      </c>
      <c r="G5" s="21"/>
      <c r="H5" s="21"/>
      <c r="I5" s="278"/>
      <c r="J5" s="8">
        <v>-3</v>
      </c>
      <c r="K5" s="58">
        <f t="shared" si="1"/>
        <v>70.709089781012054</v>
      </c>
      <c r="L5" s="118" t="str">
        <f>Rydberg!L5</f>
        <v>mJ</v>
      </c>
      <c r="M5" s="23"/>
      <c r="N5" s="82">
        <f t="shared" si="2"/>
        <v>14.530268348939977</v>
      </c>
      <c r="O5" s="24"/>
      <c r="P5" s="83">
        <f t="shared" si="3"/>
        <v>0.99999999999999523</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D5/D8/(2*D56)/POWER(12,8)</f>
        <v>26238.651355657086</v>
      </c>
      <c r="E6" s="132">
        <v>-8</v>
      </c>
      <c r="F6" s="135">
        <f t="shared" si="0"/>
        <v>6.1022717012719271E-5</v>
      </c>
      <c r="G6" s="21"/>
      <c r="H6" s="21"/>
      <c r="I6" s="278"/>
      <c r="J6" s="132">
        <v>-6</v>
      </c>
      <c r="K6" s="136">
        <f t="shared" si="1"/>
        <v>61.022717012719276</v>
      </c>
      <c r="L6" s="133" t="str">
        <f>Rydberg!L6</f>
        <v>μK</v>
      </c>
      <c r="M6" s="23"/>
      <c r="N6" s="82">
        <f t="shared" si="2"/>
        <v>53.226094180628223</v>
      </c>
      <c r="O6" s="24"/>
      <c r="P6" s="83">
        <f t="shared" si="3"/>
        <v>0.99999999999997402</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D8*1000*POWER(12,8)</f>
        <v>1.7418555214690544E-24</v>
      </c>
      <c r="E7" s="8">
        <v>24</v>
      </c>
      <c r="F7" s="21">
        <f t="shared" si="0"/>
        <v>138.47202224060811</v>
      </c>
      <c r="G7" s="21"/>
      <c r="H7" s="21"/>
      <c r="I7" s="278"/>
      <c r="J7" s="8">
        <v>0</v>
      </c>
      <c r="K7" s="58">
        <f t="shared" si="1"/>
        <v>138.47202224060811</v>
      </c>
      <c r="L7" s="118" t="str">
        <f>Rydberg!L7</f>
        <v>mol</v>
      </c>
      <c r="M7" s="23"/>
      <c r="N7" s="82">
        <f t="shared" si="2"/>
        <v>-27.043803192788722</v>
      </c>
      <c r="O7" s="24"/>
      <c r="P7" s="83">
        <f t="shared" si="3"/>
        <v>1.0000000000000069</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D55*POWER(F3,3)/POWER(12,34)</f>
        <v>4.0509992347884842E-36</v>
      </c>
      <c r="E8" s="8">
        <v>32</v>
      </c>
      <c r="F8" s="21">
        <f t="shared" si="0"/>
        <v>0.13847202224060812</v>
      </c>
      <c r="G8" s="21"/>
      <c r="H8" s="21"/>
      <c r="I8" s="278"/>
      <c r="J8" s="8">
        <v>-3</v>
      </c>
      <c r="K8" s="58">
        <f t="shared" si="1"/>
        <v>138.47202224060811</v>
      </c>
      <c r="L8" s="118" t="str">
        <f>Rydberg!L8</f>
        <v>g</v>
      </c>
      <c r="M8" s="23"/>
      <c r="N8" s="82">
        <f t="shared" si="2"/>
        <v>10.843956216751257</v>
      </c>
      <c r="O8" s="24"/>
      <c r="P8" s="83">
        <f t="shared" si="3"/>
        <v>0.99999999999999634</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1.2570504849957699E-3</v>
      </c>
      <c r="E9" s="8">
        <v>2</v>
      </c>
      <c r="F9" s="21">
        <f t="shared" si="0"/>
        <v>0.18101526983939087</v>
      </c>
      <c r="G9" s="21"/>
      <c r="H9" s="21"/>
      <c r="I9" s="278"/>
      <c r="J9" s="8">
        <v>-3</v>
      </c>
      <c r="K9" s="58">
        <f t="shared" si="1"/>
        <v>181.01526983939087</v>
      </c>
      <c r="L9" s="118" t="str">
        <f>Rydberg!L9</f>
        <v>mW</v>
      </c>
      <c r="M9" s="23"/>
      <c r="N9" s="82">
        <f t="shared" si="2"/>
        <v>9.3745024865752082</v>
      </c>
      <c r="O9" s="24"/>
      <c r="P9" s="83">
        <f t="shared" si="3"/>
        <v>0.99999999999999678</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4.0911569949926472E-12</v>
      </c>
      <c r="E10" s="8">
        <v>10</v>
      </c>
      <c r="F10" s="21">
        <f t="shared" si="0"/>
        <v>0.25331365775652509</v>
      </c>
      <c r="G10" s="21"/>
      <c r="H10" s="21"/>
      <c r="I10" s="278"/>
      <c r="J10" s="8">
        <v>-3</v>
      </c>
      <c r="K10" s="58">
        <f t="shared" si="1"/>
        <v>253.31365775652509</v>
      </c>
      <c r="L10" s="118" t="str">
        <f>Rydberg!L10</f>
        <v>mN</v>
      </c>
      <c r="M10" s="23"/>
      <c r="N10" s="82">
        <f t="shared" si="2"/>
        <v>7.5313464204808493</v>
      </c>
      <c r="O10" s="24"/>
      <c r="P10" s="83">
        <f t="shared" si="3"/>
        <v>0.99999999999999933</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468.15300637836032</v>
      </c>
      <c r="E11" s="8">
        <v>-2</v>
      </c>
      <c r="F11" s="21">
        <f t="shared" si="0"/>
        <v>3.2510625442941685</v>
      </c>
      <c r="G11" s="21"/>
      <c r="H11" s="21"/>
      <c r="I11" s="278"/>
      <c r="J11" s="8">
        <v>0</v>
      </c>
      <c r="K11" s="58">
        <f t="shared" si="1"/>
        <v>3.2510625442941685</v>
      </c>
      <c r="L11" s="118" t="str">
        <f>Rydberg!L11</f>
        <v>Pa</v>
      </c>
      <c r="M11" s="23"/>
      <c r="N11" s="82">
        <f t="shared" si="2"/>
        <v>-6.466497436437403</v>
      </c>
      <c r="O11" s="24"/>
      <c r="P11" s="83">
        <f t="shared" si="3"/>
        <v>1.0000000000000013</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D41*12</f>
        <v>1.9226119607999998E-18</v>
      </c>
      <c r="E12" s="8">
        <v>15</v>
      </c>
      <c r="F12" s="21">
        <f t="shared" si="0"/>
        <v>2.9621723959603396E-2</v>
      </c>
      <c r="G12" s="21"/>
      <c r="H12" s="21"/>
      <c r="I12" s="278"/>
      <c r="J12" s="8">
        <v>-3</v>
      </c>
      <c r="K12" s="58">
        <f t="shared" si="1"/>
        <v>29.621723959603397</v>
      </c>
      <c r="L12" s="118" t="str">
        <f>Rydberg!L12</f>
        <v>mC</v>
      </c>
      <c r="M12" s="23"/>
      <c r="N12" s="82">
        <f t="shared" si="2"/>
        <v>19.302420027385544</v>
      </c>
      <c r="O12" s="24"/>
      <c r="P12" s="83">
        <f t="shared" si="3"/>
        <v>0.99999999999999556</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6.3193011113820583E-3</v>
      </c>
      <c r="E13" s="8">
        <v>1</v>
      </c>
      <c r="F13" s="21">
        <f t="shared" si="0"/>
        <v>7.5831613336584697E-2</v>
      </c>
      <c r="G13" s="21"/>
      <c r="H13" s="21"/>
      <c r="I13" s="278"/>
      <c r="J13" s="8">
        <v>-3</v>
      </c>
      <c r="K13" s="58">
        <f t="shared" si="1"/>
        <v>75.831613336584695</v>
      </c>
      <c r="L13" s="118" t="str">
        <f>Rydberg!L13</f>
        <v>mA</v>
      </c>
      <c r="M13" s="23"/>
      <c r="N13" s="82">
        <f t="shared" si="2"/>
        <v>14.146654165020776</v>
      </c>
      <c r="O13" s="24"/>
      <c r="P13" s="83">
        <f t="shared" si="3"/>
        <v>0.99999999999999711</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67598.939904618106</v>
      </c>
      <c r="E14" s="8">
        <v>-5</v>
      </c>
      <c r="F14" s="21">
        <f t="shared" si="0"/>
        <v>0.27166497839754578</v>
      </c>
      <c r="G14" s="21"/>
      <c r="H14" s="21"/>
      <c r="I14" s="278"/>
      <c r="J14" s="8">
        <v>-3</v>
      </c>
      <c r="K14" s="58">
        <f t="shared" si="1"/>
        <v>271.66497839754578</v>
      </c>
      <c r="L14" s="118" t="str">
        <f>Rydberg!L14</f>
        <v>mA/m</v>
      </c>
      <c r="M14" s="23"/>
      <c r="N14" s="82">
        <f t="shared" si="2"/>
        <v>7.1477322365616471</v>
      </c>
      <c r="O14" s="24"/>
      <c r="P14" s="83">
        <f t="shared" si="3"/>
        <v>0.99999999999999734</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2.2000538494346676E-4</v>
      </c>
      <c r="E15" s="8">
        <v>3</v>
      </c>
      <c r="F15" s="21">
        <f t="shared" si="0"/>
        <v>0.38016930518231057</v>
      </c>
      <c r="G15" s="21"/>
      <c r="H15" s="21"/>
      <c r="I15" s="278"/>
      <c r="J15" s="8">
        <v>-3</v>
      </c>
      <c r="K15" s="58">
        <f t="shared" si="1"/>
        <v>380.16930518231055</v>
      </c>
      <c r="L15" s="118" t="str">
        <f>Rydberg!L15</f>
        <v>mC/m^2</v>
      </c>
      <c r="M15" s="23"/>
      <c r="N15" s="82">
        <f t="shared" si="2"/>
        <v>5.3045761704672891</v>
      </c>
      <c r="O15" s="24"/>
      <c r="P15" s="83">
        <f t="shared" si="3"/>
        <v>0.99999999999999778</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
        <v>108</v>
      </c>
      <c r="D16" s="21">
        <f>D$36/POWER(D12,2)</f>
        <v>28.52941598769209</v>
      </c>
      <c r="E16" s="8">
        <v>0</v>
      </c>
      <c r="F16" s="21">
        <f t="shared" si="0"/>
        <v>28.52941598769209</v>
      </c>
      <c r="G16" s="21"/>
      <c r="H16" s="21"/>
      <c r="I16" s="278"/>
      <c r="J16" s="8">
        <v>0</v>
      </c>
      <c r="K16" s="58">
        <f t="shared" si="1"/>
        <v>28.52941598769209</v>
      </c>
      <c r="L16" s="118" t="str">
        <f>Rydberg!L16</f>
        <v>Ω</v>
      </c>
      <c r="M16" s="23"/>
      <c r="N16" s="82">
        <f t="shared" si="2"/>
        <v>-18.379262188345685</v>
      </c>
      <c r="O16" s="24"/>
      <c r="P16" s="83">
        <f t="shared" si="3"/>
        <v>1.0000000000000047</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0.18028597015810369</v>
      </c>
      <c r="E17" s="8">
        <v>1</v>
      </c>
      <c r="F17" s="21">
        <f t="shared" si="0"/>
        <v>2.1634316418972444</v>
      </c>
      <c r="G17" s="21"/>
      <c r="H17" s="21"/>
      <c r="I17" s="278"/>
      <c r="J17" s="8">
        <v>0</v>
      </c>
      <c r="K17" s="58">
        <f t="shared" si="1"/>
        <v>2.1634316418972444</v>
      </c>
      <c r="L17" s="118" t="str">
        <f>Rydberg!L17</f>
        <v>V</v>
      </c>
      <c r="M17" s="23"/>
      <c r="N17" s="82">
        <f t="shared" si="2"/>
        <v>-4.2326080233249108</v>
      </c>
      <c r="O17" s="24"/>
      <c r="P17" s="83">
        <f t="shared" si="3"/>
        <v>1</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1.0664235043436518E-17</v>
      </c>
      <c r="E18" s="8">
        <v>14</v>
      </c>
      <c r="F18" s="21">
        <f t="shared" si="0"/>
        <v>1.3692008282557204E-2</v>
      </c>
      <c r="G18" s="21"/>
      <c r="H18" s="21"/>
      <c r="I18" s="278"/>
      <c r="J18" s="8">
        <v>-3</v>
      </c>
      <c r="K18" s="58">
        <f t="shared" si="1"/>
        <v>13.692008282557204</v>
      </c>
      <c r="L18" s="118" t="str">
        <f>Rydberg!L18</f>
        <v>mF</v>
      </c>
      <c r="M18" s="115"/>
      <c r="N18" s="116">
        <f t="shared" si="2"/>
        <v>23.535028050710451</v>
      </c>
      <c r="O18" s="76"/>
      <c r="P18" s="117">
        <f t="shared" si="3"/>
        <v>0.99999999999999389</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5.4850996412575555E-17</v>
      </c>
      <c r="E19" s="8">
        <v>15</v>
      </c>
      <c r="F19" s="21">
        <f t="shared" si="0"/>
        <v>0.84509048511611107</v>
      </c>
      <c r="G19" s="21"/>
      <c r="H19" s="21"/>
      <c r="I19" s="278"/>
      <c r="J19" s="8">
        <v>0</v>
      </c>
      <c r="K19" s="58">
        <f t="shared" si="1"/>
        <v>0.84509048511611107</v>
      </c>
      <c r="L19" s="118" t="str">
        <f>Rydberg!L19</f>
        <v>Wb</v>
      </c>
      <c r="M19" s="115"/>
      <c r="N19" s="116">
        <f t="shared" si="2"/>
        <v>0.9231578390398566</v>
      </c>
      <c r="O19" s="76"/>
      <c r="P19" s="117">
        <f t="shared" si="3"/>
        <v>0.99999999999999978</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6.2766251465844938E-3</v>
      </c>
      <c r="E20" s="8">
        <v>3</v>
      </c>
      <c r="F20" s="21">
        <f t="shared" si="0"/>
        <v>10.846008253298006</v>
      </c>
      <c r="G20" s="21"/>
      <c r="H20" s="21"/>
      <c r="I20" s="278"/>
      <c r="J20" s="8">
        <v>0</v>
      </c>
      <c r="K20" s="58">
        <f t="shared" si="1"/>
        <v>10.846008253298006</v>
      </c>
      <c r="L20" s="118" t="str">
        <f>Rydberg!L20</f>
        <v>T</v>
      </c>
      <c r="M20" s="115"/>
      <c r="N20" s="116">
        <f t="shared" si="2"/>
        <v>-13.074686017878399</v>
      </c>
      <c r="O20" s="76"/>
      <c r="P20" s="117">
        <f t="shared" si="3"/>
        <v>1.0000000000000011</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8.6799149851840816E-15</v>
      </c>
      <c r="E21" s="30">
        <v>14</v>
      </c>
      <c r="F21" s="29">
        <f t="shared" si="0"/>
        <v>11.144303120192221</v>
      </c>
      <c r="G21" s="29"/>
      <c r="H21" s="29"/>
      <c r="I21" s="281"/>
      <c r="J21" s="30">
        <v>0</v>
      </c>
      <c r="K21" s="59">
        <f t="shared" si="1"/>
        <v>11.144303120192221</v>
      </c>
      <c r="L21" s="119" t="str">
        <f>Rydberg!L21</f>
        <v>H</v>
      </c>
      <c r="M21" s="115"/>
      <c r="N21" s="116">
        <f t="shared" si="2"/>
        <v>-13.223496325980918</v>
      </c>
      <c r="O21" s="76"/>
      <c r="P21" s="117">
        <f t="shared" si="3"/>
        <v>1.0000000000000031</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3286831269245092</v>
      </c>
      <c r="E22" s="30">
        <f>-E4</f>
        <v>-14</v>
      </c>
      <c r="F22" s="29">
        <f t="shared" si="0"/>
        <v>2.56</v>
      </c>
      <c r="G22" s="21"/>
      <c r="H22" s="21"/>
      <c r="I22" s="278"/>
      <c r="J22" s="8">
        <v>0</v>
      </c>
      <c r="K22" s="58">
        <f t="shared" si="1"/>
        <v>2.56</v>
      </c>
      <c r="L22" s="118" t="s">
        <v>674</v>
      </c>
      <c r="M22" s="23"/>
      <c r="N22" s="82">
        <f t="shared" si="2"/>
        <v>-5.1557658623647677</v>
      </c>
      <c r="O22" s="24"/>
      <c r="P22" s="83">
        <f t="shared" si="3"/>
        <v>1.0000000000000018</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0.80324476336734096</v>
      </c>
      <c r="E23" s="8">
        <f>E9</f>
        <v>2</v>
      </c>
      <c r="F23" s="21">
        <f t="shared" si="0"/>
        <v>115.6672459248971</v>
      </c>
      <c r="G23" s="21"/>
      <c r="H23" s="21"/>
      <c r="I23" s="278"/>
      <c r="J23" s="8">
        <v>0</v>
      </c>
      <c r="K23" s="58">
        <f t="shared" si="1"/>
        <v>115.6672459248971</v>
      </c>
      <c r="L23" s="118" t="s">
        <v>659</v>
      </c>
      <c r="M23" s="23"/>
      <c r="N23" s="82">
        <f t="shared" si="2"/>
        <v>-26.056806352478215</v>
      </c>
      <c r="O23" s="24"/>
      <c r="P23" s="83">
        <f t="shared" si="3"/>
        <v>1.0000000000000024</v>
      </c>
      <c r="Q23" s="24"/>
      <c r="R23" s="258">
        <f>1/K58</f>
        <v>1.0688715574725391</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0.80324476336734096</v>
      </c>
      <c r="E24" s="8">
        <f>E9</f>
        <v>2</v>
      </c>
      <c r="F24" s="21">
        <f t="shared" si="0"/>
        <v>115.6672459248971</v>
      </c>
      <c r="G24" s="21"/>
      <c r="H24" s="21"/>
      <c r="I24" s="278"/>
      <c r="J24" s="8">
        <v>0</v>
      </c>
      <c r="K24" s="58">
        <f t="shared" si="1"/>
        <v>115.6672459248971</v>
      </c>
      <c r="L24" s="118" t="s">
        <v>662</v>
      </c>
      <c r="M24" s="23"/>
      <c r="N24" s="82">
        <f t="shared" si="2"/>
        <v>-26.056806352478215</v>
      </c>
      <c r="O24" s="24"/>
      <c r="P24" s="83">
        <f t="shared" si="3"/>
        <v>1.0000000000000024</v>
      </c>
      <c r="Q24" s="24"/>
      <c r="R24" s="593" t="s">
        <v>1531</v>
      </c>
      <c r="S24" s="594"/>
      <c r="T24" s="594"/>
      <c r="U24" s="594"/>
      <c r="V24" s="594"/>
      <c r="W24" s="595"/>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6.3920187301296047E-2</v>
      </c>
      <c r="E25" s="8">
        <f>E9</f>
        <v>2</v>
      </c>
      <c r="F25" s="21">
        <f t="shared" si="0"/>
        <v>9.2045069713866301</v>
      </c>
      <c r="G25" s="21"/>
      <c r="H25" s="21"/>
      <c r="I25" s="278"/>
      <c r="J25" s="8">
        <v>0</v>
      </c>
      <c r="K25" s="58">
        <f t="shared" si="1"/>
        <v>9.2045069713866301</v>
      </c>
      <c r="L25" s="118" t="s">
        <v>662</v>
      </c>
      <c r="M25" s="23"/>
      <c r="N25" s="82">
        <f t="shared" si="2"/>
        <v>-12.174606729590769</v>
      </c>
      <c r="O25" s="24"/>
      <c r="P25" s="83">
        <f t="shared" si="3"/>
        <v>1.0000000000000069</v>
      </c>
      <c r="Q25" s="24"/>
      <c r="R25" s="596"/>
      <c r="S25" s="597"/>
      <c r="T25" s="597"/>
      <c r="U25" s="597"/>
      <c r="V25" s="597"/>
      <c r="W25" s="598"/>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91915673558445.563</v>
      </c>
      <c r="E26" s="8">
        <f>E9-2*E3</f>
        <v>-10</v>
      </c>
      <c r="F26" s="21">
        <f t="shared" si="0"/>
        <v>1484.4894434769531</v>
      </c>
      <c r="G26" s="21"/>
      <c r="H26" s="21"/>
      <c r="I26" s="278"/>
      <c r="J26" s="8">
        <v>3</v>
      </c>
      <c r="K26" s="58">
        <f t="shared" si="1"/>
        <v>1.4844894434769531</v>
      </c>
      <c r="L26" s="118" t="s">
        <v>663</v>
      </c>
      <c r="M26" s="23"/>
      <c r="N26" s="82">
        <f t="shared" si="2"/>
        <v>-40.05465020939647</v>
      </c>
      <c r="O26" s="24"/>
      <c r="P26" s="83">
        <f t="shared" si="3"/>
        <v>1.00000000000001</v>
      </c>
      <c r="Q26" s="24"/>
      <c r="R26" s="599"/>
      <c r="S26" s="600"/>
      <c r="T26" s="600"/>
      <c r="U26" s="600"/>
      <c r="V26" s="600"/>
      <c r="W26" s="601"/>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5.7251851944717033E-9</v>
      </c>
      <c r="E27" s="8">
        <f>E7-E4</f>
        <v>10</v>
      </c>
      <c r="F27" s="21">
        <f t="shared" si="0"/>
        <v>354.48837693595675</v>
      </c>
      <c r="G27" s="21"/>
      <c r="H27" s="21"/>
      <c r="I27" s="278"/>
      <c r="J27" s="8">
        <v>0</v>
      </c>
      <c r="K27" s="58">
        <f t="shared" si="1"/>
        <v>354.48837693595675</v>
      </c>
      <c r="L27" s="118" t="s">
        <v>666</v>
      </c>
      <c r="M27" s="23"/>
      <c r="N27" s="82">
        <f t="shared" si="2"/>
        <v>-32.199569055153489</v>
      </c>
      <c r="O27" s="24"/>
      <c r="P27" s="83">
        <f t="shared" si="3"/>
        <v>1.0000000000000155</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3286831269245092</v>
      </c>
      <c r="E28" s="8">
        <f>-E4</f>
        <v>-14</v>
      </c>
      <c r="F28" s="21">
        <f t="shared" si="0"/>
        <v>2.56</v>
      </c>
      <c r="G28" s="21"/>
      <c r="H28" s="21"/>
      <c r="I28" s="278"/>
      <c r="J28" s="8">
        <v>0</v>
      </c>
      <c r="K28" s="58">
        <f t="shared" si="1"/>
        <v>2.56</v>
      </c>
      <c r="L28" s="118" t="s">
        <v>668</v>
      </c>
      <c r="M28" s="23"/>
      <c r="N28" s="82">
        <f t="shared" si="2"/>
        <v>-5.1557658623647677</v>
      </c>
      <c r="O28" s="24"/>
      <c r="P28" s="83">
        <f t="shared" si="3"/>
        <v>1.0000000000000018</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9.4408945935587248E+16</v>
      </c>
      <c r="E29" s="8">
        <f>E5-E8</f>
        <v>-16</v>
      </c>
      <c r="F29" s="21">
        <f t="shared" si="0"/>
        <v>0.51063809596243481</v>
      </c>
      <c r="G29" s="21"/>
      <c r="H29" s="21"/>
      <c r="I29" s="278"/>
      <c r="J29" s="8">
        <v>0</v>
      </c>
      <c r="K29" s="58">
        <f t="shared" si="1"/>
        <v>0.51063809596243481</v>
      </c>
      <c r="L29" s="118" t="s">
        <v>670</v>
      </c>
      <c r="M29" s="23"/>
      <c r="N29" s="82">
        <f t="shared" si="2"/>
        <v>3.6863121321887173</v>
      </c>
      <c r="O29" s="24"/>
      <c r="P29" s="83">
        <f t="shared" si="3"/>
        <v>0.99999999999999922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9.4408945935587248E+16</v>
      </c>
      <c r="E30" s="33">
        <f>E5-E8</f>
        <v>-16</v>
      </c>
      <c r="F30" s="32">
        <f t="shared" si="0"/>
        <v>0.51063809596243481</v>
      </c>
      <c r="G30" s="32"/>
      <c r="H30" s="32"/>
      <c r="I30" s="282"/>
      <c r="J30" s="33">
        <v>0</v>
      </c>
      <c r="K30" s="60">
        <f t="shared" si="1"/>
        <v>0.51063809596243481</v>
      </c>
      <c r="L30" s="124" t="s">
        <v>671</v>
      </c>
      <c r="M30" s="111"/>
      <c r="N30" s="112">
        <f t="shared" si="2"/>
        <v>3.6863121321887173</v>
      </c>
      <c r="O30" s="113"/>
      <c r="P30" s="114">
        <f t="shared" si="3"/>
        <v>0.99999999999999922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17" t="s">
        <v>42</v>
      </c>
      <c r="C31" s="18" t="str">
        <f>Rydberg!C31</f>
        <v>Unit Symbol</v>
      </c>
      <c r="D31" s="17" t="s">
        <v>43</v>
      </c>
      <c r="E31" s="18" t="s">
        <v>54</v>
      </c>
      <c r="F31" s="17" t="s">
        <v>47</v>
      </c>
      <c r="G31" s="17" t="s">
        <v>92</v>
      </c>
      <c r="H31" s="18" t="str">
        <f>Rydberg!H$1</f>
        <v>difference</v>
      </c>
      <c r="I31" s="277"/>
      <c r="J31" s="575" t="str">
        <f>Rydberg!J31</f>
        <v>0123456789XE</v>
      </c>
      <c r="K31" s="576">
        <f>Rydberg!K31</f>
        <v>0</v>
      </c>
      <c r="L31" s="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4">IF($E32&gt;=M$31,MID($J$31,IF($E32&gt;M$31,INT(K32),ROUND(K32,0))+1,1),"")</f>
        <v>1</v>
      </c>
      <c r="N32" s="24">
        <f>(K32-INT(K32))*12</f>
        <v>0.60982523111040177</v>
      </c>
      <c r="O32" s="41" t="str">
        <f t="shared" ref="O32:O70" si="5">IF($E32&gt;=O$31,MID($J$31,IF($E32&gt;O$31,INT(N32),ROUND(N32,0))+1,1),"")</f>
        <v>0</v>
      </c>
      <c r="P32" s="24">
        <f>(N32-INT(N32))*12</f>
        <v>7.3179027733248212</v>
      </c>
      <c r="Q32" s="41" t="str">
        <f t="shared" ref="Q32:Q70" si="6">IF($E32&gt;=Q$31,MID($J$31,IF($E32&gt;Q$31,INT(P32),ROUND(P32,0))+1,1),"")</f>
        <v>7</v>
      </c>
      <c r="R32" s="24">
        <f>(P32-INT(P32))*12</f>
        <v>3.8148332798978544</v>
      </c>
      <c r="S32" s="41" t="str">
        <f t="shared" ref="S32:S70" si="7">IF($E32&gt;=S$31,MID($J$31,IF($E32&gt;S$31,INT(R32),ROUND(R32,0))+1,1),"")</f>
        <v>3</v>
      </c>
      <c r="T32" s="24">
        <f>(R32-INT(R32))*12</f>
        <v>9.7779993587742524</v>
      </c>
      <c r="U32" s="41" t="str">
        <f t="shared" ref="U32:U70" si="8">IF($E32&gt;=U$31,MID($J$31,IF($E32&gt;U$31,INT(T32),ROUND(T32,0))+1,1),"")</f>
        <v>9</v>
      </c>
      <c r="V32" s="24">
        <f>(T32-INT(T32))*12</f>
        <v>9.335992305291029</v>
      </c>
      <c r="W32" s="41" t="str">
        <f t="shared" ref="W32:W70" si="9">IF($E32&gt;=W$31,MID($J$31,IF($E32&gt;W$31,INT(V32),ROUND(V32,0))+1,1),"")</f>
        <v>9</v>
      </c>
      <c r="X32" s="24">
        <f>(V32-INT(V32))*12</f>
        <v>4.0319076634923476</v>
      </c>
      <c r="Y32" s="41" t="str">
        <f t="shared" ref="Y32:Y70" si="10">IF($E32&gt;=Y$31,MID($J$31,IF($E32&gt;Y$31,INT(X32),ROUND(X32,0))+1,1),"")</f>
        <v>4</v>
      </c>
      <c r="Z32" s="24">
        <f>(X32-INT(X32))*12</f>
        <v>0.38289196190817165</v>
      </c>
      <c r="AA32" s="41" t="str">
        <f t="shared" ref="AA32:AA70" si="11">IF($E32&gt;=AA$31,MID($J$31,IF($E32&gt;AA$31,INT(Z32),ROUND(Z32,0))+1,1),"")</f>
        <v>0</v>
      </c>
      <c r="AB32" s="24">
        <f>(Z32-INT(Z32))*12</f>
        <v>4.5947035428980598</v>
      </c>
      <c r="AC32" s="41" t="str">
        <f t="shared" ref="AC32:AC70" si="12">IF($E32&gt;=AC$31,MID($J$31,IF($E32&gt;AC$31,INT(AB32),ROUND(AB32,0))+1,1),"")</f>
        <v>4</v>
      </c>
      <c r="AD32" s="24">
        <f>(AB32-INT(AB32))*12</f>
        <v>7.1364425147767179</v>
      </c>
      <c r="AE32" s="41" t="str">
        <f t="shared" ref="AE32:AE70" si="13">IF($E32&gt;=AE$31,MID($J$31,IF($E32&gt;AE$31,INT(AD32),ROUND(AD32,0))+1,1),"")</f>
        <v>7</v>
      </c>
      <c r="AF32" s="24">
        <f>(AD32-INT(AD32))*12</f>
        <v>1.6373101773206145</v>
      </c>
      <c r="AG32" s="41" t="str">
        <f t="shared" ref="AG32:AG70" si="14">IF($E32&gt;=AG$31,MID($J$31,IF($E32&gt;AG$31,INT(AF32),ROUND(AF32,0))+1,1),"")</f>
        <v>2</v>
      </c>
      <c r="AH32" s="24">
        <f>(AF32-INT(AF32))*12</f>
        <v>7.6477221278473735</v>
      </c>
      <c r="AI32" s="41" t="str">
        <f t="shared" ref="AI32:AI70" si="15">IF($E32&gt;=AI$31,MID($J$31,IF($E32&gt;AI$31,INT(AH32),ROUND(AH32,0))+1,1),"")</f>
        <v/>
      </c>
      <c r="AJ32" s="24">
        <f>(AH32-INT(AH32))*12</f>
        <v>7.7726655341684818</v>
      </c>
      <c r="AK32" s="41" t="str">
        <f t="shared" ref="AK32:AK70" si="16">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8.3389800925479254E+25</v>
      </c>
      <c r="G33" s="37" t="str">
        <f t="shared" ref="G33:G70" si="17">M33&amp;";"&amp;O33&amp;Q33&amp;S33&amp;U33&amp;W33&amp;Y33&amp;AA33&amp;AC33&amp;AE33&amp;AG33&amp;AI33&amp;AK33</f>
        <v>1;070753464E</v>
      </c>
      <c r="H33" s="275">
        <f t="shared" ref="H33:H50" si="18">K33*POWER(12,I33)/ROUND(K33*POWER(12,I33),0)-1</f>
        <v>4.8969913387984843E-2</v>
      </c>
      <c r="I33" s="278"/>
      <c r="J33" s="38">
        <v>24</v>
      </c>
      <c r="K33" s="61">
        <f>F33/POWER(12,J33)+0.000000000001</f>
        <v>1.0489699133879848</v>
      </c>
      <c r="L33" s="39" t="str">
        <f>INDEX(powers!$H$2:$H$75,33+J33)</f>
        <v>ter-cosmic</v>
      </c>
      <c r="M33" s="40" t="str">
        <f t="shared" si="4"/>
        <v>1</v>
      </c>
      <c r="N33" s="24">
        <f t="shared" ref="N33:N70" si="19">(K33-INT(K33))*12</f>
        <v>0.58763896065581811</v>
      </c>
      <c r="O33" s="41" t="str">
        <f t="shared" si="5"/>
        <v>0</v>
      </c>
      <c r="P33" s="24">
        <f t="shared" ref="P33:P70" si="20">(N33-INT(N33))*12</f>
        <v>7.0516675278698173</v>
      </c>
      <c r="Q33" s="41" t="str">
        <f t="shared" si="6"/>
        <v>7</v>
      </c>
      <c r="R33" s="24">
        <f t="shared" ref="R33:R70" si="21">(P33-INT(P33))*12</f>
        <v>0.62001033443780784</v>
      </c>
      <c r="S33" s="41" t="str">
        <f t="shared" si="7"/>
        <v>0</v>
      </c>
      <c r="T33" s="24">
        <f t="shared" ref="T33:T70" si="22">(R33-INT(R33))*12</f>
        <v>7.4401240132536941</v>
      </c>
      <c r="U33" s="41" t="str">
        <f t="shared" si="8"/>
        <v>7</v>
      </c>
      <c r="V33" s="24">
        <f t="shared" ref="V33:V70" si="23">(T33-INT(T33))*12</f>
        <v>5.2814881590443292</v>
      </c>
      <c r="W33" s="41" t="str">
        <f t="shared" si="9"/>
        <v>5</v>
      </c>
      <c r="X33" s="24">
        <f t="shared" ref="X33:X70" si="24">(V33-INT(V33))*12</f>
        <v>3.3778579085319507</v>
      </c>
      <c r="Y33" s="41" t="str">
        <f t="shared" si="10"/>
        <v>3</v>
      </c>
      <c r="Z33" s="24">
        <f t="shared" ref="Z33:Z70" si="25">(X33-INT(X33))*12</f>
        <v>4.534294902383408</v>
      </c>
      <c r="AA33" s="41" t="str">
        <f t="shared" si="11"/>
        <v>4</v>
      </c>
      <c r="AB33" s="24">
        <f t="shared" ref="AB33:AB70" si="26">(Z33-INT(Z33))*12</f>
        <v>6.4115388286008965</v>
      </c>
      <c r="AC33" s="41" t="str">
        <f t="shared" si="12"/>
        <v>6</v>
      </c>
      <c r="AD33" s="24">
        <f t="shared" ref="AD33:AD70" si="27">(AB33-INT(AB33))*12</f>
        <v>4.9384659432107583</v>
      </c>
      <c r="AE33" s="41" t="str">
        <f t="shared" si="13"/>
        <v>4</v>
      </c>
      <c r="AF33" s="24">
        <f t="shared" ref="AF33:AF70" si="28">(AD33-INT(AD33))*12</f>
        <v>11.261591318529099</v>
      </c>
      <c r="AG33" s="41" t="str">
        <f t="shared" si="14"/>
        <v>E</v>
      </c>
      <c r="AH33" s="24">
        <f t="shared" ref="AH33:AH70" si="29">(AF33-INT(AF33))*12</f>
        <v>3.1390958223491907</v>
      </c>
      <c r="AI33" s="41" t="str">
        <f t="shared" si="15"/>
        <v/>
      </c>
      <c r="AJ33" s="24">
        <f t="shared" ref="AJ33:AJ70" si="30">(AH33-INT(AH33))*12</f>
        <v>1.6691498681902885</v>
      </c>
      <c r="AK33" s="41" t="str">
        <f t="shared" si="16"/>
        <v/>
      </c>
    </row>
    <row r="34" spans="1:37" ht="15" customHeight="1" x14ac:dyDescent="0.2">
      <c r="A34" s="581"/>
      <c r="B34" s="3" t="str">
        <f>Rydberg!B34</f>
        <v>Rydberg constant</v>
      </c>
      <c r="C34" s="3" t="str">
        <f>Rydberg!C34</f>
        <v>Ω_1/m</v>
      </c>
      <c r="D34" s="21">
        <f>Rydberg!D34</f>
        <v>10973731.568157</v>
      </c>
      <c r="E34" s="8">
        <v>12</v>
      </c>
      <c r="F34" s="21">
        <f>D34/(1/F$3)</f>
        <v>3063169.10646541</v>
      </c>
      <c r="G34" s="42" t="str">
        <f t="shared" si="17"/>
        <v>1;038801133E80</v>
      </c>
      <c r="H34" s="275">
        <f t="shared" si="18"/>
        <v>2.5849135985125837E-2</v>
      </c>
      <c r="I34" s="278"/>
      <c r="J34" s="38">
        <v>6</v>
      </c>
      <c r="K34" s="61">
        <f>F34/POWER(12,J34)</f>
        <v>1.0258491359851258</v>
      </c>
      <c r="L34" s="39" t="str">
        <f>INDEX(powers!$H$2:$H$75,33+J34)</f>
        <v>dino cosmic</v>
      </c>
      <c r="M34" s="40" t="str">
        <f t="shared" si="4"/>
        <v>1</v>
      </c>
      <c r="N34" s="24">
        <f t="shared" si="19"/>
        <v>0.31018963182151005</v>
      </c>
      <c r="O34" s="41" t="str">
        <f t="shared" si="5"/>
        <v>0</v>
      </c>
      <c r="P34" s="24">
        <f t="shared" si="20"/>
        <v>3.7222755818581206</v>
      </c>
      <c r="Q34" s="41" t="str">
        <f t="shared" si="6"/>
        <v>3</v>
      </c>
      <c r="R34" s="24">
        <f t="shared" si="21"/>
        <v>8.6673069822974469</v>
      </c>
      <c r="S34" s="41" t="str">
        <f t="shared" si="7"/>
        <v>8</v>
      </c>
      <c r="T34" s="24">
        <f t="shared" si="22"/>
        <v>8.0076837875693627</v>
      </c>
      <c r="U34" s="41" t="str">
        <f t="shared" si="8"/>
        <v>8</v>
      </c>
      <c r="V34" s="24">
        <f t="shared" si="23"/>
        <v>9.2205450832352653E-2</v>
      </c>
      <c r="W34" s="41" t="str">
        <f t="shared" si="9"/>
        <v>0</v>
      </c>
      <c r="X34" s="24">
        <f t="shared" si="24"/>
        <v>1.1064654099882318</v>
      </c>
      <c r="Y34" s="41" t="str">
        <f t="shared" si="10"/>
        <v>1</v>
      </c>
      <c r="Z34" s="24">
        <f t="shared" si="25"/>
        <v>1.2775849198587821</v>
      </c>
      <c r="AA34" s="41" t="str">
        <f t="shared" si="11"/>
        <v>1</v>
      </c>
      <c r="AB34" s="24">
        <f t="shared" si="26"/>
        <v>3.331019038305385</v>
      </c>
      <c r="AC34" s="41" t="str">
        <f t="shared" si="12"/>
        <v>3</v>
      </c>
      <c r="AD34" s="24">
        <f t="shared" si="27"/>
        <v>3.9722284596646205</v>
      </c>
      <c r="AE34" s="41" t="str">
        <f t="shared" si="13"/>
        <v>3</v>
      </c>
      <c r="AF34" s="24">
        <f t="shared" si="28"/>
        <v>11.666741515975446</v>
      </c>
      <c r="AG34" s="41" t="str">
        <f t="shared" si="14"/>
        <v>E</v>
      </c>
      <c r="AH34" s="24">
        <f t="shared" si="29"/>
        <v>8.0008981917053461</v>
      </c>
      <c r="AI34" s="41" t="str">
        <f t="shared" si="15"/>
        <v>8</v>
      </c>
      <c r="AJ34" s="24">
        <f t="shared" si="30"/>
        <v>1.077830046415329E-2</v>
      </c>
      <c r="AK34" s="41" t="str">
        <f t="shared" si="16"/>
        <v>0</v>
      </c>
    </row>
    <row r="35" spans="1:37" ht="15" customHeight="1" x14ac:dyDescent="0.2">
      <c r="A35" s="581"/>
      <c r="B35" s="3" t="str">
        <f>Rydberg!B35</f>
        <v>Speed of light in vacuum</v>
      </c>
      <c r="C35" s="3" t="str">
        <f>Rydberg!C35</f>
        <v>m/s</v>
      </c>
      <c r="D35" s="21">
        <f>Rydberg!D35</f>
        <v>299792458</v>
      </c>
      <c r="E35" s="8">
        <v>12</v>
      </c>
      <c r="F35" s="21">
        <f>D35/(F$3/F$4)</f>
        <v>419531038.29958618</v>
      </c>
      <c r="G35" s="37" t="str">
        <f t="shared" si="17"/>
        <v>0;E86001EX3718</v>
      </c>
      <c r="H35" s="275">
        <f t="shared" si="18"/>
        <v>-2.4304889714221289E-2</v>
      </c>
      <c r="I35" s="278"/>
      <c r="J35" s="38">
        <v>8</v>
      </c>
      <c r="K35" s="61">
        <f>F35/POWER(12,J35)</f>
        <v>0.97569511028577871</v>
      </c>
      <c r="L35" s="39" t="str">
        <f>INDEX(powers!$H$2:$H$75,33+J35)</f>
        <v>cosmic</v>
      </c>
      <c r="M35" s="40" t="str">
        <f t="shared" si="4"/>
        <v>0</v>
      </c>
      <c r="N35" s="24">
        <f t="shared" si="19"/>
        <v>11.708341323429345</v>
      </c>
      <c r="O35" s="41" t="str">
        <f t="shared" si="5"/>
        <v>E</v>
      </c>
      <c r="P35" s="24">
        <f t="shared" si="20"/>
        <v>8.5000958811521343</v>
      </c>
      <c r="Q35" s="41" t="str">
        <f t="shared" si="6"/>
        <v>8</v>
      </c>
      <c r="R35" s="24">
        <f t="shared" si="21"/>
        <v>6.0011505738256119</v>
      </c>
      <c r="S35" s="41" t="str">
        <f t="shared" si="7"/>
        <v>6</v>
      </c>
      <c r="T35" s="24">
        <f t="shared" si="22"/>
        <v>1.3806885907342803E-2</v>
      </c>
      <c r="U35" s="41" t="str">
        <f t="shared" si="8"/>
        <v>0</v>
      </c>
      <c r="V35" s="24">
        <f t="shared" si="23"/>
        <v>0.16568263088811364</v>
      </c>
      <c r="W35" s="41" t="str">
        <f t="shared" si="9"/>
        <v>0</v>
      </c>
      <c r="X35" s="24">
        <f t="shared" si="24"/>
        <v>1.9881915706573636</v>
      </c>
      <c r="Y35" s="41" t="str">
        <f t="shared" si="10"/>
        <v>1</v>
      </c>
      <c r="Z35" s="24">
        <f t="shared" si="25"/>
        <v>11.858298847888364</v>
      </c>
      <c r="AA35" s="41" t="str">
        <f t="shared" si="11"/>
        <v>E</v>
      </c>
      <c r="AB35" s="24">
        <f t="shared" si="26"/>
        <v>10.299586174660362</v>
      </c>
      <c r="AC35" s="41" t="str">
        <f t="shared" si="12"/>
        <v>X</v>
      </c>
      <c r="AD35" s="24">
        <f t="shared" si="27"/>
        <v>3.5950340959243476</v>
      </c>
      <c r="AE35" s="41" t="str">
        <f t="shared" si="13"/>
        <v>3</v>
      </c>
      <c r="AF35" s="24">
        <f t="shared" si="28"/>
        <v>7.1404091510921717</v>
      </c>
      <c r="AG35" s="41" t="str">
        <f t="shared" si="14"/>
        <v>7</v>
      </c>
      <c r="AH35" s="24">
        <f t="shared" si="29"/>
        <v>1.68490981310606</v>
      </c>
      <c r="AI35" s="41" t="str">
        <f t="shared" si="15"/>
        <v>1</v>
      </c>
      <c r="AJ35" s="24">
        <f t="shared" si="30"/>
        <v>8.2189177572727203</v>
      </c>
      <c r="AK35" s="41" t="str">
        <f t="shared" si="16"/>
        <v>8</v>
      </c>
    </row>
    <row r="36" spans="1:37" ht="15" customHeight="1" x14ac:dyDescent="0.2">
      <c r="A36" s="581"/>
      <c r="B36" s="3" t="str">
        <f>Rydberg!B36</f>
        <v>Quantum of action</v>
      </c>
      <c r="C36" s="3" t="str">
        <f>Rydberg!C36</f>
        <v>Js</v>
      </c>
      <c r="D36" s="21">
        <f>Rydberg!D36</f>
        <v>1.0545718176461565E-34</v>
      </c>
      <c r="E36" s="8">
        <v>10</v>
      </c>
      <c r="F36" s="21">
        <f>D36/(F$5*F$4)</f>
        <v>3.8180435663013282E-33</v>
      </c>
      <c r="G36" s="37" t="str">
        <f t="shared" si="17"/>
        <v>0;XX6138531X</v>
      </c>
      <c r="H36" s="275">
        <f t="shared" si="18"/>
        <v>-9.368689230346372E-2</v>
      </c>
      <c r="I36" s="278"/>
      <c r="J36" s="38">
        <v>-30</v>
      </c>
      <c r="K36" s="61">
        <f>F36/POWER(12,J36)+0.000000000001</f>
        <v>0.90631310769653628</v>
      </c>
      <c r="L36" s="39" t="str">
        <f>INDEX(powers!$H$2:$H$75,33+J36)</f>
        <v>gross tetra-atomic</v>
      </c>
      <c r="M36" s="40" t="str">
        <f t="shared" si="4"/>
        <v>0</v>
      </c>
      <c r="N36" s="24">
        <f t="shared" si="19"/>
        <v>10.875757292358436</v>
      </c>
      <c r="O36" s="41" t="str">
        <f t="shared" si="5"/>
        <v>X</v>
      </c>
      <c r="P36" s="24">
        <f t="shared" si="20"/>
        <v>10.509087508301235</v>
      </c>
      <c r="Q36" s="41" t="str">
        <f t="shared" si="6"/>
        <v>X</v>
      </c>
      <c r="R36" s="24">
        <f t="shared" si="21"/>
        <v>6.1090500996148194</v>
      </c>
      <c r="S36" s="41" t="str">
        <f t="shared" si="7"/>
        <v>6</v>
      </c>
      <c r="T36" s="24">
        <f t="shared" si="22"/>
        <v>1.3086011953778325</v>
      </c>
      <c r="U36" s="41" t="str">
        <f t="shared" si="8"/>
        <v>1</v>
      </c>
      <c r="V36" s="24">
        <f t="shared" si="23"/>
        <v>3.7032143445339898</v>
      </c>
      <c r="W36" s="41" t="str">
        <f t="shared" si="9"/>
        <v>3</v>
      </c>
      <c r="X36" s="24">
        <f t="shared" si="24"/>
        <v>8.4385721344078775</v>
      </c>
      <c r="Y36" s="41" t="str">
        <f t="shared" si="10"/>
        <v>8</v>
      </c>
      <c r="Z36" s="24">
        <f t="shared" si="25"/>
        <v>5.2628656128945295</v>
      </c>
      <c r="AA36" s="41" t="str">
        <f t="shared" si="11"/>
        <v>5</v>
      </c>
      <c r="AB36" s="24">
        <f t="shared" si="26"/>
        <v>3.1543873547343537</v>
      </c>
      <c r="AC36" s="41" t="str">
        <f t="shared" si="12"/>
        <v>3</v>
      </c>
      <c r="AD36" s="24">
        <f t="shared" si="27"/>
        <v>1.8526482568122447</v>
      </c>
      <c r="AE36" s="41" t="str">
        <f t="shared" si="13"/>
        <v>1</v>
      </c>
      <c r="AF36" s="24">
        <f t="shared" si="28"/>
        <v>10.231779081746936</v>
      </c>
      <c r="AG36" s="41" t="str">
        <f t="shared" si="14"/>
        <v>X</v>
      </c>
      <c r="AH36" s="24">
        <f t="shared" si="29"/>
        <v>2.7813489809632301</v>
      </c>
      <c r="AI36" s="41" t="str">
        <f t="shared" si="15"/>
        <v/>
      </c>
      <c r="AJ36" s="24">
        <f t="shared" si="30"/>
        <v>9.3761877715587616</v>
      </c>
      <c r="AK36" s="41" t="str">
        <f t="shared" si="16"/>
        <v/>
      </c>
    </row>
    <row r="37" spans="1:37" ht="15" customHeight="1" x14ac:dyDescent="0.2">
      <c r="A37" s="581"/>
      <c r="B37" s="3" t="str">
        <f>Rydberg!B37</f>
        <v>Boltzmann constant</v>
      </c>
      <c r="C37" s="3" t="str">
        <f>Rydberg!C37</f>
        <v>J/K</v>
      </c>
      <c r="D37" s="21">
        <f>Rydberg!D37</f>
        <v>1.3806490000000001E-23</v>
      </c>
      <c r="E37" s="8">
        <v>10</v>
      </c>
      <c r="F37" s="21">
        <f>D37/(F$5/F$6)</f>
        <v>1.1915151712717745E-26</v>
      </c>
      <c r="G37" s="37" t="str">
        <f t="shared" si="17"/>
        <v>0;E4495X9605</v>
      </c>
      <c r="H37" s="275">
        <f t="shared" si="18"/>
        <v>-5.2783004888856677E-2</v>
      </c>
      <c r="I37" s="278"/>
      <c r="J37" s="131">
        <v>-24</v>
      </c>
      <c r="K37" s="61">
        <f t="shared" ref="K37:K70" si="31">F37/POWER(12,J37)</f>
        <v>0.94721699511114332</v>
      </c>
      <c r="L37" s="134" t="str">
        <f>INDEX(powers!$H$2:$H$75,33+J37)</f>
        <v>ter-atomic</v>
      </c>
      <c r="M37" s="40" t="str">
        <f t="shared" si="4"/>
        <v>0</v>
      </c>
      <c r="N37" s="24">
        <f t="shared" si="19"/>
        <v>11.36660394133372</v>
      </c>
      <c r="O37" s="41" t="str">
        <f t="shared" si="5"/>
        <v>E</v>
      </c>
      <c r="P37" s="24">
        <f t="shared" si="20"/>
        <v>4.3992472960046385</v>
      </c>
      <c r="Q37" s="41" t="str">
        <f t="shared" si="6"/>
        <v>4</v>
      </c>
      <c r="R37" s="24">
        <f t="shared" si="21"/>
        <v>4.7909675520556618</v>
      </c>
      <c r="S37" s="41" t="str">
        <f t="shared" si="7"/>
        <v>4</v>
      </c>
      <c r="T37" s="24">
        <f t="shared" si="22"/>
        <v>9.4916106246679419</v>
      </c>
      <c r="U37" s="41" t="str">
        <f t="shared" si="8"/>
        <v>9</v>
      </c>
      <c r="V37" s="24">
        <f t="shared" si="23"/>
        <v>5.899327496015303</v>
      </c>
      <c r="W37" s="41" t="str">
        <f t="shared" si="9"/>
        <v>5</v>
      </c>
      <c r="X37" s="24">
        <f t="shared" si="24"/>
        <v>10.791929952183636</v>
      </c>
      <c r="Y37" s="41" t="str">
        <f t="shared" si="10"/>
        <v>X</v>
      </c>
      <c r="Z37" s="24">
        <f t="shared" si="25"/>
        <v>9.5031594262036378</v>
      </c>
      <c r="AA37" s="41" t="str">
        <f t="shared" si="11"/>
        <v>9</v>
      </c>
      <c r="AB37" s="24">
        <f t="shared" si="26"/>
        <v>6.0379131144436542</v>
      </c>
      <c r="AC37" s="41" t="str">
        <f t="shared" si="12"/>
        <v>6</v>
      </c>
      <c r="AD37" s="24">
        <f t="shared" si="27"/>
        <v>0.45495737332385033</v>
      </c>
      <c r="AE37" s="41" t="str">
        <f t="shared" si="13"/>
        <v>0</v>
      </c>
      <c r="AF37" s="24">
        <f t="shared" si="28"/>
        <v>5.459488479886204</v>
      </c>
      <c r="AG37" s="41" t="str">
        <f t="shared" si="14"/>
        <v>5</v>
      </c>
      <c r="AH37" s="24">
        <f t="shared" si="29"/>
        <v>5.5138617586344481</v>
      </c>
      <c r="AI37" s="41" t="str">
        <f t="shared" si="15"/>
        <v/>
      </c>
      <c r="AJ37" s="24">
        <f t="shared" si="30"/>
        <v>6.1663411036133766</v>
      </c>
      <c r="AK37" s="41" t="str">
        <f t="shared" si="16"/>
        <v/>
      </c>
    </row>
    <row r="38" spans="1:37" ht="15" customHeight="1" x14ac:dyDescent="0.2">
      <c r="A38" s="581"/>
      <c r="B38" s="3" t="str">
        <f>Rydberg!B38</f>
        <v>Gas constant</v>
      </c>
      <c r="C38" s="3" t="str">
        <f>Rydberg!C38</f>
        <v>J/(mol K)</v>
      </c>
      <c r="D38" s="21">
        <f>Rydberg!D38</f>
        <v>8.3144626181532395</v>
      </c>
      <c r="E38" s="8">
        <v>10</v>
      </c>
      <c r="F38" s="21">
        <f>D38/(F$5/F$6/F$7)</f>
        <v>0.99360212932041603</v>
      </c>
      <c r="G38" s="37" t="str">
        <f t="shared" si="17"/>
        <v>0;EE0E400887</v>
      </c>
      <c r="H38" s="275">
        <f t="shared" si="18"/>
        <v>-6.3978706795839724E-3</v>
      </c>
      <c r="I38" s="278"/>
      <c r="J38" s="131">
        <v>0</v>
      </c>
      <c r="K38" s="61">
        <f t="shared" si="31"/>
        <v>0.99360212932041603</v>
      </c>
      <c r="L38" s="134" t="str">
        <f>INDEX(powers!$H$2:$H$75,33+J38)</f>
        <v xml:space="preserve"> </v>
      </c>
      <c r="M38" s="40" t="str">
        <f t="shared" si="4"/>
        <v>0</v>
      </c>
      <c r="N38" s="24">
        <f t="shared" si="19"/>
        <v>11.923225551844993</v>
      </c>
      <c r="O38" s="41" t="str">
        <f t="shared" si="5"/>
        <v>E</v>
      </c>
      <c r="P38" s="24">
        <f t="shared" si="20"/>
        <v>11.078706622139919</v>
      </c>
      <c r="Q38" s="41" t="str">
        <f t="shared" si="6"/>
        <v>E</v>
      </c>
      <c r="R38" s="24">
        <f t="shared" si="21"/>
        <v>0.94447946567902363</v>
      </c>
      <c r="S38" s="41" t="str">
        <f t="shared" si="7"/>
        <v>0</v>
      </c>
      <c r="T38" s="24">
        <f t="shared" si="22"/>
        <v>11.333753588148284</v>
      </c>
      <c r="U38" s="41" t="str">
        <f t="shared" si="8"/>
        <v>E</v>
      </c>
      <c r="V38" s="24">
        <f t="shared" si="23"/>
        <v>4.0050430577794032</v>
      </c>
      <c r="W38" s="41" t="str">
        <f t="shared" si="9"/>
        <v>4</v>
      </c>
      <c r="X38" s="24">
        <f t="shared" si="24"/>
        <v>6.0516693352838047E-2</v>
      </c>
      <c r="Y38" s="41" t="str">
        <f t="shared" si="10"/>
        <v>0</v>
      </c>
      <c r="Z38" s="24">
        <f t="shared" si="25"/>
        <v>0.72620032023405656</v>
      </c>
      <c r="AA38" s="41" t="str">
        <f t="shared" si="11"/>
        <v>0</v>
      </c>
      <c r="AB38" s="24">
        <f t="shared" si="26"/>
        <v>8.7144038428086787</v>
      </c>
      <c r="AC38" s="41" t="str">
        <f t="shared" si="12"/>
        <v>8</v>
      </c>
      <c r="AD38" s="24">
        <f t="shared" si="27"/>
        <v>8.572846113704145</v>
      </c>
      <c r="AE38" s="41" t="str">
        <f t="shared" si="13"/>
        <v>8</v>
      </c>
      <c r="AF38" s="24">
        <f t="shared" si="28"/>
        <v>6.8741533644497395</v>
      </c>
      <c r="AG38" s="41" t="str">
        <f t="shared" si="14"/>
        <v>7</v>
      </c>
      <c r="AH38" s="24">
        <f t="shared" si="29"/>
        <v>10.489840373396873</v>
      </c>
      <c r="AI38" s="41" t="str">
        <f t="shared" si="15"/>
        <v/>
      </c>
      <c r="AJ38" s="24">
        <f t="shared" si="30"/>
        <v>5.8780844807624817</v>
      </c>
      <c r="AK38" s="41" t="str">
        <f t="shared" si="16"/>
        <v/>
      </c>
    </row>
    <row r="39" spans="1:37" ht="15" customHeight="1" x14ac:dyDescent="0.2">
      <c r="A39" s="581"/>
      <c r="B39" s="3" t="str">
        <f>Rydberg!B39</f>
        <v>Unified atomic mass unit</v>
      </c>
      <c r="C39" s="3" t="str">
        <f>Rydberg!C39</f>
        <v>kg</v>
      </c>
      <c r="D39" s="21">
        <f>Rydberg!D39</f>
        <v>1.6605390689199999E-27</v>
      </c>
      <c r="E39" s="8">
        <v>10</v>
      </c>
      <c r="F39" s="21">
        <f>D39/F$8</f>
        <v>1.1991874185491836E-26</v>
      </c>
      <c r="G39" s="37" t="str">
        <f t="shared" si="17"/>
        <v>0;E533E6X815</v>
      </c>
      <c r="H39" s="275">
        <f t="shared" si="18"/>
        <v>-4.6683810193668407E-2</v>
      </c>
      <c r="I39" s="278"/>
      <c r="J39" s="38">
        <v>-24</v>
      </c>
      <c r="K39" s="61">
        <f t="shared" si="31"/>
        <v>0.95331618980633159</v>
      </c>
      <c r="L39" s="39" t="str">
        <f>INDEX(powers!$H$2:$H$75,33+J39)</f>
        <v>ter-atomic</v>
      </c>
      <c r="M39" s="40" t="str">
        <f t="shared" si="4"/>
        <v>0</v>
      </c>
      <c r="N39" s="24">
        <f t="shared" si="19"/>
        <v>11.439794277675979</v>
      </c>
      <c r="O39" s="41" t="str">
        <f t="shared" si="5"/>
        <v>E</v>
      </c>
      <c r="P39" s="24">
        <f t="shared" si="20"/>
        <v>5.2775313321117494</v>
      </c>
      <c r="Q39" s="41" t="str">
        <f t="shared" si="6"/>
        <v>5</v>
      </c>
      <c r="R39" s="24">
        <f t="shared" si="21"/>
        <v>3.3303759853409929</v>
      </c>
      <c r="S39" s="41" t="str">
        <f t="shared" si="7"/>
        <v>3</v>
      </c>
      <c r="T39" s="24">
        <f t="shared" si="22"/>
        <v>3.9645118240919146</v>
      </c>
      <c r="U39" s="41" t="str">
        <f t="shared" si="8"/>
        <v>3</v>
      </c>
      <c r="V39" s="24">
        <f t="shared" si="23"/>
        <v>11.574141889102975</v>
      </c>
      <c r="W39" s="41" t="str">
        <f t="shared" si="9"/>
        <v>E</v>
      </c>
      <c r="X39" s="24">
        <f t="shared" si="24"/>
        <v>6.8897026692357031</v>
      </c>
      <c r="Y39" s="41" t="str">
        <f t="shared" si="10"/>
        <v>6</v>
      </c>
      <c r="Z39" s="24">
        <f t="shared" si="25"/>
        <v>10.676432030828437</v>
      </c>
      <c r="AA39" s="41" t="str">
        <f t="shared" si="11"/>
        <v>X</v>
      </c>
      <c r="AB39" s="24">
        <f t="shared" si="26"/>
        <v>8.117184369941242</v>
      </c>
      <c r="AC39" s="41" t="str">
        <f t="shared" si="12"/>
        <v>8</v>
      </c>
      <c r="AD39" s="24">
        <f t="shared" si="27"/>
        <v>1.4062124392949045</v>
      </c>
      <c r="AE39" s="41" t="str">
        <f t="shared" si="13"/>
        <v>1</v>
      </c>
      <c r="AF39" s="24">
        <f t="shared" si="28"/>
        <v>4.8745492715388536</v>
      </c>
      <c r="AG39" s="41" t="str">
        <f t="shared" si="14"/>
        <v>5</v>
      </c>
      <c r="AH39" s="24">
        <f t="shared" si="29"/>
        <v>10.494591258466244</v>
      </c>
      <c r="AI39" s="41" t="str">
        <f t="shared" si="15"/>
        <v/>
      </c>
      <c r="AJ39" s="24">
        <f t="shared" si="30"/>
        <v>5.9350951015949249</v>
      </c>
      <c r="AK39" s="41" t="str">
        <f t="shared" si="16"/>
        <v/>
      </c>
    </row>
    <row r="40" spans="1:37" ht="15" customHeight="1" x14ac:dyDescent="0.2">
      <c r="A40" s="581"/>
      <c r="B40" s="3" t="str">
        <f>Rydberg!B40</f>
        <v>Bohr Radius</v>
      </c>
      <c r="C40" s="3" t="str">
        <f>Rydberg!C40</f>
        <v>m</v>
      </c>
      <c r="D40" s="21">
        <f>Rydberg!D40</f>
        <v>5.2917721054102549E-11</v>
      </c>
      <c r="E40" s="8">
        <v>10</v>
      </c>
      <c r="F40" s="21">
        <f>D40/F$3</f>
        <v>1.895764960611028E-10</v>
      </c>
      <c r="G40" s="37" t="str">
        <f t="shared" si="17"/>
        <v>0;E8X3491E8X</v>
      </c>
      <c r="H40" s="275">
        <f t="shared" si="18"/>
        <v>-2.182692042291634E-2</v>
      </c>
      <c r="I40" s="278"/>
      <c r="J40" s="38">
        <v>-9</v>
      </c>
      <c r="K40" s="61">
        <f t="shared" si="31"/>
        <v>0.97817307957708366</v>
      </c>
      <c r="L40" s="39" t="str">
        <f>INDEX(powers!$H$2:$H$75,33+J40)</f>
        <v>unino atomic</v>
      </c>
      <c r="M40" s="40" t="str">
        <f t="shared" si="4"/>
        <v>0</v>
      </c>
      <c r="N40" s="24">
        <f t="shared" si="19"/>
        <v>11.738076954925004</v>
      </c>
      <c r="O40" s="41" t="str">
        <f t="shared" si="5"/>
        <v>E</v>
      </c>
      <c r="P40" s="24">
        <f t="shared" si="20"/>
        <v>8.8569234591000523</v>
      </c>
      <c r="Q40" s="41" t="str">
        <f t="shared" si="6"/>
        <v>8</v>
      </c>
      <c r="R40" s="24">
        <f t="shared" si="21"/>
        <v>10.283081509200628</v>
      </c>
      <c r="S40" s="41" t="str">
        <f t="shared" si="7"/>
        <v>X</v>
      </c>
      <c r="T40" s="24">
        <f t="shared" si="22"/>
        <v>3.3969781104075309</v>
      </c>
      <c r="U40" s="41" t="str">
        <f t="shared" si="8"/>
        <v>3</v>
      </c>
      <c r="V40" s="24">
        <f t="shared" si="23"/>
        <v>4.7637373248903714</v>
      </c>
      <c r="W40" s="41" t="str">
        <f t="shared" si="9"/>
        <v>4</v>
      </c>
      <c r="X40" s="24">
        <f t="shared" si="24"/>
        <v>9.1648478986844566</v>
      </c>
      <c r="Y40" s="41" t="str">
        <f t="shared" si="10"/>
        <v>9</v>
      </c>
      <c r="Z40" s="24">
        <f t="shared" si="25"/>
        <v>1.9781747842134791</v>
      </c>
      <c r="AA40" s="41" t="str">
        <f t="shared" si="11"/>
        <v>1</v>
      </c>
      <c r="AB40" s="24">
        <f t="shared" si="26"/>
        <v>11.73809741056175</v>
      </c>
      <c r="AC40" s="41" t="str">
        <f t="shared" si="12"/>
        <v>E</v>
      </c>
      <c r="AD40" s="24">
        <f t="shared" si="27"/>
        <v>8.8571689267409965</v>
      </c>
      <c r="AE40" s="41" t="str">
        <f t="shared" si="13"/>
        <v>8</v>
      </c>
      <c r="AF40" s="24">
        <f t="shared" si="28"/>
        <v>10.286027120891958</v>
      </c>
      <c r="AG40" s="41" t="str">
        <f t="shared" si="14"/>
        <v>X</v>
      </c>
      <c r="AH40" s="24">
        <f t="shared" si="29"/>
        <v>3.4323254507035017</v>
      </c>
      <c r="AI40" s="41" t="str">
        <f t="shared" si="15"/>
        <v/>
      </c>
      <c r="AJ40" s="24">
        <f t="shared" si="30"/>
        <v>5.1879054084420204</v>
      </c>
      <c r="AK40" s="41" t="str">
        <f t="shared" si="16"/>
        <v/>
      </c>
    </row>
    <row r="41" spans="1:37" ht="15" customHeight="1" x14ac:dyDescent="0.2">
      <c r="A41" s="581"/>
      <c r="B41" s="3" t="str">
        <f>Rydberg!B41</f>
        <v>Elementary electric charge</v>
      </c>
      <c r="C41" s="3" t="str">
        <f>Rydberg!C41</f>
        <v>C</v>
      </c>
      <c r="D41" s="21">
        <f>Rydberg!D41</f>
        <v>1.6021766339999999E-19</v>
      </c>
      <c r="E41" s="8">
        <v>10</v>
      </c>
      <c r="F41" s="21">
        <f>D41/F$12</f>
        <v>5.4087892932395396E-18</v>
      </c>
      <c r="G41" s="37" t="str">
        <f t="shared" si="17"/>
        <v>1;0000000000</v>
      </c>
      <c r="H41" s="275">
        <f t="shared" si="18"/>
        <v>0</v>
      </c>
      <c r="I41" s="278"/>
      <c r="J41" s="38">
        <v>-16</v>
      </c>
      <c r="K41" s="61">
        <f t="shared" si="31"/>
        <v>1.0000000000000002</v>
      </c>
      <c r="L41" s="39" t="str">
        <f>INDEX(powers!$H$2:$H$75,33+J41)</f>
        <v>di-atomic</v>
      </c>
      <c r="M41" s="40" t="str">
        <f t="shared" si="4"/>
        <v>1</v>
      </c>
      <c r="N41" s="24">
        <f t="shared" si="19"/>
        <v>2.6645352591003757E-15</v>
      </c>
      <c r="O41" s="41" t="str">
        <f t="shared" si="5"/>
        <v>0</v>
      </c>
      <c r="P41" s="24">
        <f t="shared" si="20"/>
        <v>3.1974423109204508E-14</v>
      </c>
      <c r="Q41" s="41" t="str">
        <f t="shared" si="6"/>
        <v>0</v>
      </c>
      <c r="R41" s="24">
        <f t="shared" si="21"/>
        <v>3.836930773104541E-13</v>
      </c>
      <c r="S41" s="41" t="str">
        <f t="shared" si="7"/>
        <v>0</v>
      </c>
      <c r="T41" s="24">
        <f t="shared" si="22"/>
        <v>4.6043169277254492E-12</v>
      </c>
      <c r="U41" s="41" t="str">
        <f t="shared" si="8"/>
        <v>0</v>
      </c>
      <c r="V41" s="24">
        <f t="shared" si="23"/>
        <v>5.525180313270539E-11</v>
      </c>
      <c r="W41" s="41" t="str">
        <f t="shared" si="9"/>
        <v>0</v>
      </c>
      <c r="X41" s="24">
        <f t="shared" si="24"/>
        <v>6.6302163759246469E-10</v>
      </c>
      <c r="Y41" s="41" t="str">
        <f t="shared" si="10"/>
        <v>0</v>
      </c>
      <c r="Z41" s="24">
        <f t="shared" si="25"/>
        <v>7.9562596511095762E-9</v>
      </c>
      <c r="AA41" s="41" t="str">
        <f t="shared" si="11"/>
        <v>0</v>
      </c>
      <c r="AB41" s="24">
        <f t="shared" si="26"/>
        <v>9.5475115813314915E-8</v>
      </c>
      <c r="AC41" s="41" t="str">
        <f t="shared" si="12"/>
        <v>0</v>
      </c>
      <c r="AD41" s="24">
        <f t="shared" si="27"/>
        <v>1.145701389759779E-6</v>
      </c>
      <c r="AE41" s="41" t="str">
        <f t="shared" si="13"/>
        <v>0</v>
      </c>
      <c r="AF41" s="24">
        <f t="shared" si="28"/>
        <v>1.3748416677117348E-5</v>
      </c>
      <c r="AG41" s="41" t="str">
        <f t="shared" si="14"/>
        <v>0</v>
      </c>
      <c r="AH41" s="24">
        <f t="shared" si="29"/>
        <v>1.6498100012540817E-4</v>
      </c>
      <c r="AI41" s="41" t="str">
        <f t="shared" si="15"/>
        <v/>
      </c>
      <c r="AJ41" s="24">
        <f t="shared" si="30"/>
        <v>1.9797720015048981E-3</v>
      </c>
      <c r="AK41" s="41" t="str">
        <f t="shared" si="16"/>
        <v/>
      </c>
    </row>
    <row r="42" spans="1:37" ht="15" customHeight="1" x14ac:dyDescent="0.2">
      <c r="A42" s="581"/>
      <c r="B42" s="3" t="str">
        <f>Rydberg!B42</f>
        <v>Electron mass</v>
      </c>
      <c r="C42" s="3" t="str">
        <f>Rydberg!C42</f>
        <v>kg</v>
      </c>
      <c r="D42" s="21">
        <f>Rydberg!D42</f>
        <v>9.1093837139983745E-31</v>
      </c>
      <c r="E42" s="8">
        <v>10</v>
      </c>
      <c r="F42" s="21">
        <f>D42/F$8</f>
        <v>6.5785012499997765E-30</v>
      </c>
      <c r="G42" s="37" t="str">
        <f t="shared" si="17"/>
        <v>0;XX16E6X847</v>
      </c>
      <c r="H42" s="275">
        <f t="shared" si="18"/>
        <v>-9.6307652168909241E-2</v>
      </c>
      <c r="I42" s="278"/>
      <c r="J42" s="38">
        <v>-27</v>
      </c>
      <c r="K42" s="61">
        <f t="shared" si="31"/>
        <v>0.90369234783109076</v>
      </c>
      <c r="L42" s="39" t="str">
        <f>INDEX(powers!$H$2:$H$75,33+J42)</f>
        <v>terno ter-atomic</v>
      </c>
      <c r="M42" s="40" t="str">
        <f t="shared" si="4"/>
        <v>0</v>
      </c>
      <c r="N42" s="24">
        <f t="shared" si="19"/>
        <v>10.84430817397309</v>
      </c>
      <c r="O42" s="41" t="str">
        <f t="shared" si="5"/>
        <v>X</v>
      </c>
      <c r="P42" s="24">
        <f t="shared" si="20"/>
        <v>10.13169808767708</v>
      </c>
      <c r="Q42" s="41" t="str">
        <f t="shared" si="6"/>
        <v>X</v>
      </c>
      <c r="R42" s="24">
        <f t="shared" si="21"/>
        <v>1.5803770521249589</v>
      </c>
      <c r="S42" s="41" t="str">
        <f t="shared" si="7"/>
        <v>1</v>
      </c>
      <c r="T42" s="24">
        <f t="shared" si="22"/>
        <v>6.9645246254995072</v>
      </c>
      <c r="U42" s="41" t="str">
        <f t="shared" si="8"/>
        <v>6</v>
      </c>
      <c r="V42" s="24">
        <f t="shared" si="23"/>
        <v>11.574295505994087</v>
      </c>
      <c r="W42" s="41" t="str">
        <f t="shared" si="9"/>
        <v>E</v>
      </c>
      <c r="X42" s="24">
        <f t="shared" si="24"/>
        <v>6.8915460719290422</v>
      </c>
      <c r="Y42" s="41" t="str">
        <f t="shared" si="10"/>
        <v>6</v>
      </c>
      <c r="Z42" s="24">
        <f t="shared" si="25"/>
        <v>10.698552863148507</v>
      </c>
      <c r="AA42" s="41" t="str">
        <f t="shared" si="11"/>
        <v>X</v>
      </c>
      <c r="AB42" s="24">
        <f t="shared" si="26"/>
        <v>8.3826343577820808</v>
      </c>
      <c r="AC42" s="41" t="str">
        <f t="shared" si="12"/>
        <v>8</v>
      </c>
      <c r="AD42" s="24">
        <f t="shared" si="27"/>
        <v>4.5916122933849692</v>
      </c>
      <c r="AE42" s="41" t="str">
        <f t="shared" si="13"/>
        <v>4</v>
      </c>
      <c r="AF42" s="24">
        <f t="shared" si="28"/>
        <v>7.0993475206196308</v>
      </c>
      <c r="AG42" s="41" t="str">
        <f t="shared" si="14"/>
        <v>7</v>
      </c>
      <c r="AH42" s="24">
        <f t="shared" si="29"/>
        <v>1.1921702474355698</v>
      </c>
      <c r="AI42" s="41" t="str">
        <f t="shared" si="15"/>
        <v/>
      </c>
      <c r="AJ42" s="24">
        <f t="shared" si="30"/>
        <v>2.3060429692268372</v>
      </c>
      <c r="AK42" s="41" t="str">
        <f t="shared" si="16"/>
        <v/>
      </c>
    </row>
    <row r="43" spans="1:37" ht="15" customHeight="1" x14ac:dyDescent="0.2">
      <c r="A43" s="581"/>
      <c r="B43" s="3" t="str">
        <f>Rydberg!B43</f>
        <v>Proton mass</v>
      </c>
      <c r="C43" s="3" t="str">
        <f>Rydberg!C43</f>
        <v>kg</v>
      </c>
      <c r="D43" s="21">
        <f>Rydberg!D43</f>
        <v>1.6726219259579541E-27</v>
      </c>
      <c r="E43" s="8">
        <v>10</v>
      </c>
      <c r="F43" s="21">
        <f>D43/F$8</f>
        <v>1.2079132657220942E-26</v>
      </c>
      <c r="G43" s="37" t="str">
        <f t="shared" si="17"/>
        <v>0;E63397E986</v>
      </c>
      <c r="H43" s="275">
        <f t="shared" si="18"/>
        <v>-3.9747036799418378E-2</v>
      </c>
      <c r="I43" s="278"/>
      <c r="J43" s="38">
        <v>-24</v>
      </c>
      <c r="K43" s="61">
        <f t="shared" si="31"/>
        <v>0.96025296320058162</v>
      </c>
      <c r="L43" s="39" t="str">
        <f>INDEX(powers!$H$2:$H$75,33+J43)</f>
        <v>ter-atomic</v>
      </c>
      <c r="M43" s="40" t="str">
        <f t="shared" si="4"/>
        <v>0</v>
      </c>
      <c r="N43" s="24">
        <f t="shared" si="19"/>
        <v>11.523035558406979</v>
      </c>
      <c r="O43" s="41" t="str">
        <f t="shared" si="5"/>
        <v>E</v>
      </c>
      <c r="P43" s="24">
        <f t="shared" si="20"/>
        <v>6.2764267008837535</v>
      </c>
      <c r="Q43" s="41" t="str">
        <f t="shared" si="6"/>
        <v>6</v>
      </c>
      <c r="R43" s="24">
        <f t="shared" si="21"/>
        <v>3.3171204106050425</v>
      </c>
      <c r="S43" s="41" t="str">
        <f t="shared" si="7"/>
        <v>3</v>
      </c>
      <c r="T43" s="24">
        <f t="shared" si="22"/>
        <v>3.8054449272605098</v>
      </c>
      <c r="U43" s="41" t="str">
        <f t="shared" si="8"/>
        <v>3</v>
      </c>
      <c r="V43" s="24">
        <f t="shared" si="23"/>
        <v>9.6653391271261171</v>
      </c>
      <c r="W43" s="41" t="str">
        <f t="shared" si="9"/>
        <v>9</v>
      </c>
      <c r="X43" s="24">
        <f t="shared" si="24"/>
        <v>7.9840695255134051</v>
      </c>
      <c r="Y43" s="41" t="str">
        <f t="shared" si="10"/>
        <v>7</v>
      </c>
      <c r="Z43" s="24">
        <f t="shared" si="25"/>
        <v>11.808834306160861</v>
      </c>
      <c r="AA43" s="41" t="str">
        <f t="shared" si="11"/>
        <v>E</v>
      </c>
      <c r="AB43" s="24">
        <f t="shared" si="26"/>
        <v>9.7060116739303339</v>
      </c>
      <c r="AC43" s="41" t="str">
        <f t="shared" si="12"/>
        <v>9</v>
      </c>
      <c r="AD43" s="24">
        <f t="shared" si="27"/>
        <v>8.4721400871640071</v>
      </c>
      <c r="AE43" s="41" t="str">
        <f t="shared" si="13"/>
        <v>8</v>
      </c>
      <c r="AF43" s="24">
        <f t="shared" si="28"/>
        <v>5.6656810459680855</v>
      </c>
      <c r="AG43" s="41" t="str">
        <f t="shared" si="14"/>
        <v>6</v>
      </c>
      <c r="AH43" s="24">
        <f t="shared" si="29"/>
        <v>7.9881725516170263</v>
      </c>
      <c r="AI43" s="41" t="str">
        <f t="shared" si="15"/>
        <v/>
      </c>
      <c r="AJ43" s="24">
        <f t="shared" si="30"/>
        <v>11.858070619404316</v>
      </c>
      <c r="AK43" s="41" t="str">
        <f t="shared" si="16"/>
        <v/>
      </c>
    </row>
    <row r="44" spans="1:37" ht="15" customHeight="1" x14ac:dyDescent="0.2">
      <c r="A44" s="581"/>
      <c r="B44" s="3" t="str">
        <f>Rydberg!B44</f>
        <v>Newtonian constant of gravitation</v>
      </c>
      <c r="C44" s="3" t="str">
        <f>Rydberg!C44</f>
        <v>(m/s)^4/N</v>
      </c>
      <c r="D44" s="21">
        <f>Rydberg!D44</f>
        <v>6.6742999999999994E-11</v>
      </c>
      <c r="E44" s="8">
        <v>5</v>
      </c>
      <c r="F44" s="21">
        <f>D44/(POWER(F$3/F$4,4)/F$10)</f>
        <v>6.4839238484700508E-11</v>
      </c>
      <c r="G44" s="37" t="str">
        <f t="shared" si="17"/>
        <v>4;02144</v>
      </c>
      <c r="H44" s="275">
        <f t="shared" si="18"/>
        <v>3.668686315999814E-3</v>
      </c>
      <c r="I44" s="278"/>
      <c r="J44" s="38">
        <v>-10</v>
      </c>
      <c r="K44" s="61">
        <f t="shared" si="31"/>
        <v>4.0146747452639993</v>
      </c>
      <c r="L44" s="39" t="str">
        <f>INDEX(powers!$H$2:$H$75,33+J44)</f>
        <v>dino atomic</v>
      </c>
      <c r="M44" s="40" t="str">
        <f t="shared" si="4"/>
        <v>4</v>
      </c>
      <c r="N44" s="24">
        <f t="shared" si="19"/>
        <v>0.17609694316799107</v>
      </c>
      <c r="O44" s="41" t="str">
        <f t="shared" si="5"/>
        <v>0</v>
      </c>
      <c r="P44" s="24">
        <f t="shared" si="20"/>
        <v>2.1131633180158929</v>
      </c>
      <c r="Q44" s="41" t="str">
        <f t="shared" si="6"/>
        <v>2</v>
      </c>
      <c r="R44" s="24">
        <f t="shared" si="21"/>
        <v>1.3579598161907143</v>
      </c>
      <c r="S44" s="41" t="str">
        <f t="shared" si="7"/>
        <v>1</v>
      </c>
      <c r="T44" s="24">
        <f t="shared" si="22"/>
        <v>4.2955177942885712</v>
      </c>
      <c r="U44" s="41" t="str">
        <f t="shared" si="8"/>
        <v>4</v>
      </c>
      <c r="V44" s="24">
        <f t="shared" si="23"/>
        <v>3.546213531462854</v>
      </c>
      <c r="W44" s="41" t="str">
        <f t="shared" si="9"/>
        <v>4</v>
      </c>
      <c r="X44" s="24">
        <f t="shared" si="24"/>
        <v>6.5545623775542481</v>
      </c>
      <c r="Y44" s="41" t="str">
        <f t="shared" si="10"/>
        <v/>
      </c>
      <c r="Z44" s="24">
        <f t="shared" si="25"/>
        <v>6.654748530650977</v>
      </c>
      <c r="AA44" s="41" t="str">
        <f t="shared" si="11"/>
        <v/>
      </c>
      <c r="AB44" s="24">
        <f t="shared" si="26"/>
        <v>7.8569823678117245</v>
      </c>
      <c r="AC44" s="41" t="str">
        <f t="shared" si="12"/>
        <v/>
      </c>
      <c r="AD44" s="24">
        <f t="shared" si="27"/>
        <v>10.283788413740695</v>
      </c>
      <c r="AE44" s="41" t="str">
        <f t="shared" si="13"/>
        <v/>
      </c>
      <c r="AF44" s="24">
        <f t="shared" si="28"/>
        <v>3.4054609648883343</v>
      </c>
      <c r="AG44" s="41" t="str">
        <f t="shared" si="14"/>
        <v/>
      </c>
      <c r="AH44" s="24">
        <f t="shared" si="29"/>
        <v>4.8655315786600113</v>
      </c>
      <c r="AI44" s="41" t="str">
        <f t="shared" si="15"/>
        <v/>
      </c>
      <c r="AJ44" s="24">
        <f t="shared" si="30"/>
        <v>10.386378943920135</v>
      </c>
      <c r="AK44" s="41" t="str">
        <f t="shared" si="16"/>
        <v/>
      </c>
    </row>
    <row r="45" spans="1:37" ht="15" customHeight="1" x14ac:dyDescent="0.2">
      <c r="A45" s="581"/>
      <c r="B45" s="3" t="str">
        <f>Rydberg!B45</f>
        <v>Planck force</v>
      </c>
      <c r="C45" s="3" t="str">
        <f>Rydberg!C45</f>
        <v>N</v>
      </c>
      <c r="D45" s="21">
        <f>Rydberg!D45</f>
        <v>1.2102555643382063E+44</v>
      </c>
      <c r="E45" s="8">
        <v>5</v>
      </c>
      <c r="F45" s="21">
        <f>D45/F$10</f>
        <v>4.7776956641692623E+44</v>
      </c>
      <c r="G45" s="37" t="str">
        <f t="shared" si="17"/>
        <v>2;860E0</v>
      </c>
      <c r="H45" s="276">
        <f t="shared" si="18"/>
        <v>-1.4958108830264383E-2</v>
      </c>
      <c r="I45" s="284">
        <v>1</v>
      </c>
      <c r="J45" s="38">
        <v>41</v>
      </c>
      <c r="K45" s="61">
        <f t="shared" si="31"/>
        <v>2.7088652007167728</v>
      </c>
      <c r="L45" s="39" t="str">
        <f>INDEX(powers!$H$2:$H$75,33+J45)</f>
        <v>dozen penta-cosmic</v>
      </c>
      <c r="M45" s="40" t="str">
        <f t="shared" si="4"/>
        <v>2</v>
      </c>
      <c r="N45" s="24">
        <f t="shared" si="19"/>
        <v>8.506382408601274</v>
      </c>
      <c r="O45" s="41" t="str">
        <f t="shared" si="5"/>
        <v>8</v>
      </c>
      <c r="P45" s="24">
        <f t="shared" si="20"/>
        <v>6.0765889032152884</v>
      </c>
      <c r="Q45" s="41" t="str">
        <f t="shared" si="6"/>
        <v>6</v>
      </c>
      <c r="R45" s="24">
        <f t="shared" si="21"/>
        <v>0.91906683858346128</v>
      </c>
      <c r="S45" s="41" t="str">
        <f t="shared" si="7"/>
        <v>0</v>
      </c>
      <c r="T45" s="24">
        <f t="shared" si="22"/>
        <v>11.028802063001535</v>
      </c>
      <c r="U45" s="41" t="str">
        <f t="shared" si="8"/>
        <v>E</v>
      </c>
      <c r="V45" s="24">
        <f t="shared" si="23"/>
        <v>0.3456247560184238</v>
      </c>
      <c r="W45" s="41" t="str">
        <f t="shared" si="9"/>
        <v>0</v>
      </c>
      <c r="X45" s="24">
        <f t="shared" si="24"/>
        <v>4.1474970722210855</v>
      </c>
      <c r="Y45" s="41" t="str">
        <f t="shared" si="10"/>
        <v/>
      </c>
      <c r="Z45" s="24">
        <f t="shared" si="25"/>
        <v>1.7699648666530265</v>
      </c>
      <c r="AA45" s="41" t="str">
        <f t="shared" si="11"/>
        <v/>
      </c>
      <c r="AB45" s="24">
        <f t="shared" si="26"/>
        <v>9.2395783998363186</v>
      </c>
      <c r="AC45" s="41" t="str">
        <f t="shared" si="12"/>
        <v/>
      </c>
      <c r="AD45" s="24">
        <f t="shared" si="27"/>
        <v>2.8749407980358228</v>
      </c>
      <c r="AE45" s="41" t="str">
        <f t="shared" si="13"/>
        <v/>
      </c>
      <c r="AF45" s="24">
        <f t="shared" si="28"/>
        <v>10.499289576429874</v>
      </c>
      <c r="AG45" s="41" t="str">
        <f t="shared" si="14"/>
        <v/>
      </c>
      <c r="AH45" s="24">
        <f t="shared" si="29"/>
        <v>5.9914749171584845</v>
      </c>
      <c r="AI45" s="41" t="str">
        <f t="shared" si="15"/>
        <v/>
      </c>
      <c r="AJ45" s="24">
        <f t="shared" si="30"/>
        <v>11.897699005901814</v>
      </c>
      <c r="AK45" s="41" t="str">
        <f t="shared" si="16"/>
        <v/>
      </c>
    </row>
    <row r="46" spans="1:37" ht="15" customHeight="1" x14ac:dyDescent="0.2">
      <c r="A46" s="581"/>
      <c r="B46" s="3" t="str">
        <f>Rydberg!B46</f>
        <v>Gravitic meter</v>
      </c>
      <c r="C46" s="3" t="str">
        <f>Rydberg!C46</f>
        <v>m</v>
      </c>
      <c r="D46" s="21">
        <f>Rydberg!D46</f>
        <v>9.5618936743262592E-35</v>
      </c>
      <c r="E46" s="8">
        <v>5</v>
      </c>
      <c r="F46" s="21">
        <f>D46/F$3</f>
        <v>3.425526009773359E-34</v>
      </c>
      <c r="G46" s="37" t="str">
        <f t="shared" si="17"/>
        <v>0;E8616</v>
      </c>
      <c r="H46" s="275">
        <f t="shared" si="18"/>
        <v>-2.4233515569718977E-2</v>
      </c>
      <c r="I46" s="278"/>
      <c r="J46" s="38">
        <v>-31</v>
      </c>
      <c r="K46" s="61">
        <f t="shared" si="31"/>
        <v>0.97576648443028102</v>
      </c>
      <c r="L46" s="39" t="str">
        <f>INDEX(powers!$H$2:$H$75,33+J46)</f>
        <v>dozen tetra-atomic</v>
      </c>
      <c r="M46" s="40" t="str">
        <f t="shared" si="4"/>
        <v>0</v>
      </c>
      <c r="N46" s="24">
        <f t="shared" si="19"/>
        <v>11.709197813163373</v>
      </c>
      <c r="O46" s="41" t="str">
        <f t="shared" si="5"/>
        <v>E</v>
      </c>
      <c r="P46" s="24">
        <f t="shared" si="20"/>
        <v>8.5103737579604726</v>
      </c>
      <c r="Q46" s="41" t="str">
        <f t="shared" si="6"/>
        <v>8</v>
      </c>
      <c r="R46" s="24">
        <f t="shared" si="21"/>
        <v>6.1244850955256709</v>
      </c>
      <c r="S46" s="41" t="str">
        <f t="shared" si="7"/>
        <v>6</v>
      </c>
      <c r="T46" s="24">
        <f t="shared" si="22"/>
        <v>1.4938211463080506</v>
      </c>
      <c r="U46" s="41" t="str">
        <f t="shared" si="8"/>
        <v>1</v>
      </c>
      <c r="V46" s="24">
        <f t="shared" si="23"/>
        <v>5.9258537556966075</v>
      </c>
      <c r="W46" s="41" t="str">
        <f t="shared" si="9"/>
        <v>6</v>
      </c>
      <c r="X46" s="24">
        <f t="shared" si="24"/>
        <v>11.110245068359291</v>
      </c>
      <c r="Y46" s="41" t="str">
        <f t="shared" si="10"/>
        <v/>
      </c>
      <c r="Z46" s="24">
        <f t="shared" si="25"/>
        <v>1.3229408203114872</v>
      </c>
      <c r="AA46" s="41" t="str">
        <f t="shared" si="11"/>
        <v/>
      </c>
      <c r="AB46" s="24">
        <f t="shared" si="26"/>
        <v>3.8752898437378462</v>
      </c>
      <c r="AC46" s="41" t="str">
        <f t="shared" si="12"/>
        <v/>
      </c>
      <c r="AD46" s="24">
        <f t="shared" si="27"/>
        <v>10.503478124854155</v>
      </c>
      <c r="AE46" s="41" t="str">
        <f t="shared" si="13"/>
        <v/>
      </c>
      <c r="AF46" s="24">
        <f t="shared" si="28"/>
        <v>6.0417374982498586</v>
      </c>
      <c r="AG46" s="41" t="str">
        <f t="shared" si="14"/>
        <v/>
      </c>
      <c r="AH46" s="24">
        <f t="shared" si="29"/>
        <v>0.50084997899830341</v>
      </c>
      <c r="AI46" s="41" t="str">
        <f t="shared" si="15"/>
        <v/>
      </c>
      <c r="AJ46" s="24">
        <f t="shared" si="30"/>
        <v>6.010199747979641</v>
      </c>
      <c r="AK46" s="41" t="str">
        <f t="shared" si="16"/>
        <v/>
      </c>
    </row>
    <row r="47" spans="1:37" ht="15" customHeight="1" x14ac:dyDescent="0.2">
      <c r="A47" s="581"/>
      <c r="B47" s="3" t="str">
        <f>Rydberg!B47</f>
        <v>Planck length</v>
      </c>
      <c r="C47" s="3" t="str">
        <f>Rydberg!C47</f>
        <v>m</v>
      </c>
      <c r="D47" s="21">
        <f>Rydberg!D47</f>
        <v>1.6162550244237053E-35</v>
      </c>
      <c r="E47" s="8">
        <v>5</v>
      </c>
      <c r="F47" s="21">
        <f>D47/F$3</f>
        <v>5.7901957636863047E-35</v>
      </c>
      <c r="G47" s="37" t="str">
        <f t="shared" si="17"/>
        <v>1;E9010</v>
      </c>
      <c r="H47" s="275">
        <f t="shared" si="18"/>
        <v>-1.0392164874713394E-2</v>
      </c>
      <c r="I47" s="278"/>
      <c r="J47" s="38">
        <v>-32</v>
      </c>
      <c r="K47" s="61">
        <f t="shared" si="31"/>
        <v>1.9792156702505732</v>
      </c>
      <c r="L47" s="39" t="str">
        <f>INDEX(powers!$H$2:$H$75,33+J47)</f>
        <v>tetra-atomic</v>
      </c>
      <c r="M47" s="40" t="str">
        <f t="shared" si="4"/>
        <v>1</v>
      </c>
      <c r="N47" s="24">
        <f t="shared" si="19"/>
        <v>11.750588043006879</v>
      </c>
      <c r="O47" s="41" t="str">
        <f t="shared" si="5"/>
        <v>E</v>
      </c>
      <c r="P47" s="24">
        <f t="shared" si="20"/>
        <v>9.0070565160825424</v>
      </c>
      <c r="Q47" s="41" t="str">
        <f t="shared" si="6"/>
        <v>9</v>
      </c>
      <c r="R47" s="24">
        <f t="shared" si="21"/>
        <v>8.467819299050916E-2</v>
      </c>
      <c r="S47" s="41" t="str">
        <f t="shared" si="7"/>
        <v>0</v>
      </c>
      <c r="T47" s="24">
        <f t="shared" si="22"/>
        <v>1.0161383158861099</v>
      </c>
      <c r="U47" s="41" t="str">
        <f t="shared" si="8"/>
        <v>1</v>
      </c>
      <c r="V47" s="24">
        <f t="shared" si="23"/>
        <v>0.19365979063331906</v>
      </c>
      <c r="W47" s="41" t="str">
        <f t="shared" si="9"/>
        <v>0</v>
      </c>
      <c r="X47" s="24">
        <f t="shared" si="24"/>
        <v>2.3239174875998287</v>
      </c>
      <c r="Y47" s="41" t="str">
        <f t="shared" si="10"/>
        <v/>
      </c>
      <c r="Z47" s="24">
        <f t="shared" si="25"/>
        <v>3.887009851197945</v>
      </c>
      <c r="AA47" s="41" t="str">
        <f t="shared" si="11"/>
        <v/>
      </c>
      <c r="AB47" s="24">
        <f t="shared" si="26"/>
        <v>10.644118214375339</v>
      </c>
      <c r="AC47" s="41" t="str">
        <f t="shared" si="12"/>
        <v/>
      </c>
      <c r="AD47" s="24">
        <f t="shared" si="27"/>
        <v>7.7294185725040734</v>
      </c>
      <c r="AE47" s="41" t="str">
        <f t="shared" si="13"/>
        <v/>
      </c>
      <c r="AF47" s="24">
        <f t="shared" si="28"/>
        <v>8.7530228700488806</v>
      </c>
      <c r="AG47" s="41" t="str">
        <f t="shared" si="14"/>
        <v/>
      </c>
      <c r="AH47" s="24">
        <f t="shared" si="29"/>
        <v>9.0362744405865669</v>
      </c>
      <c r="AI47" s="41" t="str">
        <f t="shared" si="15"/>
        <v/>
      </c>
      <c r="AJ47" s="24">
        <f t="shared" si="30"/>
        <v>0.4352932870388031</v>
      </c>
      <c r="AK47" s="41" t="str">
        <f t="shared" si="16"/>
        <v/>
      </c>
    </row>
    <row r="48" spans="1:37" ht="15" customHeight="1" x14ac:dyDescent="0.2">
      <c r="A48" s="581"/>
      <c r="B48" s="3" t="str">
        <f>Rydberg!B48</f>
        <v>Adjusted Planck length</v>
      </c>
      <c r="C48" s="3" t="str">
        <f>Rydberg!C48</f>
        <v>m</v>
      </c>
      <c r="D48" s="21">
        <f>Rydberg!D48</f>
        <v>1.8920265367777891E-34</v>
      </c>
      <c r="E48" s="8">
        <v>5</v>
      </c>
      <c r="F48" s="21">
        <f>D48/F$3</f>
        <v>6.7781407466553934E-34</v>
      </c>
      <c r="G48" s="37" t="str">
        <f t="shared" si="17"/>
        <v>1;E2044</v>
      </c>
      <c r="H48" s="275">
        <f t="shared" si="18"/>
        <v>-3.461796108575399E-2</v>
      </c>
      <c r="I48" s="278"/>
      <c r="J48" s="38">
        <v>-31</v>
      </c>
      <c r="K48" s="61">
        <f t="shared" si="31"/>
        <v>1.930764077828492</v>
      </c>
      <c r="L48" s="39" t="str">
        <f>INDEX(powers!$H$2:$H$75,33+J48)</f>
        <v>dozen tetra-atomic</v>
      </c>
      <c r="M48" s="40" t="str">
        <f t="shared" si="4"/>
        <v>1</v>
      </c>
      <c r="N48" s="24">
        <f t="shared" si="19"/>
        <v>11.169168933941904</v>
      </c>
      <c r="O48" s="41" t="str">
        <f t="shared" si="5"/>
        <v>E</v>
      </c>
      <c r="P48" s="24">
        <f t="shared" si="20"/>
        <v>2.0300272073028509</v>
      </c>
      <c r="Q48" s="41" t="str">
        <f t="shared" si="6"/>
        <v>2</v>
      </c>
      <c r="R48" s="24">
        <f t="shared" si="21"/>
        <v>0.36032648763421093</v>
      </c>
      <c r="S48" s="41" t="str">
        <f t="shared" si="7"/>
        <v>0</v>
      </c>
      <c r="T48" s="24">
        <f t="shared" si="22"/>
        <v>4.3239178516105312</v>
      </c>
      <c r="U48" s="41" t="str">
        <f t="shared" si="8"/>
        <v>4</v>
      </c>
      <c r="V48" s="24">
        <f t="shared" si="23"/>
        <v>3.8870142193263746</v>
      </c>
      <c r="W48" s="41" t="str">
        <f t="shared" si="9"/>
        <v>4</v>
      </c>
      <c r="X48" s="24">
        <f t="shared" si="24"/>
        <v>10.644170631916495</v>
      </c>
      <c r="Y48" s="41" t="str">
        <f t="shared" si="10"/>
        <v/>
      </c>
      <c r="Z48" s="24">
        <f t="shared" si="25"/>
        <v>7.7300475829979405</v>
      </c>
      <c r="AA48" s="41" t="str">
        <f t="shared" si="11"/>
        <v/>
      </c>
      <c r="AB48" s="24">
        <f t="shared" si="26"/>
        <v>8.7605709959752858</v>
      </c>
      <c r="AC48" s="41" t="str">
        <f t="shared" si="12"/>
        <v/>
      </c>
      <c r="AD48" s="24">
        <f t="shared" si="27"/>
        <v>9.1268519517034292</v>
      </c>
      <c r="AE48" s="41" t="str">
        <f t="shared" si="13"/>
        <v/>
      </c>
      <c r="AF48" s="24">
        <f t="shared" si="28"/>
        <v>1.5222234204411507</v>
      </c>
      <c r="AG48" s="41" t="str">
        <f t="shared" si="14"/>
        <v/>
      </c>
      <c r="AH48" s="24">
        <f t="shared" si="29"/>
        <v>6.266681045293808</v>
      </c>
      <c r="AI48" s="41" t="str">
        <f t="shared" si="15"/>
        <v/>
      </c>
      <c r="AJ48" s="24">
        <f t="shared" si="30"/>
        <v>3.2001725435256958</v>
      </c>
      <c r="AK48" s="41" t="str">
        <f t="shared" si="16"/>
        <v/>
      </c>
    </row>
    <row r="49" spans="1:37" ht="15" customHeight="1" x14ac:dyDescent="0.2">
      <c r="A49" s="581"/>
      <c r="B49" s="3" t="str">
        <f>Rydberg!B49</f>
        <v>Stefan-Boltzmann constant</v>
      </c>
      <c r="C49" s="64" t="str">
        <f>Rydberg!C49</f>
        <v>W/m^2/K^4</v>
      </c>
      <c r="D49" s="21">
        <f>Rydberg!D49</f>
        <v>5.6703744191844301E-8</v>
      </c>
      <c r="E49" s="8">
        <v>10</v>
      </c>
      <c r="F49" s="21">
        <f>D49/(F$9*POWER(F$3,-2)*POWER(F$6,-4))</f>
        <v>3.3845112978020719E-25</v>
      </c>
      <c r="G49" s="37" t="str">
        <f t="shared" si="17"/>
        <v>2;2XX5275709</v>
      </c>
      <c r="H49" s="275">
        <f t="shared" si="18"/>
        <v>0.12107490624800565</v>
      </c>
      <c r="I49" s="278"/>
      <c r="J49" s="131">
        <v>-23</v>
      </c>
      <c r="K49" s="61">
        <f t="shared" si="31"/>
        <v>2.2421498124960113</v>
      </c>
      <c r="L49" s="134" t="str">
        <f>INDEX(powers!$H$2:$H$75,33+J49)</f>
        <v>dozen ter-atomic</v>
      </c>
      <c r="M49" s="40" t="str">
        <f t="shared" si="4"/>
        <v>2</v>
      </c>
      <c r="N49" s="24">
        <f t="shared" si="19"/>
        <v>2.9057977499521357</v>
      </c>
      <c r="O49" s="41" t="str">
        <f t="shared" si="5"/>
        <v>2</v>
      </c>
      <c r="P49" s="24">
        <f t="shared" si="20"/>
        <v>10.869572999425628</v>
      </c>
      <c r="Q49" s="41" t="str">
        <f t="shared" si="6"/>
        <v>X</v>
      </c>
      <c r="R49" s="24">
        <f t="shared" si="21"/>
        <v>10.434875993107539</v>
      </c>
      <c r="S49" s="41" t="str">
        <f t="shared" si="7"/>
        <v>X</v>
      </c>
      <c r="T49" s="24">
        <f t="shared" si="22"/>
        <v>5.2185119172904706</v>
      </c>
      <c r="U49" s="41" t="str">
        <f t="shared" si="8"/>
        <v>5</v>
      </c>
      <c r="V49" s="24">
        <f t="shared" si="23"/>
        <v>2.6221430074856471</v>
      </c>
      <c r="W49" s="41" t="str">
        <f t="shared" si="9"/>
        <v>2</v>
      </c>
      <c r="X49" s="24">
        <f t="shared" si="24"/>
        <v>7.4657160898277652</v>
      </c>
      <c r="Y49" s="41" t="str">
        <f t="shared" si="10"/>
        <v>7</v>
      </c>
      <c r="Z49" s="24">
        <f t="shared" si="25"/>
        <v>5.5885930779331829</v>
      </c>
      <c r="AA49" s="41" t="str">
        <f t="shared" si="11"/>
        <v>5</v>
      </c>
      <c r="AB49" s="24">
        <f t="shared" si="26"/>
        <v>7.0631169351981953</v>
      </c>
      <c r="AC49" s="41" t="str">
        <f t="shared" si="12"/>
        <v>7</v>
      </c>
      <c r="AD49" s="24">
        <f t="shared" si="27"/>
        <v>0.75740322237834334</v>
      </c>
      <c r="AE49" s="41" t="str">
        <f t="shared" si="13"/>
        <v>0</v>
      </c>
      <c r="AF49" s="24">
        <f t="shared" si="28"/>
        <v>9.0888386685401201</v>
      </c>
      <c r="AG49" s="41" t="str">
        <f t="shared" si="14"/>
        <v>9</v>
      </c>
      <c r="AH49" s="24">
        <f t="shared" si="29"/>
        <v>1.0660640224814415</v>
      </c>
      <c r="AI49" s="41" t="str">
        <f t="shared" si="15"/>
        <v/>
      </c>
      <c r="AJ49" s="24">
        <f t="shared" si="30"/>
        <v>0.79276826977729797</v>
      </c>
      <c r="AK49" s="41" t="str">
        <f t="shared" si="16"/>
        <v/>
      </c>
    </row>
    <row r="50" spans="1:37" ht="15" customHeight="1" x14ac:dyDescent="0.2">
      <c r="A50" s="581"/>
      <c r="B50" s="3" t="str">
        <f>Rydberg!B50</f>
        <v>Black-body radiation at the ice point</v>
      </c>
      <c r="C50" s="3" t="str">
        <f>Rydberg!C50</f>
        <v>W/m^2</v>
      </c>
      <c r="D50" s="21">
        <f>Rydberg!D50</f>
        <v>315.65782231107141</v>
      </c>
      <c r="E50" s="8">
        <v>6</v>
      </c>
      <c r="F50" s="21">
        <f>D50/(F$9*POWER(F$3,-2))</f>
        <v>135.87345707086249</v>
      </c>
      <c r="G50" s="37" t="str">
        <f t="shared" si="17"/>
        <v>0;E3X594</v>
      </c>
      <c r="H50" s="275">
        <f t="shared" si="18"/>
        <v>-5.6434325896788318E-2</v>
      </c>
      <c r="I50" s="278"/>
      <c r="J50" s="38">
        <v>2</v>
      </c>
      <c r="K50" s="61">
        <f t="shared" si="31"/>
        <v>0.94356567410321168</v>
      </c>
      <c r="L50" s="39" t="str">
        <f>INDEX(powers!$H$2:$H$75,33+J50)</f>
        <v>gross</v>
      </c>
      <c r="M50" s="40" t="str">
        <f t="shared" si="4"/>
        <v>0</v>
      </c>
      <c r="N50" s="24">
        <f t="shared" si="19"/>
        <v>11.322788089238539</v>
      </c>
      <c r="O50" s="41" t="str">
        <f t="shared" si="5"/>
        <v>E</v>
      </c>
      <c r="P50" s="24">
        <f t="shared" si="20"/>
        <v>3.8734570708624716</v>
      </c>
      <c r="Q50" s="41" t="str">
        <f t="shared" si="6"/>
        <v>3</v>
      </c>
      <c r="R50" s="24">
        <f t="shared" si="21"/>
        <v>10.481484850349659</v>
      </c>
      <c r="S50" s="41" t="str">
        <f t="shared" si="7"/>
        <v>X</v>
      </c>
      <c r="T50" s="24">
        <f t="shared" si="22"/>
        <v>5.7778182041959099</v>
      </c>
      <c r="U50" s="41" t="str">
        <f t="shared" si="8"/>
        <v>5</v>
      </c>
      <c r="V50" s="24">
        <f t="shared" si="23"/>
        <v>9.3338184503509183</v>
      </c>
      <c r="W50" s="41" t="str">
        <f t="shared" si="9"/>
        <v>9</v>
      </c>
      <c r="X50" s="24">
        <f t="shared" si="24"/>
        <v>4.0058214042110194</v>
      </c>
      <c r="Y50" s="41" t="str">
        <f t="shared" si="10"/>
        <v>4</v>
      </c>
      <c r="Z50" s="24">
        <f t="shared" si="25"/>
        <v>6.9856850532232784E-2</v>
      </c>
      <c r="AA50" s="41" t="str">
        <f t="shared" si="11"/>
        <v/>
      </c>
      <c r="AB50" s="24">
        <f t="shared" si="26"/>
        <v>0.8382822063867934</v>
      </c>
      <c r="AC50" s="41" t="str">
        <f t="shared" si="12"/>
        <v/>
      </c>
      <c r="AD50" s="24">
        <f t="shared" si="27"/>
        <v>10.059386476641521</v>
      </c>
      <c r="AE50" s="41" t="str">
        <f t="shared" si="13"/>
        <v/>
      </c>
      <c r="AF50" s="24">
        <f t="shared" si="28"/>
        <v>0.71263771969825029</v>
      </c>
      <c r="AG50" s="41" t="str">
        <f t="shared" si="14"/>
        <v/>
      </c>
      <c r="AH50" s="24">
        <f t="shared" si="29"/>
        <v>8.5516526363790035</v>
      </c>
      <c r="AI50" s="41" t="str">
        <f t="shared" si="15"/>
        <v/>
      </c>
      <c r="AJ50" s="24">
        <f t="shared" si="30"/>
        <v>6.6198316365480423</v>
      </c>
      <c r="AK50" s="41" t="str">
        <f t="shared" si="16"/>
        <v/>
      </c>
    </row>
    <row r="51" spans="1:37" ht="15" customHeight="1" x14ac:dyDescent="0.2">
      <c r="A51" s="581"/>
      <c r="B51" s="3" t="str">
        <f>Rydberg!B51</f>
        <v>Temperature of the triple point of water</v>
      </c>
      <c r="C51" s="3" t="str">
        <f>Rydberg!C51</f>
        <v>K</v>
      </c>
      <c r="D51" s="21">
        <f>Rydberg!D51</f>
        <v>273.16000000000003</v>
      </c>
      <c r="E51" s="8">
        <v>6</v>
      </c>
      <c r="F51" s="21">
        <f>D51/F$6</f>
        <v>4476365.7433192283</v>
      </c>
      <c r="G51" s="37" t="str">
        <f t="shared" si="17"/>
        <v>1;5EX5X6</v>
      </c>
      <c r="H51" s="275"/>
      <c r="I51" s="278"/>
      <c r="J51" s="131">
        <v>6</v>
      </c>
      <c r="K51" s="61">
        <f t="shared" si="31"/>
        <v>1.4991258303189932</v>
      </c>
      <c r="L51" s="134" t="str">
        <f>INDEX(powers!$H$2:$H$75,33+J51)</f>
        <v>dino cosmic</v>
      </c>
      <c r="M51" s="40" t="str">
        <f t="shared" si="4"/>
        <v>1</v>
      </c>
      <c r="N51" s="24">
        <f t="shared" si="19"/>
        <v>5.9895099638279179</v>
      </c>
      <c r="O51" s="41" t="str">
        <f t="shared" si="5"/>
        <v>5</v>
      </c>
      <c r="P51" s="24">
        <f t="shared" si="20"/>
        <v>11.874119565935015</v>
      </c>
      <c r="Q51" s="41" t="str">
        <f t="shared" si="6"/>
        <v>E</v>
      </c>
      <c r="R51" s="24">
        <f t="shared" si="21"/>
        <v>10.489434791220177</v>
      </c>
      <c r="S51" s="41" t="str">
        <f t="shared" si="7"/>
        <v>X</v>
      </c>
      <c r="T51" s="24">
        <f t="shared" si="22"/>
        <v>5.8732174946421196</v>
      </c>
      <c r="U51" s="41" t="str">
        <f t="shared" si="8"/>
        <v>5</v>
      </c>
      <c r="V51" s="24">
        <f t="shared" si="23"/>
        <v>10.478609935705435</v>
      </c>
      <c r="W51" s="41" t="str">
        <f t="shared" si="9"/>
        <v>X</v>
      </c>
      <c r="X51" s="24">
        <f t="shared" si="24"/>
        <v>5.743319228465225</v>
      </c>
      <c r="Y51" s="41" t="str">
        <f t="shared" si="10"/>
        <v>6</v>
      </c>
      <c r="Z51" s="24">
        <f t="shared" si="25"/>
        <v>8.9198307415827003</v>
      </c>
      <c r="AA51" s="41" t="str">
        <f t="shared" si="11"/>
        <v/>
      </c>
      <c r="AB51" s="24">
        <f t="shared" si="26"/>
        <v>11.037968898992403</v>
      </c>
      <c r="AC51" s="41" t="str">
        <f t="shared" si="12"/>
        <v/>
      </c>
      <c r="AD51" s="24">
        <f t="shared" si="27"/>
        <v>0.45562678790884092</v>
      </c>
      <c r="AE51" s="41" t="str">
        <f t="shared" si="13"/>
        <v/>
      </c>
      <c r="AF51" s="24">
        <f t="shared" si="28"/>
        <v>5.4675214549060911</v>
      </c>
      <c r="AG51" s="41" t="str">
        <f t="shared" si="14"/>
        <v/>
      </c>
      <c r="AH51" s="24">
        <f t="shared" si="29"/>
        <v>5.6102574588730931</v>
      </c>
      <c r="AI51" s="41" t="str">
        <f t="shared" si="15"/>
        <v/>
      </c>
      <c r="AJ51" s="24">
        <f t="shared" si="30"/>
        <v>7.3230895064771175</v>
      </c>
      <c r="AK51" s="41" t="str">
        <f t="shared" si="16"/>
        <v/>
      </c>
    </row>
    <row r="52" spans="1:37" ht="15" customHeight="1" x14ac:dyDescent="0.2">
      <c r="A52" s="581"/>
      <c r="B52" s="3" t="str">
        <f>Rydberg!B52</f>
        <v>Molar volume of an ideal gas</v>
      </c>
      <c r="C52" s="3" t="str">
        <f>Rydberg!C52</f>
        <v>m^3/mol</v>
      </c>
      <c r="D52" s="21">
        <f>Rydberg!D52</f>
        <v>2.2413969539999998E-2</v>
      </c>
      <c r="E52" s="8">
        <v>6</v>
      </c>
      <c r="F52" s="21">
        <f>D52/(POWER(F$3,3)/F$7)</f>
        <v>142.702272738</v>
      </c>
      <c r="G52" s="37" t="str">
        <f t="shared" si="17"/>
        <v>0;EX8516</v>
      </c>
      <c r="H52" s="275">
        <f>K52*POWER(12,I52)/ROUND(K52*POWER(12,I52),0)-1</f>
        <v>-9.011994874999929E-3</v>
      </c>
      <c r="I52" s="278"/>
      <c r="J52" s="38">
        <v>2</v>
      </c>
      <c r="K52" s="61">
        <f t="shared" si="31"/>
        <v>0.99098800512500007</v>
      </c>
      <c r="L52" s="39" t="str">
        <f>INDEX(powers!$H$2:$H$75,33+J52)</f>
        <v>gross</v>
      </c>
      <c r="M52" s="40" t="str">
        <f t="shared" si="4"/>
        <v>0</v>
      </c>
      <c r="N52" s="24">
        <f t="shared" si="19"/>
        <v>11.8918560615</v>
      </c>
      <c r="O52" s="41" t="str">
        <f t="shared" si="5"/>
        <v>E</v>
      </c>
      <c r="P52" s="24">
        <f t="shared" si="20"/>
        <v>10.702272738000005</v>
      </c>
      <c r="Q52" s="41" t="str">
        <f t="shared" si="6"/>
        <v>X</v>
      </c>
      <c r="R52" s="24">
        <f t="shared" si="21"/>
        <v>8.4272728560000587</v>
      </c>
      <c r="S52" s="41" t="str">
        <f t="shared" si="7"/>
        <v>8</v>
      </c>
      <c r="T52" s="24">
        <f t="shared" si="22"/>
        <v>5.1272742720007045</v>
      </c>
      <c r="U52" s="41" t="str">
        <f t="shared" si="8"/>
        <v>5</v>
      </c>
      <c r="V52" s="24">
        <f t="shared" si="23"/>
        <v>1.5272912640084542</v>
      </c>
      <c r="W52" s="41" t="str">
        <f t="shared" si="9"/>
        <v>1</v>
      </c>
      <c r="X52" s="24">
        <f t="shared" si="24"/>
        <v>6.32749516810145</v>
      </c>
      <c r="Y52" s="41" t="str">
        <f t="shared" si="10"/>
        <v>6</v>
      </c>
      <c r="Z52" s="24">
        <f t="shared" si="25"/>
        <v>3.9299420172173996</v>
      </c>
      <c r="AA52" s="41" t="str">
        <f t="shared" si="11"/>
        <v/>
      </c>
      <c r="AB52" s="24">
        <f t="shared" si="26"/>
        <v>11.159304206608795</v>
      </c>
      <c r="AC52" s="41" t="str">
        <f t="shared" si="12"/>
        <v/>
      </c>
      <c r="AD52" s="24">
        <f t="shared" si="27"/>
        <v>1.9116504793055356</v>
      </c>
      <c r="AE52" s="41" t="str">
        <f t="shared" si="13"/>
        <v/>
      </c>
      <c r="AF52" s="24">
        <f t="shared" si="28"/>
        <v>10.939805751666427</v>
      </c>
      <c r="AG52" s="41" t="str">
        <f t="shared" si="14"/>
        <v/>
      </c>
      <c r="AH52" s="24">
        <f t="shared" si="29"/>
        <v>11.27766901999712</v>
      </c>
      <c r="AI52" s="41" t="str">
        <f t="shared" si="15"/>
        <v/>
      </c>
      <c r="AJ52" s="24">
        <f t="shared" si="30"/>
        <v>3.3320282399654388</v>
      </c>
      <c r="AK52" s="41" t="str">
        <f t="shared" si="16"/>
        <v/>
      </c>
    </row>
    <row r="53" spans="1:37" ht="15" customHeight="1" x14ac:dyDescent="0.2">
      <c r="A53" s="581"/>
      <c r="B53" s="67" t="str">
        <f>Rydberg!B53</f>
        <v>-log(Sqrt([H+][OH-])/(mol/m^3))</v>
      </c>
      <c r="C53" s="3" t="str">
        <f>Rydberg!C53</f>
        <v>log(12)</v>
      </c>
      <c r="D53" s="21">
        <f>Rydberg!D53</f>
        <v>1.0039920318408906E-4</v>
      </c>
      <c r="E53" s="8">
        <v>4</v>
      </c>
      <c r="F53" s="21">
        <f>-LOG(D$53/(F$7*POWER(F$3,-3)))/LOG(12)</f>
        <v>7.229723343551318</v>
      </c>
      <c r="G53" s="37" t="str">
        <f t="shared" si="17"/>
        <v>7;290</v>
      </c>
      <c r="H53" s="275"/>
      <c r="I53" s="278"/>
      <c r="J53" s="38">
        <v>0</v>
      </c>
      <c r="K53" s="61">
        <f t="shared" si="31"/>
        <v>7.229723343551318</v>
      </c>
      <c r="L53" s="39" t="str">
        <f>INDEX(powers!$H$2:$H$75,33+J53)</f>
        <v xml:space="preserve"> </v>
      </c>
      <c r="M53" s="40" t="str">
        <f t="shared" si="4"/>
        <v>7</v>
      </c>
      <c r="N53" s="24">
        <f t="shared" si="19"/>
        <v>2.7566801226158155</v>
      </c>
      <c r="O53" s="41" t="str">
        <f t="shared" si="5"/>
        <v>2</v>
      </c>
      <c r="P53" s="24">
        <f t="shared" si="20"/>
        <v>9.0801614713897862</v>
      </c>
      <c r="Q53" s="41" t="str">
        <f t="shared" si="6"/>
        <v>9</v>
      </c>
      <c r="R53" s="24">
        <f t="shared" si="21"/>
        <v>0.96193765667743492</v>
      </c>
      <c r="S53" s="41" t="str">
        <f t="shared" si="7"/>
        <v>0</v>
      </c>
      <c r="T53" s="24">
        <f t="shared" si="22"/>
        <v>11.543251880129219</v>
      </c>
      <c r="U53" s="41" t="str">
        <f t="shared" si="8"/>
        <v/>
      </c>
      <c r="V53" s="24">
        <f t="shared" si="23"/>
        <v>6.5190225615506279</v>
      </c>
      <c r="W53" s="41" t="str">
        <f t="shared" si="9"/>
        <v/>
      </c>
      <c r="X53" s="24">
        <f t="shared" si="24"/>
        <v>6.2282707386075344</v>
      </c>
      <c r="Y53" s="41" t="str">
        <f t="shared" si="10"/>
        <v/>
      </c>
      <c r="Z53" s="24">
        <f t="shared" si="25"/>
        <v>2.7392488632904133</v>
      </c>
      <c r="AA53" s="41" t="str">
        <f t="shared" si="11"/>
        <v/>
      </c>
      <c r="AB53" s="24">
        <f t="shared" si="26"/>
        <v>8.8709863594849594</v>
      </c>
      <c r="AC53" s="41" t="str">
        <f t="shared" si="12"/>
        <v/>
      </c>
      <c r="AD53" s="24">
        <f t="shared" si="27"/>
        <v>10.451836313819513</v>
      </c>
      <c r="AE53" s="41" t="str">
        <f t="shared" si="13"/>
        <v/>
      </c>
      <c r="AF53" s="24">
        <f t="shared" si="28"/>
        <v>5.4220357658341527</v>
      </c>
      <c r="AG53" s="41" t="str">
        <f t="shared" si="14"/>
        <v/>
      </c>
      <c r="AH53" s="24">
        <f t="shared" si="29"/>
        <v>5.0644291900098324</v>
      </c>
      <c r="AI53" s="41" t="str">
        <f t="shared" si="15"/>
        <v/>
      </c>
      <c r="AJ53" s="24">
        <f t="shared" si="30"/>
        <v>0.77315028011798859</v>
      </c>
      <c r="AK53" s="41" t="str">
        <f t="shared" si="16"/>
        <v/>
      </c>
    </row>
    <row r="54" spans="1:37" ht="15" customHeight="1" x14ac:dyDescent="0.2">
      <c r="A54" s="581"/>
      <c r="B54" s="3" t="str">
        <f>Rydberg!B54</f>
        <v>Maximum density of water</v>
      </c>
      <c r="C54" s="3" t="str">
        <f>Rydberg!C54</f>
        <v>kg/m^3</v>
      </c>
      <c r="D54" s="21">
        <f>Rydberg!D54</f>
        <v>999.97199999999998</v>
      </c>
      <c r="E54" s="8">
        <v>6</v>
      </c>
      <c r="F54" s="21">
        <f>D54/(F$8*POWER(F$3,-3))</f>
        <v>157.06366492146594</v>
      </c>
      <c r="G54" s="37" t="str">
        <f t="shared" si="17"/>
        <v>1;110920</v>
      </c>
      <c r="H54" s="294">
        <f t="shared" ref="H54:H62" si="32">K54*POWER(12,I54)/ROUND(K54*POWER(12,I54),0)-1</f>
        <v>9.0719895287957986E-2</v>
      </c>
      <c r="I54" s="295"/>
      <c r="J54" s="38">
        <v>2</v>
      </c>
      <c r="K54" s="61">
        <f t="shared" si="31"/>
        <v>1.090719895287958</v>
      </c>
      <c r="L54" s="39" t="str">
        <f>INDEX(powers!$H$2:$H$75,33+J54)</f>
        <v>gross</v>
      </c>
      <c r="M54" s="40" t="str">
        <f t="shared" si="4"/>
        <v>1</v>
      </c>
      <c r="N54" s="24">
        <f t="shared" si="19"/>
        <v>1.0886387434554958</v>
      </c>
      <c r="O54" s="41" t="str">
        <f t="shared" si="5"/>
        <v>1</v>
      </c>
      <c r="P54" s="24">
        <f t="shared" si="20"/>
        <v>1.0636649214659499</v>
      </c>
      <c r="Q54" s="41" t="str">
        <f t="shared" si="6"/>
        <v>1</v>
      </c>
      <c r="R54" s="24">
        <f t="shared" si="21"/>
        <v>0.76397905759139917</v>
      </c>
      <c r="S54" s="41" t="str">
        <f t="shared" si="7"/>
        <v>0</v>
      </c>
      <c r="T54" s="24">
        <f t="shared" si="22"/>
        <v>9.16774869109679</v>
      </c>
      <c r="U54" s="41" t="str">
        <f t="shared" si="8"/>
        <v>9</v>
      </c>
      <c r="V54" s="24">
        <f t="shared" si="23"/>
        <v>2.0129842931614803</v>
      </c>
      <c r="W54" s="41" t="str">
        <f t="shared" si="9"/>
        <v>2</v>
      </c>
      <c r="X54" s="24">
        <f t="shared" si="24"/>
        <v>0.15581151793776371</v>
      </c>
      <c r="Y54" s="41" t="str">
        <f t="shared" si="10"/>
        <v>0</v>
      </c>
      <c r="Z54" s="24">
        <f t="shared" si="25"/>
        <v>1.8697382152531645</v>
      </c>
      <c r="AA54" s="41" t="str">
        <f t="shared" si="11"/>
        <v/>
      </c>
      <c r="AB54" s="24">
        <f t="shared" si="26"/>
        <v>10.436858583037974</v>
      </c>
      <c r="AC54" s="41" t="str">
        <f t="shared" si="12"/>
        <v/>
      </c>
      <c r="AD54" s="24">
        <f t="shared" si="27"/>
        <v>5.2423029964556918</v>
      </c>
      <c r="AE54" s="41" t="str">
        <f t="shared" si="13"/>
        <v/>
      </c>
      <c r="AF54" s="24">
        <f t="shared" si="28"/>
        <v>2.9076359574683011</v>
      </c>
      <c r="AG54" s="41" t="str">
        <f t="shared" si="14"/>
        <v/>
      </c>
      <c r="AH54" s="24">
        <f t="shared" si="29"/>
        <v>10.891631489619613</v>
      </c>
      <c r="AI54" s="41" t="str">
        <f t="shared" si="15"/>
        <v/>
      </c>
      <c r="AJ54" s="24">
        <f t="shared" si="30"/>
        <v>10.699577875435352</v>
      </c>
      <c r="AK54" s="41" t="str">
        <f t="shared" si="16"/>
        <v/>
      </c>
    </row>
    <row r="55" spans="1:37" ht="15" customHeight="1" x14ac:dyDescent="0.2">
      <c r="A55" s="581"/>
      <c r="B55" s="3" t="str">
        <f>Rydberg!B55</f>
        <v>Density of ice at the ice point</v>
      </c>
      <c r="C55" s="3" t="str">
        <f>Rydberg!C55</f>
        <v>kg/m^3</v>
      </c>
      <c r="D55" s="21">
        <f>Rydberg!D55</f>
        <v>916.8</v>
      </c>
      <c r="E55" s="8">
        <v>4</v>
      </c>
      <c r="F55" s="21">
        <f>D55/(F$8*POWER(F$3,-3))</f>
        <v>143.99999999999997</v>
      </c>
      <c r="G55" s="37" t="e">
        <f t="shared" si="17"/>
        <v>#VALUE!</v>
      </c>
      <c r="H55" s="275">
        <f t="shared" si="32"/>
        <v>0</v>
      </c>
      <c r="I55" s="278"/>
      <c r="J55" s="38">
        <v>2</v>
      </c>
      <c r="K55" s="61">
        <f t="shared" si="31"/>
        <v>0.99999999999999978</v>
      </c>
      <c r="L55" s="39" t="str">
        <f>INDEX(powers!$H$2:$H$75,33+J55)</f>
        <v>gross</v>
      </c>
      <c r="M55" s="40" t="str">
        <f t="shared" si="4"/>
        <v>1</v>
      </c>
      <c r="N55" s="24">
        <f t="shared" si="19"/>
        <v>-2.6645352591003757E-15</v>
      </c>
      <c r="O55" s="41" t="e">
        <f t="shared" si="5"/>
        <v>#VALUE!</v>
      </c>
      <c r="P55" s="24">
        <f t="shared" si="20"/>
        <v>11.999999999999968</v>
      </c>
      <c r="Q55" s="41" t="str">
        <f t="shared" si="6"/>
        <v/>
      </c>
      <c r="R55" s="24">
        <f t="shared" si="21"/>
        <v>-3.836930773104541E-13</v>
      </c>
      <c r="S55" s="41" t="e">
        <f t="shared" si="7"/>
        <v>#VALUE!</v>
      </c>
      <c r="T55" s="24">
        <f t="shared" si="22"/>
        <v>11.999999999995396</v>
      </c>
      <c r="U55" s="41" t="str">
        <f t="shared" si="8"/>
        <v/>
      </c>
      <c r="V55" s="24">
        <f t="shared" si="23"/>
        <v>11.999999999944748</v>
      </c>
      <c r="W55" s="41" t="str">
        <f t="shared" si="9"/>
        <v/>
      </c>
      <c r="X55" s="24">
        <f t="shared" si="24"/>
        <v>11.999999999336978</v>
      </c>
      <c r="Y55" s="41" t="str">
        <f t="shared" si="10"/>
        <v/>
      </c>
      <c r="Z55" s="24">
        <f t="shared" si="25"/>
        <v>11.99999999204374</v>
      </c>
      <c r="AA55" s="41" t="str">
        <f t="shared" si="11"/>
        <v/>
      </c>
      <c r="AB55" s="24">
        <f t="shared" si="26"/>
        <v>11.999999904524884</v>
      </c>
      <c r="AC55" s="41" t="str">
        <f t="shared" si="12"/>
        <v/>
      </c>
      <c r="AD55" s="24">
        <f t="shared" si="27"/>
        <v>11.99999885429861</v>
      </c>
      <c r="AE55" s="41" t="str">
        <f t="shared" si="13"/>
        <v/>
      </c>
      <c r="AF55" s="24">
        <f t="shared" si="28"/>
        <v>11.999986251583323</v>
      </c>
      <c r="AG55" s="41" t="str">
        <f t="shared" si="14"/>
        <v/>
      </c>
      <c r="AH55" s="24">
        <f t="shared" si="29"/>
        <v>11.999835018999875</v>
      </c>
      <c r="AI55" s="41" t="str">
        <f t="shared" si="15"/>
        <v/>
      </c>
      <c r="AJ55" s="24">
        <f t="shared" si="30"/>
        <v>11.998020227998495</v>
      </c>
      <c r="AK55" s="41" t="str">
        <f t="shared" si="16"/>
        <v/>
      </c>
    </row>
    <row r="56" spans="1:37" ht="15" customHeight="1" x14ac:dyDescent="0.2">
      <c r="A56" s="581"/>
      <c r="B56" s="3" t="str">
        <f>Rydberg!B56</f>
        <v>Specific heat of water</v>
      </c>
      <c r="C56" s="3" t="str">
        <f>Rydberg!C56</f>
        <v>J/kg/K</v>
      </c>
      <c r="D56" s="21">
        <f>Rydberg!D56</f>
        <v>4184</v>
      </c>
      <c r="E56" s="8">
        <v>4</v>
      </c>
      <c r="F56" s="21">
        <f>D56/(F$5/F$8/F$6)</f>
        <v>0.5</v>
      </c>
      <c r="G56" s="37" t="str">
        <f t="shared" si="17"/>
        <v>6;0000</v>
      </c>
      <c r="H56" s="294">
        <f t="shared" si="32"/>
        <v>1.6675549829869851E-13</v>
      </c>
      <c r="I56" s="295"/>
      <c r="J56" s="131">
        <v>-1</v>
      </c>
      <c r="K56" s="61">
        <f>F56/POWER(12,J56)+0.000000000001</f>
        <v>6.0000000000010001</v>
      </c>
      <c r="L56" s="134" t="str">
        <f>INDEX(powers!$H$2:$H$75,33+J56)</f>
        <v>unino</v>
      </c>
      <c r="M56" s="40" t="str">
        <f t="shared" si="4"/>
        <v>6</v>
      </c>
      <c r="N56" s="24">
        <f t="shared" si="19"/>
        <v>1.2001066806988092E-11</v>
      </c>
      <c r="O56" s="41" t="str">
        <f t="shared" si="5"/>
        <v>0</v>
      </c>
      <c r="P56" s="24">
        <f t="shared" si="20"/>
        <v>1.4401280168385711E-10</v>
      </c>
      <c r="Q56" s="41" t="str">
        <f t="shared" si="6"/>
        <v>0</v>
      </c>
      <c r="R56" s="24">
        <f t="shared" si="21"/>
        <v>1.7281536202062853E-9</v>
      </c>
      <c r="S56" s="41" t="str">
        <f t="shared" si="7"/>
        <v>0</v>
      </c>
      <c r="T56" s="24">
        <f t="shared" si="22"/>
        <v>2.0737843442475423E-8</v>
      </c>
      <c r="U56" s="41" t="str">
        <f t="shared" si="8"/>
        <v>0</v>
      </c>
      <c r="V56" s="24">
        <f t="shared" si="23"/>
        <v>2.4885412130970508E-7</v>
      </c>
      <c r="W56" s="41" t="str">
        <f t="shared" si="9"/>
        <v/>
      </c>
      <c r="X56" s="24">
        <f t="shared" si="24"/>
        <v>2.9862494557164609E-6</v>
      </c>
      <c r="Y56" s="41" t="str">
        <f t="shared" si="10"/>
        <v/>
      </c>
      <c r="Z56" s="24">
        <f t="shared" si="25"/>
        <v>3.5834993468597531E-5</v>
      </c>
      <c r="AA56" s="41" t="str">
        <f t="shared" si="11"/>
        <v/>
      </c>
      <c r="AB56" s="24">
        <f t="shared" si="26"/>
        <v>4.3001992162317038E-4</v>
      </c>
      <c r="AC56" s="41" t="str">
        <f t="shared" si="12"/>
        <v/>
      </c>
      <c r="AD56" s="24">
        <f t="shared" si="27"/>
        <v>5.1602390594780445E-3</v>
      </c>
      <c r="AE56" s="41" t="str">
        <f t="shared" si="13"/>
        <v/>
      </c>
      <c r="AF56" s="24">
        <f t="shared" si="28"/>
        <v>6.1922868713736534E-2</v>
      </c>
      <c r="AG56" s="41" t="str">
        <f t="shared" si="14"/>
        <v/>
      </c>
      <c r="AH56" s="24">
        <f t="shared" si="29"/>
        <v>0.74307442456483841</v>
      </c>
      <c r="AI56" s="41" t="str">
        <f t="shared" si="15"/>
        <v/>
      </c>
      <c r="AJ56" s="24">
        <f t="shared" si="30"/>
        <v>8.9168930947780609</v>
      </c>
      <c r="AK56" s="41" t="str">
        <f t="shared" si="16"/>
        <v/>
      </c>
    </row>
    <row r="57" spans="1:37" ht="15" customHeight="1" x14ac:dyDescent="0.2">
      <c r="A57" s="581"/>
      <c r="B57" s="3" t="str">
        <f>Rydberg!B57</f>
        <v>Surface tension of water at 25℃</v>
      </c>
      <c r="C57" s="3" t="str">
        <f>Rydberg!C57</f>
        <v>N/m</v>
      </c>
      <c r="D57" s="21">
        <f>Rydberg!D57</f>
        <v>7.1970000000000006E-2</v>
      </c>
      <c r="E57" s="8">
        <v>4</v>
      </c>
      <c r="F57" s="21">
        <f>D$57/(F$10/F$3)</f>
        <v>7.9306637619543305E-2</v>
      </c>
      <c r="G57" s="37" t="str">
        <f t="shared" si="17"/>
        <v>0;E506</v>
      </c>
      <c r="H57" s="275">
        <f t="shared" si="32"/>
        <v>-4.8320348565480287E-2</v>
      </c>
      <c r="I57" s="278"/>
      <c r="J57" s="38">
        <v>-1</v>
      </c>
      <c r="K57" s="61">
        <f t="shared" si="31"/>
        <v>0.95167965143451971</v>
      </c>
      <c r="L57" s="39" t="str">
        <f>INDEX(powers!$H$2:$H$75,33+J57)</f>
        <v>unino</v>
      </c>
      <c r="M57" s="40" t="str">
        <f t="shared" si="4"/>
        <v>0</v>
      </c>
      <c r="N57" s="24">
        <f t="shared" si="19"/>
        <v>11.420155817214237</v>
      </c>
      <c r="O57" s="41" t="str">
        <f t="shared" si="5"/>
        <v>E</v>
      </c>
      <c r="P57" s="24">
        <f t="shared" si="20"/>
        <v>5.041869806570844</v>
      </c>
      <c r="Q57" s="41" t="str">
        <f t="shared" si="6"/>
        <v>5</v>
      </c>
      <c r="R57" s="24">
        <f t="shared" si="21"/>
        <v>0.50243767885012858</v>
      </c>
      <c r="S57" s="41" t="str">
        <f t="shared" si="7"/>
        <v>0</v>
      </c>
      <c r="T57" s="24">
        <f t="shared" si="22"/>
        <v>6.0292521462015429</v>
      </c>
      <c r="U57" s="41" t="str">
        <f t="shared" si="8"/>
        <v>6</v>
      </c>
      <c r="V57" s="24">
        <f t="shared" si="23"/>
        <v>0.35102575441851513</v>
      </c>
      <c r="W57" s="41" t="str">
        <f t="shared" si="9"/>
        <v/>
      </c>
      <c r="X57" s="24">
        <f t="shared" si="24"/>
        <v>4.2123090530221816</v>
      </c>
      <c r="Y57" s="41" t="str">
        <f t="shared" si="10"/>
        <v/>
      </c>
      <c r="Z57" s="24">
        <f t="shared" si="25"/>
        <v>2.5477086362661794</v>
      </c>
      <c r="AA57" s="41" t="str">
        <f t="shared" si="11"/>
        <v/>
      </c>
      <c r="AB57" s="24">
        <f t="shared" si="26"/>
        <v>6.5725036351941526</v>
      </c>
      <c r="AC57" s="41" t="str">
        <f t="shared" si="12"/>
        <v/>
      </c>
      <c r="AD57" s="24">
        <f t="shared" si="27"/>
        <v>6.8700436223298311</v>
      </c>
      <c r="AE57" s="41" t="str">
        <f t="shared" si="13"/>
        <v/>
      </c>
      <c r="AF57" s="24">
        <f t="shared" si="28"/>
        <v>10.440523467957973</v>
      </c>
      <c r="AG57" s="41" t="str">
        <f t="shared" si="14"/>
        <v/>
      </c>
      <c r="AH57" s="24">
        <f t="shared" si="29"/>
        <v>5.2862816154956818</v>
      </c>
      <c r="AI57" s="41" t="str">
        <f t="shared" si="15"/>
        <v/>
      </c>
      <c r="AJ57" s="24">
        <f t="shared" si="30"/>
        <v>3.4353793859481812</v>
      </c>
      <c r="AK57" s="41" t="str">
        <f t="shared" si="16"/>
        <v/>
      </c>
    </row>
    <row r="58" spans="1:37" ht="15" customHeight="1" x14ac:dyDescent="0.2">
      <c r="A58" s="581"/>
      <c r="B58" s="5" t="str">
        <f>Rydberg!B58</f>
        <v>photon energy at 540THz</v>
      </c>
      <c r="C58" s="3" t="str">
        <f>Rydberg!C58</f>
        <v>J</v>
      </c>
      <c r="D58" s="21">
        <f>D36*540000000000000*(2*PI())</f>
        <v>3.5780778809999999E-19</v>
      </c>
      <c r="E58" s="8">
        <v>10</v>
      </c>
      <c r="F58" s="21">
        <f>D58/F$5</f>
        <v>5.0602799330063548E-18</v>
      </c>
      <c r="G58" s="37" t="str">
        <f t="shared" si="17"/>
        <v>0;E287X95078</v>
      </c>
      <c r="H58" s="275">
        <f t="shared" si="32"/>
        <v>-6.4433894784695522E-2</v>
      </c>
      <c r="I58" s="278"/>
      <c r="J58" s="38">
        <v>-16</v>
      </c>
      <c r="K58" s="61">
        <f t="shared" si="31"/>
        <v>0.93556610521530448</v>
      </c>
      <c r="L58" s="39" t="str">
        <f>INDEX(powers!$H$2:$H$75,33+J58)</f>
        <v>di-atomic</v>
      </c>
      <c r="M58" s="40" t="str">
        <f t="shared" si="4"/>
        <v>0</v>
      </c>
      <c r="N58" s="24">
        <f t="shared" si="19"/>
        <v>11.226793262583653</v>
      </c>
      <c r="O58" s="41" t="str">
        <f t="shared" si="5"/>
        <v>E</v>
      </c>
      <c r="P58" s="24">
        <f t="shared" si="20"/>
        <v>2.7215191510038395</v>
      </c>
      <c r="Q58" s="41" t="str">
        <f t="shared" si="6"/>
        <v>2</v>
      </c>
      <c r="R58" s="24">
        <f t="shared" si="21"/>
        <v>8.6582298120460734</v>
      </c>
      <c r="S58" s="41" t="str">
        <f t="shared" si="7"/>
        <v>8</v>
      </c>
      <c r="T58" s="24">
        <f t="shared" si="22"/>
        <v>7.8987577445528814</v>
      </c>
      <c r="U58" s="41" t="str">
        <f t="shared" si="8"/>
        <v>7</v>
      </c>
      <c r="V58" s="24">
        <f t="shared" si="23"/>
        <v>10.785092934634577</v>
      </c>
      <c r="W58" s="41" t="str">
        <f t="shared" si="9"/>
        <v>X</v>
      </c>
      <c r="X58" s="24">
        <f t="shared" si="24"/>
        <v>9.4211152156149183</v>
      </c>
      <c r="Y58" s="41" t="str">
        <f t="shared" si="10"/>
        <v>9</v>
      </c>
      <c r="Z58" s="24">
        <f t="shared" si="25"/>
        <v>5.0533825873790192</v>
      </c>
      <c r="AA58" s="41" t="str">
        <f t="shared" si="11"/>
        <v>5</v>
      </c>
      <c r="AB58" s="24">
        <f t="shared" si="26"/>
        <v>0.6405910485482309</v>
      </c>
      <c r="AC58" s="41" t="str">
        <f t="shared" si="12"/>
        <v>0</v>
      </c>
      <c r="AD58" s="24">
        <f t="shared" si="27"/>
        <v>7.6870925825787708</v>
      </c>
      <c r="AE58" s="41" t="str">
        <f t="shared" si="13"/>
        <v>7</v>
      </c>
      <c r="AF58" s="24">
        <f t="shared" si="28"/>
        <v>8.2451109909452498</v>
      </c>
      <c r="AG58" s="41" t="str">
        <f t="shared" si="14"/>
        <v>8</v>
      </c>
      <c r="AH58" s="24">
        <f t="shared" si="29"/>
        <v>2.9413318913429976</v>
      </c>
      <c r="AI58" s="41" t="str">
        <f t="shared" si="15"/>
        <v/>
      </c>
      <c r="AJ58" s="24">
        <f t="shared" si="30"/>
        <v>11.295982696115971</v>
      </c>
      <c r="AK58" s="41" t="str">
        <f t="shared" si="16"/>
        <v/>
      </c>
    </row>
    <row r="59" spans="1:37" ht="15" customHeight="1" x14ac:dyDescent="0.2">
      <c r="A59" s="581"/>
      <c r="B59" s="224" t="str">
        <f>Rydberg!B59</f>
        <v>(according to the definition of candela)</v>
      </c>
      <c r="C59" s="3" t="str">
        <f>Rydberg!C59</f>
        <v>eΩA</v>
      </c>
      <c r="D59" s="21">
        <f>D58/D41</f>
        <v>2.2332605563388839</v>
      </c>
      <c r="E59" s="8">
        <v>10</v>
      </c>
      <c r="F59" s="21">
        <f>D59/F$17</f>
        <v>1.0322769220387302</v>
      </c>
      <c r="G59" s="37" t="str">
        <f t="shared" si="17"/>
        <v>1;0479364582</v>
      </c>
      <c r="H59" s="275">
        <f t="shared" si="32"/>
        <v>3.2276922038730227E-2</v>
      </c>
      <c r="I59" s="278"/>
      <c r="J59" s="38">
        <v>0</v>
      </c>
      <c r="K59" s="61">
        <f t="shared" si="31"/>
        <v>1.0322769220387302</v>
      </c>
      <c r="L59" s="254">
        <f>540/K59</f>
        <v>523.11544360936477</v>
      </c>
      <c r="M59" s="40" t="str">
        <f t="shared" si="4"/>
        <v>1</v>
      </c>
      <c r="N59" s="24">
        <f t="shared" si="19"/>
        <v>0.38732306446476272</v>
      </c>
      <c r="O59" s="41" t="str">
        <f t="shared" si="5"/>
        <v>0</v>
      </c>
      <c r="P59" s="24">
        <f t="shared" si="20"/>
        <v>4.6478767735771527</v>
      </c>
      <c r="Q59" s="41" t="str">
        <f t="shared" si="6"/>
        <v>4</v>
      </c>
      <c r="R59" s="24">
        <f t="shared" si="21"/>
        <v>7.7745212829258321</v>
      </c>
      <c r="S59" s="41" t="str">
        <f t="shared" si="7"/>
        <v>7</v>
      </c>
      <c r="T59" s="24">
        <f t="shared" si="22"/>
        <v>9.2942553951099853</v>
      </c>
      <c r="U59" s="41" t="str">
        <f t="shared" si="8"/>
        <v>9</v>
      </c>
      <c r="V59" s="24">
        <f t="shared" si="23"/>
        <v>3.531064741319824</v>
      </c>
      <c r="W59" s="41" t="str">
        <f t="shared" si="9"/>
        <v>3</v>
      </c>
      <c r="X59" s="24">
        <f t="shared" si="24"/>
        <v>6.3727768958378874</v>
      </c>
      <c r="Y59" s="41" t="str">
        <f t="shared" si="10"/>
        <v>6</v>
      </c>
      <c r="Z59" s="24">
        <f t="shared" si="25"/>
        <v>4.4733227500546491</v>
      </c>
      <c r="AA59" s="41" t="str">
        <f t="shared" si="11"/>
        <v>4</v>
      </c>
      <c r="AB59" s="24">
        <f t="shared" si="26"/>
        <v>5.6798730006557889</v>
      </c>
      <c r="AC59" s="41" t="str">
        <f t="shared" si="12"/>
        <v>5</v>
      </c>
      <c r="AD59" s="24">
        <f t="shared" si="27"/>
        <v>8.1584760078694671</v>
      </c>
      <c r="AE59" s="41" t="str">
        <f t="shared" si="13"/>
        <v>8</v>
      </c>
      <c r="AF59" s="24">
        <f t="shared" si="28"/>
        <v>1.9017120944336057</v>
      </c>
      <c r="AG59" s="41" t="str">
        <f t="shared" si="14"/>
        <v>2</v>
      </c>
      <c r="AH59" s="24">
        <f t="shared" si="29"/>
        <v>10.820545133203268</v>
      </c>
      <c r="AI59" s="41" t="str">
        <f t="shared" si="15"/>
        <v/>
      </c>
      <c r="AJ59" s="24">
        <f t="shared" si="30"/>
        <v>9.8465415984392166</v>
      </c>
      <c r="AK59" s="41" t="str">
        <f t="shared" si="16"/>
        <v/>
      </c>
    </row>
    <row r="60" spans="1:37" ht="15" customHeight="1" x14ac:dyDescent="0.2">
      <c r="A60" s="581"/>
      <c r="B60" s="267">
        <f>Rydberg!B60</f>
        <v>1.024</v>
      </c>
      <c r="C60" s="3" t="str">
        <f>Rydberg!C60</f>
        <v>P/m</v>
      </c>
      <c r="D60" s="21">
        <f>D54*D63*B60</f>
        <v>10041.728423731198</v>
      </c>
      <c r="E60" s="8">
        <v>6</v>
      </c>
      <c r="F60" s="21">
        <f>D60/(F11/F3)</f>
        <v>862.18366007032489</v>
      </c>
      <c r="G60" s="37" t="str">
        <f t="shared" si="17"/>
        <v>5;EX2254</v>
      </c>
      <c r="H60" s="275">
        <f t="shared" si="32"/>
        <v>-2.1022452889757348E-3</v>
      </c>
      <c r="I60" s="278"/>
      <c r="J60" s="38">
        <v>2</v>
      </c>
      <c r="K60" s="61">
        <f t="shared" si="31"/>
        <v>5.9873865282661454</v>
      </c>
      <c r="L60" s="39" t="str">
        <f>INDEX(powers!$H$2:$H$75,33+J60)</f>
        <v>gross</v>
      </c>
      <c r="M60" s="40" t="str">
        <f t="shared" si="4"/>
        <v>5</v>
      </c>
      <c r="N60" s="24">
        <f t="shared" si="19"/>
        <v>11.848638339193744</v>
      </c>
      <c r="O60" s="41" t="str">
        <f t="shared" si="5"/>
        <v>E</v>
      </c>
      <c r="P60" s="24">
        <f t="shared" si="20"/>
        <v>10.183660070324933</v>
      </c>
      <c r="Q60" s="41" t="str">
        <f t="shared" si="6"/>
        <v>X</v>
      </c>
      <c r="R60" s="24">
        <f t="shared" si="21"/>
        <v>2.2039208438991977</v>
      </c>
      <c r="S60" s="41" t="str">
        <f t="shared" si="7"/>
        <v>2</v>
      </c>
      <c r="T60" s="24">
        <f t="shared" si="22"/>
        <v>2.4470501267903728</v>
      </c>
      <c r="U60" s="41" t="str">
        <f t="shared" si="8"/>
        <v>2</v>
      </c>
      <c r="V60" s="24">
        <f t="shared" si="23"/>
        <v>5.3646015214844738</v>
      </c>
      <c r="W60" s="41" t="str">
        <f t="shared" si="9"/>
        <v>5</v>
      </c>
      <c r="X60" s="24">
        <f t="shared" si="24"/>
        <v>4.3752182578136853</v>
      </c>
      <c r="Y60" s="41" t="str">
        <f t="shared" si="10"/>
        <v>4</v>
      </c>
      <c r="Z60" s="24">
        <f t="shared" si="25"/>
        <v>4.5026190937642241</v>
      </c>
      <c r="AA60" s="41" t="str">
        <f t="shared" si="11"/>
        <v/>
      </c>
      <c r="AB60" s="24">
        <f t="shared" si="26"/>
        <v>6.0314291251706891</v>
      </c>
      <c r="AC60" s="41" t="str">
        <f t="shared" si="12"/>
        <v/>
      </c>
      <c r="AD60" s="24">
        <f t="shared" si="27"/>
        <v>0.37714950204826891</v>
      </c>
      <c r="AE60" s="41" t="str">
        <f t="shared" si="13"/>
        <v/>
      </c>
      <c r="AF60" s="24">
        <f t="shared" si="28"/>
        <v>4.525794024579227</v>
      </c>
      <c r="AG60" s="41" t="str">
        <f t="shared" si="14"/>
        <v/>
      </c>
      <c r="AH60" s="24">
        <f t="shared" si="29"/>
        <v>6.3095282949507236</v>
      </c>
      <c r="AI60" s="41" t="str">
        <f t="shared" si="15"/>
        <v/>
      </c>
      <c r="AJ60" s="24">
        <f t="shared" si="30"/>
        <v>3.7143395394086838</v>
      </c>
      <c r="AK60" s="41" t="str">
        <f t="shared" si="16"/>
        <v/>
      </c>
    </row>
    <row r="61" spans="1:37" ht="15" customHeight="1" x14ac:dyDescent="0.2">
      <c r="A61" s="581"/>
      <c r="B61" s="3" t="str">
        <f>Rydberg!B61</f>
        <v>Sea depth at standard atmosphere</v>
      </c>
      <c r="C61" s="3" t="str">
        <f>Rydberg!C61</f>
        <v>m</v>
      </c>
      <c r="D61" s="21">
        <f>D62/D60</f>
        <v>10.090394374791382</v>
      </c>
      <c r="E61" s="8">
        <v>6</v>
      </c>
      <c r="F61" s="21">
        <f>D61/F$3</f>
        <v>36.148601476845172</v>
      </c>
      <c r="G61" s="37" t="str">
        <f t="shared" si="17"/>
        <v>3;019495</v>
      </c>
      <c r="H61" s="276">
        <f t="shared" si="32"/>
        <v>4.1278188012547901E-3</v>
      </c>
      <c r="I61" s="284">
        <v>1</v>
      </c>
      <c r="J61" s="38">
        <v>1</v>
      </c>
      <c r="K61" s="61">
        <f t="shared" si="31"/>
        <v>3.0123834564037644</v>
      </c>
      <c r="L61" s="39" t="str">
        <f>INDEX(powers!$H$2:$H$75,33+J61)</f>
        <v>dozen</v>
      </c>
      <c r="M61" s="40" t="str">
        <f t="shared" si="4"/>
        <v>3</v>
      </c>
      <c r="N61" s="24">
        <f t="shared" si="19"/>
        <v>0.14860147684517244</v>
      </c>
      <c r="O61" s="41" t="str">
        <f t="shared" si="5"/>
        <v>0</v>
      </c>
      <c r="P61" s="24">
        <f t="shared" si="20"/>
        <v>1.7832177221420693</v>
      </c>
      <c r="Q61" s="41" t="str">
        <f t="shared" si="6"/>
        <v>1</v>
      </c>
      <c r="R61" s="24">
        <f t="shared" si="21"/>
        <v>9.3986126657048317</v>
      </c>
      <c r="S61" s="41" t="str">
        <f t="shared" si="7"/>
        <v>9</v>
      </c>
      <c r="T61" s="24">
        <f t="shared" si="22"/>
        <v>4.78335198845798</v>
      </c>
      <c r="U61" s="41" t="str">
        <f t="shared" si="8"/>
        <v>4</v>
      </c>
      <c r="V61" s="24">
        <f t="shared" si="23"/>
        <v>9.4002238614957605</v>
      </c>
      <c r="W61" s="41" t="str">
        <f t="shared" si="9"/>
        <v>9</v>
      </c>
      <c r="X61" s="24">
        <f t="shared" si="24"/>
        <v>4.802686337949126</v>
      </c>
      <c r="Y61" s="41" t="str">
        <f t="shared" si="10"/>
        <v>5</v>
      </c>
      <c r="Z61" s="24">
        <f t="shared" si="25"/>
        <v>9.6322360553895123</v>
      </c>
      <c r="AA61" s="41" t="str">
        <f t="shared" si="11"/>
        <v/>
      </c>
      <c r="AB61" s="24">
        <f t="shared" si="26"/>
        <v>7.586832664674148</v>
      </c>
      <c r="AC61" s="41" t="str">
        <f t="shared" si="12"/>
        <v/>
      </c>
      <c r="AD61" s="24">
        <f t="shared" si="27"/>
        <v>7.0419919760897756</v>
      </c>
      <c r="AE61" s="41" t="str">
        <f t="shared" si="13"/>
        <v/>
      </c>
      <c r="AF61" s="24">
        <f t="shared" si="28"/>
        <v>0.50390371307730675</v>
      </c>
      <c r="AG61" s="41" t="str">
        <f t="shared" si="14"/>
        <v/>
      </c>
      <c r="AH61" s="24">
        <f t="shared" si="29"/>
        <v>6.046844556927681</v>
      </c>
      <c r="AI61" s="41" t="str">
        <f t="shared" si="15"/>
        <v/>
      </c>
      <c r="AJ61" s="24">
        <f t="shared" si="30"/>
        <v>0.56213468313217163</v>
      </c>
      <c r="AK61" s="41" t="str">
        <f t="shared" si="16"/>
        <v/>
      </c>
    </row>
    <row r="62" spans="1:37" ht="15" customHeight="1" x14ac:dyDescent="0.2">
      <c r="A62" s="581"/>
      <c r="B62" s="3" t="str">
        <f>Rydberg!B62</f>
        <v>Standard atmosphere</v>
      </c>
      <c r="C62" s="3" t="str">
        <f>Rydberg!C62</f>
        <v>P</v>
      </c>
      <c r="D62" s="21">
        <f>Rydberg!D62</f>
        <v>101325</v>
      </c>
      <c r="E62" s="8">
        <v>10</v>
      </c>
      <c r="F62" s="21">
        <f>D62/F$11</f>
        <v>31166.733527729921</v>
      </c>
      <c r="G62" s="37" t="str">
        <f t="shared" si="17"/>
        <v>1;6052897652</v>
      </c>
      <c r="H62" s="276">
        <f t="shared" si="32"/>
        <v>2.0168958246502555E-3</v>
      </c>
      <c r="I62" s="284">
        <v>2</v>
      </c>
      <c r="J62" s="38">
        <v>4</v>
      </c>
      <c r="K62" s="61">
        <f t="shared" si="31"/>
        <v>1.5030253437369754</v>
      </c>
      <c r="L62" s="39" t="str">
        <f>INDEX(powers!$H$2:$H$75,33+J62)</f>
        <v>hyper</v>
      </c>
      <c r="M62" s="40" t="str">
        <f t="shared" si="4"/>
        <v>1</v>
      </c>
      <c r="N62" s="24">
        <f t="shared" si="19"/>
        <v>6.0363041248437046</v>
      </c>
      <c r="O62" s="41" t="str">
        <f t="shared" si="5"/>
        <v>6</v>
      </c>
      <c r="P62" s="24">
        <f t="shared" si="20"/>
        <v>0.43564949812445519</v>
      </c>
      <c r="Q62" s="41" t="str">
        <f t="shared" si="6"/>
        <v>0</v>
      </c>
      <c r="R62" s="24">
        <f t="shared" si="21"/>
        <v>5.2277939774934623</v>
      </c>
      <c r="S62" s="41" t="str">
        <f t="shared" si="7"/>
        <v>5</v>
      </c>
      <c r="T62" s="24">
        <f t="shared" si="22"/>
        <v>2.7335277299215477</v>
      </c>
      <c r="U62" s="41" t="str">
        <f t="shared" si="8"/>
        <v>2</v>
      </c>
      <c r="V62" s="24">
        <f t="shared" si="23"/>
        <v>8.8023327590585723</v>
      </c>
      <c r="W62" s="41" t="str">
        <f t="shared" si="9"/>
        <v>8</v>
      </c>
      <c r="X62" s="24">
        <f t="shared" si="24"/>
        <v>9.6279931087028672</v>
      </c>
      <c r="Y62" s="41" t="str">
        <f t="shared" si="10"/>
        <v>9</v>
      </c>
      <c r="Z62" s="24">
        <f t="shared" si="25"/>
        <v>7.5359173044344061</v>
      </c>
      <c r="AA62" s="41" t="str">
        <f t="shared" si="11"/>
        <v>7</v>
      </c>
      <c r="AB62" s="24">
        <f t="shared" si="26"/>
        <v>6.4310076532128733</v>
      </c>
      <c r="AC62" s="41" t="str">
        <f t="shared" si="12"/>
        <v>6</v>
      </c>
      <c r="AD62" s="24">
        <f t="shared" si="27"/>
        <v>5.1720918385544792</v>
      </c>
      <c r="AE62" s="41" t="str">
        <f t="shared" si="13"/>
        <v>5</v>
      </c>
      <c r="AF62" s="24">
        <f t="shared" si="28"/>
        <v>2.0651020626537502</v>
      </c>
      <c r="AG62" s="41" t="str">
        <f t="shared" si="14"/>
        <v>2</v>
      </c>
      <c r="AH62" s="24">
        <f t="shared" si="29"/>
        <v>0.78122475184500217</v>
      </c>
      <c r="AI62" s="41" t="str">
        <f t="shared" si="15"/>
        <v/>
      </c>
      <c r="AJ62" s="24">
        <f t="shared" si="30"/>
        <v>9.3746970221400261</v>
      </c>
      <c r="AK62" s="41" t="str">
        <f t="shared" si="16"/>
        <v/>
      </c>
    </row>
    <row r="63" spans="1:37" ht="15" customHeight="1" x14ac:dyDescent="0.2">
      <c r="A63" s="581"/>
      <c r="B63" s="3" t="str">
        <f>Rydberg!B63</f>
        <v>Standard gravitational acceleration</v>
      </c>
      <c r="C63" s="3" t="str">
        <f>Rydberg!C63</f>
        <v>m/s^2</v>
      </c>
      <c r="D63" s="21">
        <f>Rydberg!D63</f>
        <v>9.8066499999999994</v>
      </c>
      <c r="E63" s="8">
        <v>7</v>
      </c>
      <c r="F63" s="21">
        <f>D63/(F$3/F$4/F$4)</f>
        <v>5.3607321015871294</v>
      </c>
      <c r="G63" s="37" t="str">
        <f t="shared" si="17"/>
        <v>5;43E4183</v>
      </c>
      <c r="H63" s="296">
        <f>K63*POWER(12,I63)/ROUND(K63*POWER(12,I63)+1,0)-1</f>
        <v>-0.10654464973547839</v>
      </c>
      <c r="I63" s="297">
        <v>0</v>
      </c>
      <c r="J63" s="38">
        <v>0</v>
      </c>
      <c r="K63" s="61">
        <f t="shared" si="31"/>
        <v>5.3607321015871294</v>
      </c>
      <c r="L63" s="39" t="str">
        <f>INDEX(powers!$H$2:$H$75,33+J63)</f>
        <v xml:space="preserve"> </v>
      </c>
      <c r="M63" s="40" t="str">
        <f t="shared" si="4"/>
        <v>5</v>
      </c>
      <c r="N63" s="24">
        <f t="shared" si="19"/>
        <v>4.3287852190455531</v>
      </c>
      <c r="O63" s="41" t="str">
        <f t="shared" si="5"/>
        <v>4</v>
      </c>
      <c r="P63" s="24">
        <f t="shared" si="20"/>
        <v>3.9454226285466376</v>
      </c>
      <c r="Q63" s="41" t="str">
        <f t="shared" si="6"/>
        <v>3</v>
      </c>
      <c r="R63" s="24">
        <f t="shared" si="21"/>
        <v>11.345071542559651</v>
      </c>
      <c r="S63" s="41" t="str">
        <f t="shared" si="7"/>
        <v>E</v>
      </c>
      <c r="T63" s="24">
        <f t="shared" si="22"/>
        <v>4.140858510715816</v>
      </c>
      <c r="U63" s="41" t="str">
        <f t="shared" si="8"/>
        <v>4</v>
      </c>
      <c r="V63" s="24">
        <f t="shared" si="23"/>
        <v>1.6903021285897921</v>
      </c>
      <c r="W63" s="41" t="str">
        <f t="shared" si="9"/>
        <v>1</v>
      </c>
      <c r="X63" s="24">
        <f t="shared" si="24"/>
        <v>8.2836255430775054</v>
      </c>
      <c r="Y63" s="41" t="str">
        <f t="shared" si="10"/>
        <v>8</v>
      </c>
      <c r="Z63" s="24">
        <f t="shared" si="25"/>
        <v>3.4035065169300651</v>
      </c>
      <c r="AA63" s="41" t="str">
        <f t="shared" si="11"/>
        <v>3</v>
      </c>
      <c r="AB63" s="24">
        <f t="shared" si="26"/>
        <v>4.8420782031607814</v>
      </c>
      <c r="AC63" s="41" t="str">
        <f t="shared" si="12"/>
        <v/>
      </c>
      <c r="AD63" s="24">
        <f t="shared" si="27"/>
        <v>10.104938437929377</v>
      </c>
      <c r="AE63" s="41" t="str">
        <f t="shared" si="13"/>
        <v/>
      </c>
      <c r="AF63" s="24">
        <f t="shared" si="28"/>
        <v>1.2592612551525235</v>
      </c>
      <c r="AG63" s="41" t="str">
        <f t="shared" si="14"/>
        <v/>
      </c>
      <c r="AH63" s="24">
        <f t="shared" si="29"/>
        <v>3.1111350618302822</v>
      </c>
      <c r="AI63" s="41" t="str">
        <f t="shared" si="15"/>
        <v/>
      </c>
      <c r="AJ63" s="24">
        <f t="shared" si="30"/>
        <v>1.3336207419633865</v>
      </c>
      <c r="AK63" s="41" t="str">
        <f t="shared" si="16"/>
        <v/>
      </c>
    </row>
    <row r="64" spans="1:37" ht="15" customHeight="1" x14ac:dyDescent="0.2">
      <c r="A64" s="581"/>
      <c r="B64" s="3" t="str">
        <f>Rydberg!B64</f>
        <v>Gravitational radius of the Earth</v>
      </c>
      <c r="C64" s="3" t="str">
        <f>Rydberg!C64</f>
        <v>m</v>
      </c>
      <c r="D64" s="21">
        <f>Rydberg!D64</f>
        <v>4.4350280391176706E-3</v>
      </c>
      <c r="E64" s="8">
        <v>10</v>
      </c>
      <c r="F64" s="21">
        <f>D64/F$3</f>
        <v>1.5888384058131859E-2</v>
      </c>
      <c r="G64" s="37" t="str">
        <f t="shared" si="17"/>
        <v>2;3556563X7E</v>
      </c>
      <c r="H64" s="275"/>
      <c r="I64" s="278"/>
      <c r="J64" s="38">
        <v>-2</v>
      </c>
      <c r="K64" s="61">
        <f t="shared" si="31"/>
        <v>2.2879273043709878</v>
      </c>
      <c r="L64" s="39" t="str">
        <f>INDEX(powers!$H$2:$H$75,33+J64)</f>
        <v>dino</v>
      </c>
      <c r="M64" s="40" t="str">
        <f t="shared" si="4"/>
        <v>2</v>
      </c>
      <c r="N64" s="24">
        <f t="shared" si="19"/>
        <v>3.4551276524518535</v>
      </c>
      <c r="O64" s="41" t="str">
        <f t="shared" si="5"/>
        <v>3</v>
      </c>
      <c r="P64" s="24">
        <f t="shared" si="20"/>
        <v>5.4615318294222419</v>
      </c>
      <c r="Q64" s="41" t="str">
        <f t="shared" si="6"/>
        <v>5</v>
      </c>
      <c r="R64" s="24">
        <f t="shared" si="21"/>
        <v>5.538381953066903</v>
      </c>
      <c r="S64" s="41" t="str">
        <f t="shared" si="7"/>
        <v>5</v>
      </c>
      <c r="T64" s="24">
        <f t="shared" si="22"/>
        <v>6.4605834368028354</v>
      </c>
      <c r="U64" s="41" t="str">
        <f t="shared" si="8"/>
        <v>6</v>
      </c>
      <c r="V64" s="24">
        <f t="shared" si="23"/>
        <v>5.5270012416340251</v>
      </c>
      <c r="W64" s="41" t="str">
        <f t="shared" si="9"/>
        <v>5</v>
      </c>
      <c r="X64" s="24">
        <f t="shared" si="24"/>
        <v>6.3240148996083008</v>
      </c>
      <c r="Y64" s="41" t="str">
        <f t="shared" si="10"/>
        <v>6</v>
      </c>
      <c r="Z64" s="24">
        <f t="shared" si="25"/>
        <v>3.8881787952996092</v>
      </c>
      <c r="AA64" s="41" t="str">
        <f t="shared" si="11"/>
        <v>3</v>
      </c>
      <c r="AB64" s="24">
        <f t="shared" si="26"/>
        <v>10.65814554359531</v>
      </c>
      <c r="AC64" s="41" t="str">
        <f t="shared" si="12"/>
        <v>X</v>
      </c>
      <c r="AD64" s="24">
        <f t="shared" si="27"/>
        <v>7.8977465231437236</v>
      </c>
      <c r="AE64" s="41" t="str">
        <f t="shared" si="13"/>
        <v>7</v>
      </c>
      <c r="AF64" s="24">
        <f t="shared" si="28"/>
        <v>10.772958277724683</v>
      </c>
      <c r="AG64" s="41" t="str">
        <f t="shared" si="14"/>
        <v>E</v>
      </c>
      <c r="AH64" s="24">
        <f t="shared" si="29"/>
        <v>9.2754993326961994</v>
      </c>
      <c r="AI64" s="41" t="str">
        <f t="shared" si="15"/>
        <v/>
      </c>
      <c r="AJ64" s="24">
        <f t="shared" si="30"/>
        <v>3.305991992354393</v>
      </c>
      <c r="AK64" s="41" t="str">
        <f t="shared" si="16"/>
        <v/>
      </c>
    </row>
    <row r="65" spans="1:37" ht="15" customHeight="1" x14ac:dyDescent="0.2">
      <c r="A65" s="581"/>
      <c r="B65" s="3" t="str">
        <f>Rydberg!B65</f>
        <v>Equatorial radius of the Earth</v>
      </c>
      <c r="C65" s="3" t="str">
        <f>Rydberg!C65</f>
        <v>m</v>
      </c>
      <c r="D65" s="21">
        <f>Rydberg!D65</f>
        <v>6378137</v>
      </c>
      <c r="E65" s="8">
        <v>7</v>
      </c>
      <c r="F65" s="21">
        <f>D65/F$3</f>
        <v>22849526.39251899</v>
      </c>
      <c r="G65" s="37" t="str">
        <f t="shared" si="17"/>
        <v>0;779E132</v>
      </c>
      <c r="H65" s="275"/>
      <c r="I65" s="278"/>
      <c r="J65" s="38">
        <v>7</v>
      </c>
      <c r="K65" s="61">
        <f t="shared" si="31"/>
        <v>0.63768834641330374</v>
      </c>
      <c r="L65" s="39" t="str">
        <f>INDEX(powers!$H$2:$H$75,33+J65)</f>
        <v>unino cosmic</v>
      </c>
      <c r="M65" s="40" t="str">
        <f t="shared" si="4"/>
        <v>0</v>
      </c>
      <c r="N65" s="24">
        <f t="shared" si="19"/>
        <v>7.6522601569596453</v>
      </c>
      <c r="O65" s="41" t="str">
        <f t="shared" si="5"/>
        <v>7</v>
      </c>
      <c r="P65" s="24">
        <f t="shared" si="20"/>
        <v>7.8271218835157441</v>
      </c>
      <c r="Q65" s="41" t="str">
        <f t="shared" si="6"/>
        <v>7</v>
      </c>
      <c r="R65" s="24">
        <f t="shared" si="21"/>
        <v>9.9254626021889294</v>
      </c>
      <c r="S65" s="41" t="str">
        <f t="shared" si="7"/>
        <v>9</v>
      </c>
      <c r="T65" s="24">
        <f t="shared" si="22"/>
        <v>11.105551226267153</v>
      </c>
      <c r="U65" s="41" t="str">
        <f t="shared" si="8"/>
        <v>E</v>
      </c>
      <c r="V65" s="24">
        <f t="shared" si="23"/>
        <v>1.2666147152058329</v>
      </c>
      <c r="W65" s="41" t="str">
        <f t="shared" si="9"/>
        <v>1</v>
      </c>
      <c r="X65" s="24">
        <f t="shared" si="24"/>
        <v>3.1993765824699949</v>
      </c>
      <c r="Y65" s="41" t="str">
        <f t="shared" si="10"/>
        <v>3</v>
      </c>
      <c r="Z65" s="24">
        <f t="shared" si="25"/>
        <v>2.3925189896399388</v>
      </c>
      <c r="AA65" s="41" t="str">
        <f t="shared" si="11"/>
        <v>2</v>
      </c>
      <c r="AB65" s="24">
        <f t="shared" si="26"/>
        <v>4.7102278756792657</v>
      </c>
      <c r="AC65" s="41" t="str">
        <f t="shared" si="12"/>
        <v/>
      </c>
      <c r="AD65" s="24">
        <f t="shared" si="27"/>
        <v>8.5227345081511885</v>
      </c>
      <c r="AE65" s="41" t="str">
        <f t="shared" si="13"/>
        <v/>
      </c>
      <c r="AF65" s="24">
        <f t="shared" si="28"/>
        <v>6.2728140978142619</v>
      </c>
      <c r="AG65" s="41" t="str">
        <f t="shared" si="14"/>
        <v/>
      </c>
      <c r="AH65" s="24">
        <f t="shared" si="29"/>
        <v>3.273769173771143</v>
      </c>
      <c r="AI65" s="41" t="str">
        <f t="shared" si="15"/>
        <v/>
      </c>
      <c r="AJ65" s="24">
        <f t="shared" si="30"/>
        <v>3.2852300852537155</v>
      </c>
      <c r="AK65" s="41" t="str">
        <f t="shared" si="16"/>
        <v/>
      </c>
    </row>
    <row r="66" spans="1:37" ht="15" customHeight="1" x14ac:dyDescent="0.2">
      <c r="A66" s="581"/>
      <c r="B66" s="3" t="str">
        <f>Rydberg!B66</f>
        <v>Meridian length of the Earth / 4</v>
      </c>
      <c r="C66" s="3" t="str">
        <f>Rydberg!C66</f>
        <v>m</v>
      </c>
      <c r="D66" s="21">
        <f>Rydberg!D66</f>
        <v>10001965.75</v>
      </c>
      <c r="E66" s="8">
        <v>7</v>
      </c>
      <c r="F66" s="21">
        <f>D66/F$3</f>
        <v>35831808</v>
      </c>
      <c r="G66" s="37" t="str">
        <f t="shared" si="17"/>
        <v>1;0000000</v>
      </c>
      <c r="H66" s="275">
        <f t="shared" ref="H66" si="33">K66*POWER(12,I66)/ROUND(K66*POWER(12,I66),0)-1</f>
        <v>0</v>
      </c>
      <c r="I66" s="278"/>
      <c r="J66" s="38">
        <v>7</v>
      </c>
      <c r="K66" s="61">
        <f t="shared" si="31"/>
        <v>1</v>
      </c>
      <c r="L66" s="39" t="str">
        <f>INDEX(powers!$H$2:$H$75,33+J66)</f>
        <v>unino cosmic</v>
      </c>
      <c r="M66" s="40" t="str">
        <f t="shared" si="4"/>
        <v>1</v>
      </c>
      <c r="N66" s="24">
        <f t="shared" si="19"/>
        <v>0</v>
      </c>
      <c r="O66" s="41" t="str">
        <f t="shared" si="5"/>
        <v>0</v>
      </c>
      <c r="P66" s="24">
        <f t="shared" si="20"/>
        <v>0</v>
      </c>
      <c r="Q66" s="41" t="str">
        <f t="shared" si="6"/>
        <v>0</v>
      </c>
      <c r="R66" s="24">
        <f t="shared" si="21"/>
        <v>0</v>
      </c>
      <c r="S66" s="41" t="str">
        <f t="shared" si="7"/>
        <v>0</v>
      </c>
      <c r="T66" s="24">
        <f t="shared" si="22"/>
        <v>0</v>
      </c>
      <c r="U66" s="41" t="str">
        <f t="shared" si="8"/>
        <v>0</v>
      </c>
      <c r="V66" s="24">
        <f t="shared" si="23"/>
        <v>0</v>
      </c>
      <c r="W66" s="41" t="str">
        <f t="shared" si="9"/>
        <v>0</v>
      </c>
      <c r="X66" s="24">
        <f t="shared" si="24"/>
        <v>0</v>
      </c>
      <c r="Y66" s="41" t="str">
        <f t="shared" si="10"/>
        <v>0</v>
      </c>
      <c r="Z66" s="24">
        <f t="shared" si="25"/>
        <v>0</v>
      </c>
      <c r="AA66" s="41" t="str">
        <f t="shared" si="11"/>
        <v>0</v>
      </c>
      <c r="AB66" s="24">
        <f t="shared" si="26"/>
        <v>0</v>
      </c>
      <c r="AC66" s="41" t="str">
        <f t="shared" si="12"/>
        <v/>
      </c>
      <c r="AD66" s="24">
        <f t="shared" si="27"/>
        <v>0</v>
      </c>
      <c r="AE66" s="41" t="str">
        <f t="shared" si="13"/>
        <v/>
      </c>
      <c r="AF66" s="24">
        <f t="shared" si="28"/>
        <v>0</v>
      </c>
      <c r="AG66" s="41" t="str">
        <f t="shared" si="14"/>
        <v/>
      </c>
      <c r="AH66" s="24">
        <f t="shared" si="29"/>
        <v>0</v>
      </c>
      <c r="AI66" s="41" t="str">
        <f t="shared" si="15"/>
        <v/>
      </c>
      <c r="AJ66" s="24">
        <f t="shared" si="30"/>
        <v>0</v>
      </c>
      <c r="AK66" s="41" t="str">
        <f t="shared" si="16"/>
        <v/>
      </c>
    </row>
    <row r="67" spans="1:37" ht="15" customHeight="1" x14ac:dyDescent="0.2">
      <c r="A67" s="581"/>
      <c r="B67" s="3" t="str">
        <f>Rydberg!B67</f>
        <v>Gravitational radius of the Sun</v>
      </c>
      <c r="C67" s="3" t="str">
        <f>Rydberg!C67</f>
        <v>m</v>
      </c>
      <c r="D67" s="21">
        <f>Rydberg!D67</f>
        <v>1476.6250385063113</v>
      </c>
      <c r="E67" s="8">
        <v>8</v>
      </c>
      <c r="F67" s="21">
        <f>D67/F$3</f>
        <v>5289.974610016111</v>
      </c>
      <c r="G67" s="37" t="str">
        <f t="shared" si="17"/>
        <v>3;089E8416</v>
      </c>
      <c r="H67" s="275"/>
      <c r="I67" s="278"/>
      <c r="J67" s="38">
        <v>3</v>
      </c>
      <c r="K67" s="61">
        <f t="shared" si="31"/>
        <v>3.0613278993148789</v>
      </c>
      <c r="L67" s="39" t="str">
        <f>INDEX(powers!$H$2:$H$75,33+J67)</f>
        <v>doz gross</v>
      </c>
      <c r="M67" s="40" t="str">
        <f t="shared" si="4"/>
        <v>3</v>
      </c>
      <c r="N67" s="24">
        <f t="shared" si="19"/>
        <v>0.73593479177854704</v>
      </c>
      <c r="O67" s="41" t="str">
        <f t="shared" si="5"/>
        <v>0</v>
      </c>
      <c r="P67" s="24">
        <f t="shared" si="20"/>
        <v>8.8312175013425644</v>
      </c>
      <c r="Q67" s="41" t="str">
        <f t="shared" si="6"/>
        <v>8</v>
      </c>
      <c r="R67" s="24">
        <f t="shared" si="21"/>
        <v>9.9746100161107734</v>
      </c>
      <c r="S67" s="41" t="str">
        <f t="shared" si="7"/>
        <v>9</v>
      </c>
      <c r="T67" s="24">
        <f t="shared" si="22"/>
        <v>11.69532019332928</v>
      </c>
      <c r="U67" s="41" t="str">
        <f t="shared" si="8"/>
        <v>E</v>
      </c>
      <c r="V67" s="24">
        <f t="shared" si="23"/>
        <v>8.3438423199513636</v>
      </c>
      <c r="W67" s="41" t="str">
        <f t="shared" si="9"/>
        <v>8</v>
      </c>
      <c r="X67" s="24">
        <f t="shared" si="24"/>
        <v>4.1261078394163633</v>
      </c>
      <c r="Y67" s="41" t="str">
        <f t="shared" si="10"/>
        <v>4</v>
      </c>
      <c r="Z67" s="24">
        <f t="shared" si="25"/>
        <v>1.5132940729963593</v>
      </c>
      <c r="AA67" s="41" t="str">
        <f t="shared" si="11"/>
        <v>1</v>
      </c>
      <c r="AB67" s="24">
        <f t="shared" si="26"/>
        <v>6.1595288759563118</v>
      </c>
      <c r="AC67" s="41" t="str">
        <f t="shared" si="12"/>
        <v>6</v>
      </c>
      <c r="AD67" s="24">
        <f t="shared" si="27"/>
        <v>1.9143465114757419</v>
      </c>
      <c r="AE67" s="41" t="str">
        <f t="shared" si="13"/>
        <v/>
      </c>
      <c r="AF67" s="24">
        <f t="shared" si="28"/>
        <v>10.972158137708902</v>
      </c>
      <c r="AG67" s="41" t="str">
        <f t="shared" si="14"/>
        <v/>
      </c>
      <c r="AH67" s="24">
        <f t="shared" si="29"/>
        <v>11.665897652506828</v>
      </c>
      <c r="AI67" s="41" t="str">
        <f t="shared" si="15"/>
        <v/>
      </c>
      <c r="AJ67" s="24">
        <f t="shared" si="30"/>
        <v>7.9907718300819397</v>
      </c>
      <c r="AK67" s="41" t="str">
        <f t="shared" si="16"/>
        <v/>
      </c>
    </row>
    <row r="68" spans="1:37" ht="15" customHeight="1" x14ac:dyDescent="0.2">
      <c r="A68" s="581"/>
      <c r="B68" s="5" t="str">
        <f>Rydberg!B68</f>
        <v>Astronomical unit</v>
      </c>
      <c r="C68" s="5" t="str">
        <f>Rydberg!C68</f>
        <v>m</v>
      </c>
      <c r="D68" s="21">
        <f>Rydberg!D68</f>
        <v>149597870000</v>
      </c>
      <c r="E68" s="30">
        <v>9</v>
      </c>
      <c r="F68" s="29">
        <f>D68/F$3</f>
        <v>535930864895.12921</v>
      </c>
      <c r="G68" s="37" t="str">
        <f t="shared" si="17"/>
        <v>8;7X4X1E454</v>
      </c>
      <c r="H68" s="275"/>
      <c r="I68" s="281"/>
      <c r="J68" s="43">
        <v>10</v>
      </c>
      <c r="K68" s="62">
        <f t="shared" si="31"/>
        <v>8.6555826723547007</v>
      </c>
      <c r="L68" s="39" t="str">
        <f>INDEX(powers!$H$2:$H$75,33+J68)</f>
        <v>gross cosmic</v>
      </c>
      <c r="M68" s="40" t="str">
        <f t="shared" si="4"/>
        <v>8</v>
      </c>
      <c r="N68" s="24">
        <f t="shared" si="19"/>
        <v>7.8669920682564083</v>
      </c>
      <c r="O68" s="41" t="str">
        <f t="shared" si="5"/>
        <v>7</v>
      </c>
      <c r="P68" s="24">
        <f t="shared" si="20"/>
        <v>10.403904819076899</v>
      </c>
      <c r="Q68" s="41" t="str">
        <f t="shared" si="6"/>
        <v>X</v>
      </c>
      <c r="R68" s="24">
        <f t="shared" si="21"/>
        <v>4.8468578289227935</v>
      </c>
      <c r="S68" s="41" t="str">
        <f t="shared" si="7"/>
        <v>4</v>
      </c>
      <c r="T68" s="24">
        <f t="shared" si="22"/>
        <v>10.162293947073522</v>
      </c>
      <c r="U68" s="41" t="str">
        <f t="shared" si="8"/>
        <v>X</v>
      </c>
      <c r="V68" s="24">
        <f t="shared" si="23"/>
        <v>1.9475273648822622</v>
      </c>
      <c r="W68" s="41" t="str">
        <f t="shared" si="9"/>
        <v>1</v>
      </c>
      <c r="X68" s="24">
        <f t="shared" si="24"/>
        <v>11.370328378587146</v>
      </c>
      <c r="Y68" s="41" t="str">
        <f t="shared" si="10"/>
        <v>E</v>
      </c>
      <c r="Z68" s="24">
        <f t="shared" si="25"/>
        <v>4.4439405430457555</v>
      </c>
      <c r="AA68" s="41" t="str">
        <f t="shared" si="11"/>
        <v>4</v>
      </c>
      <c r="AB68" s="24">
        <f t="shared" si="26"/>
        <v>5.3272865165490657</v>
      </c>
      <c r="AC68" s="41" t="str">
        <f t="shared" si="12"/>
        <v>5</v>
      </c>
      <c r="AD68" s="24">
        <f t="shared" si="27"/>
        <v>3.9274381985887885</v>
      </c>
      <c r="AE68" s="41" t="str">
        <f t="shared" si="13"/>
        <v>4</v>
      </c>
      <c r="AF68" s="24">
        <f t="shared" si="28"/>
        <v>11.129258383065462</v>
      </c>
      <c r="AG68" s="41" t="str">
        <f t="shared" si="14"/>
        <v/>
      </c>
      <c r="AH68" s="24">
        <f t="shared" si="29"/>
        <v>1.5511005967855453</v>
      </c>
      <c r="AI68" s="41" t="str">
        <f t="shared" si="15"/>
        <v/>
      </c>
      <c r="AJ68" s="24">
        <f t="shared" si="30"/>
        <v>6.6132071614265442</v>
      </c>
      <c r="AK68" s="41" t="str">
        <f t="shared" si="16"/>
        <v/>
      </c>
    </row>
    <row r="69" spans="1:37" ht="15" customHeight="1" x14ac:dyDescent="0.2">
      <c r="A69" s="581"/>
      <c r="B69" s="5" t="str">
        <f>Rydberg!B69</f>
        <v>Astronomical unit / c0</v>
      </c>
      <c r="C69" s="5" t="str">
        <f>Rydberg!C69</f>
        <v>s</v>
      </c>
      <c r="D69" s="29">
        <f>Rydberg!D69</f>
        <v>499.00478150120773</v>
      </c>
      <c r="E69" s="30">
        <v>9</v>
      </c>
      <c r="F69" s="29">
        <f>D69/F$4</f>
        <v>1277.4522406430917</v>
      </c>
      <c r="G69" s="37" t="str">
        <f t="shared" si="17"/>
        <v>8;X555157E4</v>
      </c>
      <c r="H69" s="275"/>
      <c r="I69" s="281"/>
      <c r="J69" s="43">
        <v>2</v>
      </c>
      <c r="K69" s="62">
        <f t="shared" si="31"/>
        <v>8.8711961155770265</v>
      </c>
      <c r="L69" s="39" t="str">
        <f>INDEX(powers!$H$2:$H$75,33+J69)</f>
        <v>gross</v>
      </c>
      <c r="M69" s="40" t="str">
        <f t="shared" si="4"/>
        <v>8</v>
      </c>
      <c r="N69" s="24">
        <f t="shared" si="19"/>
        <v>10.454353386924318</v>
      </c>
      <c r="O69" s="41" t="str">
        <f t="shared" si="5"/>
        <v>X</v>
      </c>
      <c r="P69" s="24">
        <f t="shared" si="20"/>
        <v>5.4522406430918124</v>
      </c>
      <c r="Q69" s="41" t="str">
        <f t="shared" si="6"/>
        <v>5</v>
      </c>
      <c r="R69" s="24">
        <f t="shared" si="21"/>
        <v>5.4268877171017493</v>
      </c>
      <c r="S69" s="41" t="str">
        <f t="shared" si="7"/>
        <v>5</v>
      </c>
      <c r="T69" s="24">
        <f t="shared" si="22"/>
        <v>5.122652605220992</v>
      </c>
      <c r="U69" s="41" t="str">
        <f t="shared" si="8"/>
        <v>5</v>
      </c>
      <c r="V69" s="24">
        <f t="shared" si="23"/>
        <v>1.4718312626519037</v>
      </c>
      <c r="W69" s="41" t="str">
        <f t="shared" si="9"/>
        <v>1</v>
      </c>
      <c r="X69" s="24">
        <f t="shared" si="24"/>
        <v>5.6619751518228441</v>
      </c>
      <c r="Y69" s="41" t="str">
        <f t="shared" si="10"/>
        <v>5</v>
      </c>
      <c r="Z69" s="24">
        <f t="shared" si="25"/>
        <v>7.9437018218741287</v>
      </c>
      <c r="AA69" s="41" t="str">
        <f t="shared" si="11"/>
        <v>7</v>
      </c>
      <c r="AB69" s="24">
        <f t="shared" si="26"/>
        <v>11.324421862489544</v>
      </c>
      <c r="AC69" s="41" t="str">
        <f t="shared" si="12"/>
        <v>E</v>
      </c>
      <c r="AD69" s="24">
        <f t="shared" si="27"/>
        <v>3.8930623498745263</v>
      </c>
      <c r="AE69" s="41" t="str">
        <f t="shared" si="13"/>
        <v>4</v>
      </c>
      <c r="AF69" s="24">
        <f t="shared" si="28"/>
        <v>10.716748198494315</v>
      </c>
      <c r="AG69" s="41" t="str">
        <f t="shared" si="14"/>
        <v/>
      </c>
      <c r="AH69" s="24">
        <f t="shared" si="29"/>
        <v>8.6009783819317818</v>
      </c>
      <c r="AI69" s="41" t="str">
        <f t="shared" si="15"/>
        <v/>
      </c>
      <c r="AJ69" s="24">
        <f t="shared" si="30"/>
        <v>7.2117405831813812</v>
      </c>
      <c r="AK69" s="41" t="str">
        <f t="shared" si="16"/>
        <v/>
      </c>
    </row>
    <row r="70" spans="1:37" ht="15" customHeight="1" thickBot="1" x14ac:dyDescent="0.25">
      <c r="A70" s="582"/>
      <c r="B70" s="89" t="s">
        <v>117</v>
      </c>
      <c r="C70" s="89" t="str">
        <f>Rydberg!C70</f>
        <v>-</v>
      </c>
      <c r="D70" s="32">
        <f>Rydberg!D70*Clock!F$4/F$4</f>
        <v>9.9800956300241541</v>
      </c>
      <c r="E70" s="33">
        <v>9</v>
      </c>
      <c r="F70" s="32">
        <f>D70</f>
        <v>9.9800956300241541</v>
      </c>
      <c r="G70" s="306" t="str">
        <f t="shared" si="17"/>
        <v>9;E91731X53</v>
      </c>
      <c r="H70" s="307"/>
      <c r="I70" s="282"/>
      <c r="J70" s="48">
        <v>0</v>
      </c>
      <c r="K70" s="63">
        <f t="shared" si="31"/>
        <v>9.9800956300241541</v>
      </c>
      <c r="L70" s="49" t="str">
        <f>INDEX(powers!$H$2:$H$75,33+J70)</f>
        <v xml:space="preserve"> </v>
      </c>
      <c r="M70" s="40" t="str">
        <f t="shared" si="4"/>
        <v>9</v>
      </c>
      <c r="N70" s="24">
        <f t="shared" si="19"/>
        <v>11.761147560289849</v>
      </c>
      <c r="O70" s="41" t="str">
        <f t="shared" si="5"/>
        <v>E</v>
      </c>
      <c r="P70" s="24">
        <f t="shared" si="20"/>
        <v>9.1337707234781931</v>
      </c>
      <c r="Q70" s="41" t="str">
        <f t="shared" si="6"/>
        <v>9</v>
      </c>
      <c r="R70" s="24">
        <f t="shared" si="21"/>
        <v>1.6052486817383169</v>
      </c>
      <c r="S70" s="41" t="str">
        <f t="shared" si="7"/>
        <v>1</v>
      </c>
      <c r="T70" s="24">
        <f t="shared" si="22"/>
        <v>7.262984180859803</v>
      </c>
      <c r="U70" s="41" t="str">
        <f t="shared" si="8"/>
        <v>7</v>
      </c>
      <c r="V70" s="24">
        <f t="shared" si="23"/>
        <v>3.1558101703176362</v>
      </c>
      <c r="W70" s="41" t="str">
        <f t="shared" si="9"/>
        <v>3</v>
      </c>
      <c r="X70" s="24">
        <f t="shared" si="24"/>
        <v>1.8697220438116346</v>
      </c>
      <c r="Y70" s="41" t="str">
        <f t="shared" si="10"/>
        <v>1</v>
      </c>
      <c r="Z70" s="24">
        <f t="shared" si="25"/>
        <v>10.436664525739616</v>
      </c>
      <c r="AA70" s="41" t="str">
        <f t="shared" si="11"/>
        <v>X</v>
      </c>
      <c r="AB70" s="24">
        <f t="shared" si="26"/>
        <v>5.2399743088753894</v>
      </c>
      <c r="AC70" s="41" t="str">
        <f t="shared" si="12"/>
        <v>5</v>
      </c>
      <c r="AD70" s="24">
        <f t="shared" si="27"/>
        <v>2.8796917065046728</v>
      </c>
      <c r="AE70" s="41" t="str">
        <f t="shared" si="13"/>
        <v>3</v>
      </c>
      <c r="AF70" s="24">
        <f t="shared" si="28"/>
        <v>10.556300478056073</v>
      </c>
      <c r="AG70" s="41" t="str">
        <f t="shared" si="14"/>
        <v/>
      </c>
      <c r="AH70" s="24">
        <f t="shared" si="29"/>
        <v>6.6756057366728783</v>
      </c>
      <c r="AI70" s="41" t="str">
        <f t="shared" si="15"/>
        <v/>
      </c>
      <c r="AJ70" s="24">
        <f t="shared" si="30"/>
        <v>8.1072688400745392</v>
      </c>
      <c r="AK70" s="41" t="str">
        <f t="shared" si="16"/>
        <v/>
      </c>
    </row>
    <row r="71" spans="1:37" ht="12" customHeight="1" x14ac:dyDescent="0.2">
      <c r="A71" s="577"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8"/>
      <c r="B72" s="8" t="s">
        <v>40</v>
      </c>
      <c r="C72" s="8"/>
      <c r="D72" s="21"/>
      <c r="E72" s="8">
        <v>9</v>
      </c>
      <c r="F72" s="21">
        <f>$D$32</f>
        <v>7.2973525643E-3</v>
      </c>
      <c r="G72" s="37" t="str">
        <f t="shared" ref="G72:G73" si="34">M72&amp;";"&amp;O72&amp;Q72&amp;S72&amp;U72&amp;W72&amp;Y72&amp;AA72&amp;AC72&amp;AE72&amp;AG72&amp;AI72&amp;AK72</f>
        <v>1;073994047</v>
      </c>
      <c r="H72" s="37"/>
      <c r="I72" s="285"/>
      <c r="J72" s="38">
        <v>-2</v>
      </c>
      <c r="K72" s="61">
        <f t="shared" ref="K72:K88" si="35">F72/POWER(12,J72)</f>
        <v>1.0508187692592001</v>
      </c>
      <c r="L72" s="39" t="str">
        <f>INDEX(powers!$H$2:$H$75,33+J72)</f>
        <v>dino</v>
      </c>
      <c r="M72" s="40" t="str">
        <f t="shared" ref="M72:M88" si="36">IF($E72&gt;=M$31,MID($J$31,IF($E72&gt;M$31,INT(K72),ROUND(K72,0))+1,1),"")</f>
        <v>1</v>
      </c>
      <c r="N72" s="24">
        <f>(K72-INT(K72))*12</f>
        <v>0.60982523111040177</v>
      </c>
      <c r="O72" s="41" t="str">
        <f t="shared" ref="O72:O88" si="37">IF($E72&gt;=O$31,MID($J$31,IF($E72&gt;O$31,INT(N72),ROUND(N72,0))+1,1),"")</f>
        <v>0</v>
      </c>
      <c r="P72" s="24">
        <f>(N72-INT(N72))*12</f>
        <v>7.3179027733248212</v>
      </c>
      <c r="Q72" s="41" t="str">
        <f t="shared" ref="Q72:Q88" si="38">IF($E72&gt;=Q$31,MID($J$31,IF($E72&gt;Q$31,INT(P72),ROUND(P72,0))+1,1),"")</f>
        <v>7</v>
      </c>
      <c r="R72" s="24">
        <f>(P72-INT(P72))*12</f>
        <v>3.8148332798978544</v>
      </c>
      <c r="S72" s="41" t="str">
        <f t="shared" ref="S72:S88" si="39">IF($E72&gt;=S$31,MID($J$31,IF($E72&gt;S$31,INT(R72),ROUND(R72,0))+1,1),"")</f>
        <v>3</v>
      </c>
      <c r="T72" s="24">
        <f>(R72-INT(R72))*12</f>
        <v>9.7779993587742524</v>
      </c>
      <c r="U72" s="41" t="str">
        <f t="shared" ref="U72:U88" si="40">IF($E72&gt;=U$31,MID($J$31,IF($E72&gt;U$31,INT(T72),ROUND(T72,0))+1,1),"")</f>
        <v>9</v>
      </c>
      <c r="V72" s="24">
        <f>(T72-INT(T72))*12</f>
        <v>9.335992305291029</v>
      </c>
      <c r="W72" s="41" t="str">
        <f t="shared" ref="W72:W88" si="41">IF($E72&gt;=W$31,MID($J$31,IF($E72&gt;W$31,INT(V72),ROUND(V72,0))+1,1),"")</f>
        <v>9</v>
      </c>
      <c r="X72" s="24">
        <f>(V72-INT(V72))*12</f>
        <v>4.0319076634923476</v>
      </c>
      <c r="Y72" s="41" t="str">
        <f t="shared" ref="Y72:Y88" si="42">IF($E72&gt;=Y$31,MID($J$31,IF($E72&gt;Y$31,INT(X72),ROUND(X72,0))+1,1),"")</f>
        <v>4</v>
      </c>
      <c r="Z72" s="24">
        <f>(X72-INT(X72))*12</f>
        <v>0.38289196190817165</v>
      </c>
      <c r="AA72" s="41" t="str">
        <f t="shared" ref="AA72:AA88" si="43">IF($E72&gt;=AA$31,MID($J$31,IF($E72&gt;AA$31,INT(Z72),ROUND(Z72,0))+1,1),"")</f>
        <v>0</v>
      </c>
      <c r="AB72" s="24">
        <f>(Z72-INT(Z72))*12</f>
        <v>4.5947035428980598</v>
      </c>
      <c r="AC72" s="41" t="str">
        <f t="shared" ref="AC72:AC88" si="44">IF($E72&gt;=AC$31,MID($J$31,IF($E72&gt;AC$31,INT(AB72),ROUND(AB72,0))+1,1),"")</f>
        <v>4</v>
      </c>
      <c r="AD72" s="24">
        <f>(AB72-INT(AB72))*12</f>
        <v>7.1364425147767179</v>
      </c>
      <c r="AE72" s="41" t="str">
        <f t="shared" ref="AE72:AE88" si="45">IF($E72&gt;=AE$31,MID($J$31,IF($E72&gt;AE$31,INT(AD72),ROUND(AD72,0))+1,1),"")</f>
        <v>7</v>
      </c>
      <c r="AF72" s="24">
        <f>(AD72-INT(AD72))*12</f>
        <v>1.6373101773206145</v>
      </c>
      <c r="AG72" s="41" t="str">
        <f t="shared" ref="AG72:AG88" si="46">IF($E72&gt;=AG$31,MID($J$31,IF($E72&gt;AG$31,INT(AF72),ROUND(AF72,0))+1,1),"")</f>
        <v/>
      </c>
      <c r="AH72" s="24">
        <f>(AF72-INT(AF72))*12</f>
        <v>7.6477221278473735</v>
      </c>
      <c r="AI72" s="41" t="str">
        <f t="shared" ref="AI72:AI88" si="47">IF($E72&gt;=AI$31,MID($J$31,IF($E72&gt;AI$31,INT(AH72),ROUND(AH72,0))+1,1),"")</f>
        <v/>
      </c>
      <c r="AJ72" s="24">
        <f>(AH72-INT(AH72))*12</f>
        <v>7.7726655341684818</v>
      </c>
      <c r="AK72" s="41" t="str">
        <f t="shared" ref="AK72:AK88" si="48">IF($E72&gt;=AK$31,MID($J$31,IF($E72&gt;AK$31,INT(AJ72),ROUND(AJ72,0))+1,1),"")</f>
        <v/>
      </c>
    </row>
    <row r="73" spans="1:37" ht="13.5" customHeight="1" x14ac:dyDescent="0.2">
      <c r="A73" s="578"/>
      <c r="B73" s="30" t="s">
        <v>34</v>
      </c>
      <c r="C73" s="30"/>
      <c r="D73" s="29"/>
      <c r="E73" s="8">
        <v>9</v>
      </c>
      <c r="F73" s="21">
        <f>1/$D$32</f>
        <v>137.03599917759013</v>
      </c>
      <c r="G73" s="37" t="str">
        <f t="shared" si="34"/>
        <v>0;E5052258</v>
      </c>
      <c r="H73" s="37"/>
      <c r="I73" s="285"/>
      <c r="J73" s="38">
        <v>2</v>
      </c>
      <c r="K73" s="61">
        <f t="shared" si="35"/>
        <v>0.95163888317770917</v>
      </c>
      <c r="L73" s="39" t="str">
        <f>INDEX(powers!$H$2:$H$75,33+J73)</f>
        <v>gross</v>
      </c>
      <c r="M73" s="40" t="str">
        <f t="shared" si="36"/>
        <v>0</v>
      </c>
      <c r="N73" s="24">
        <f t="shared" ref="N73:N88" si="49">(K73-INT(K73))*12</f>
        <v>11.41966659813251</v>
      </c>
      <c r="O73" s="41" t="str">
        <f t="shared" si="37"/>
        <v>E</v>
      </c>
      <c r="P73" s="24">
        <f t="shared" ref="P73:P88" si="50">(N73-INT(N73))*12</f>
        <v>5.0359991775901207</v>
      </c>
      <c r="Q73" s="41" t="str">
        <f t="shared" si="38"/>
        <v>5</v>
      </c>
      <c r="R73" s="24">
        <f t="shared" ref="R73:R88" si="51">(P73-INT(P73))*12</f>
        <v>0.43199013108144868</v>
      </c>
      <c r="S73" s="41" t="str">
        <f t="shared" si="39"/>
        <v>0</v>
      </c>
      <c r="T73" s="24">
        <f t="shared" ref="T73:T88" si="52">(R73-INT(R73))*12</f>
        <v>5.1838815729773842</v>
      </c>
      <c r="U73" s="41" t="str">
        <f t="shared" si="40"/>
        <v>5</v>
      </c>
      <c r="V73" s="24">
        <f t="shared" ref="V73:V88" si="53">(T73-INT(T73))*12</f>
        <v>2.20657887572861</v>
      </c>
      <c r="W73" s="41" t="str">
        <f t="shared" si="41"/>
        <v>2</v>
      </c>
      <c r="X73" s="24">
        <f t="shared" ref="X73:X88" si="54">(V73-INT(V73))*12</f>
        <v>2.47894650874332</v>
      </c>
      <c r="Y73" s="41" t="str">
        <f t="shared" si="42"/>
        <v>2</v>
      </c>
      <c r="Z73" s="24">
        <f t="shared" ref="Z73:Z88" si="55">(X73-INT(X73))*12</f>
        <v>5.7473581049198401</v>
      </c>
      <c r="AA73" s="41" t="str">
        <f t="shared" si="43"/>
        <v>5</v>
      </c>
      <c r="AB73" s="24">
        <f t="shared" ref="AB73:AB88" si="56">(Z73-INT(Z73))*12</f>
        <v>8.9682972590380814</v>
      </c>
      <c r="AC73" s="41" t="str">
        <f t="shared" si="44"/>
        <v>8</v>
      </c>
      <c r="AD73" s="24">
        <f t="shared" ref="AD73:AD88" si="57">(AB73-INT(AB73))*12</f>
        <v>11.619567108456977</v>
      </c>
      <c r="AE73" s="41" t="str">
        <f t="shared" si="45"/>
        <v/>
      </c>
      <c r="AF73" s="24">
        <f t="shared" ref="AF73:AF88" si="58">(AD73-INT(AD73))*12</f>
        <v>7.4348053014837205</v>
      </c>
      <c r="AG73" s="41" t="str">
        <f t="shared" si="46"/>
        <v/>
      </c>
      <c r="AH73" s="24">
        <f t="shared" ref="AH73:AH88" si="59">(AF73-INT(AF73))*12</f>
        <v>5.2176636178046465</v>
      </c>
      <c r="AI73" s="41" t="str">
        <f t="shared" si="47"/>
        <v/>
      </c>
      <c r="AJ73" s="24">
        <f t="shared" ref="AJ73:AJ88" si="60">(AH73-INT(AH73))*12</f>
        <v>2.6119634136557579</v>
      </c>
      <c r="AK73" s="41" t="str">
        <f t="shared" si="48"/>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35"/>
        <v>137.03599917759013</v>
      </c>
      <c r="L74" s="39" t="str">
        <f>INDEX(powers!$H$2:$H$75,33+J74)</f>
        <v xml:space="preserve"> </v>
      </c>
      <c r="M74" s="40" t="str">
        <f t="shared" si="36"/>
        <v/>
      </c>
      <c r="N74" s="24">
        <f t="shared" si="49"/>
        <v>0.43199013108153395</v>
      </c>
      <c r="O74" s="41" t="str">
        <f t="shared" si="37"/>
        <v>0</v>
      </c>
      <c r="P74" s="24">
        <f t="shared" si="50"/>
        <v>5.1838815729784073</v>
      </c>
      <c r="Q74" s="41" t="str">
        <f t="shared" si="38"/>
        <v>5</v>
      </c>
      <c r="R74" s="24">
        <f t="shared" si="51"/>
        <v>2.2065788757408882</v>
      </c>
      <c r="S74" s="41" t="str">
        <f t="shared" si="39"/>
        <v>2</v>
      </c>
      <c r="T74" s="24">
        <f t="shared" si="52"/>
        <v>2.4789465088906582</v>
      </c>
      <c r="U74" s="41" t="str">
        <f t="shared" si="40"/>
        <v>2</v>
      </c>
      <c r="V74" s="24">
        <f t="shared" si="53"/>
        <v>5.7473581066878978</v>
      </c>
      <c r="W74" s="41" t="str">
        <f t="shared" si="41"/>
        <v>5</v>
      </c>
      <c r="X74" s="24">
        <f t="shared" si="54"/>
        <v>8.9682972802547738</v>
      </c>
      <c r="Y74" s="41" t="str">
        <f t="shared" si="42"/>
        <v>8</v>
      </c>
      <c r="Z74" s="24">
        <f t="shared" si="55"/>
        <v>11.619567363057286</v>
      </c>
      <c r="AA74" s="41" t="str">
        <f t="shared" si="43"/>
        <v>E</v>
      </c>
      <c r="AB74" s="24">
        <f t="shared" si="56"/>
        <v>7.4348083566874266</v>
      </c>
      <c r="AC74" s="41" t="str">
        <f t="shared" si="44"/>
        <v>7</v>
      </c>
      <c r="AD74" s="24">
        <f t="shared" si="57"/>
        <v>5.2177002802491188</v>
      </c>
      <c r="AE74" s="41" t="str">
        <f t="shared" si="45"/>
        <v>5</v>
      </c>
      <c r="AF74" s="24">
        <f t="shared" si="58"/>
        <v>2.6124033629894257</v>
      </c>
      <c r="AG74" s="41" t="str">
        <f t="shared" si="46"/>
        <v/>
      </c>
      <c r="AH74" s="24">
        <f t="shared" si="59"/>
        <v>7.3488403558731079</v>
      </c>
      <c r="AI74" s="41" t="str">
        <f t="shared" si="47"/>
        <v/>
      </c>
      <c r="AJ74" s="24">
        <f t="shared" si="60"/>
        <v>4.1860842704772949</v>
      </c>
      <c r="AK74" s="41" t="str">
        <f t="shared" si="48"/>
        <v/>
      </c>
    </row>
    <row r="75" spans="1:37" ht="13.5" customHeight="1" x14ac:dyDescent="0.2">
      <c r="A75" s="578"/>
      <c r="B75" s="8" t="s">
        <v>39</v>
      </c>
      <c r="C75" s="8"/>
      <c r="D75" s="21"/>
      <c r="E75" s="8">
        <v>9</v>
      </c>
      <c r="F75" s="21">
        <f t="shared" ref="F75" si="61">SQRT($D$32)</f>
        <v>8.5424543102670447E-2</v>
      </c>
      <c r="G75" s="37" t="str">
        <f t="shared" ref="G75:G78" si="62">M75&amp;";"&amp;O75&amp;Q75&amp;S75&amp;U75&amp;W75&amp;Y75&amp;AA75&amp;AC75&amp;AE75&amp;AG75&amp;AI75&amp;AK75</f>
        <v>1;0374439E1</v>
      </c>
      <c r="H75" s="37"/>
      <c r="I75" s="285"/>
      <c r="J75" s="38">
        <v>-1</v>
      </c>
      <c r="K75" s="61">
        <f t="shared" si="35"/>
        <v>1.0250945172320454</v>
      </c>
      <c r="L75" s="39" t="str">
        <f>INDEX(powers!$H$2:$H$75,33+J75)</f>
        <v>unino</v>
      </c>
      <c r="M75" s="40" t="str">
        <f t="shared" si="36"/>
        <v>1</v>
      </c>
      <c r="N75" s="24">
        <f t="shared" si="49"/>
        <v>0.30113420678454439</v>
      </c>
      <c r="O75" s="41" t="str">
        <f t="shared" si="37"/>
        <v>0</v>
      </c>
      <c r="P75" s="24">
        <f t="shared" si="50"/>
        <v>3.6136104814145327</v>
      </c>
      <c r="Q75" s="41" t="str">
        <f t="shared" si="38"/>
        <v>3</v>
      </c>
      <c r="R75" s="24">
        <f t="shared" si="51"/>
        <v>7.3633257769743921</v>
      </c>
      <c r="S75" s="41" t="str">
        <f t="shared" si="39"/>
        <v>7</v>
      </c>
      <c r="T75" s="24">
        <f t="shared" si="52"/>
        <v>4.3599093236927047</v>
      </c>
      <c r="U75" s="41" t="str">
        <f t="shared" si="40"/>
        <v>4</v>
      </c>
      <c r="V75" s="24">
        <f t="shared" si="53"/>
        <v>4.3189118843124561</v>
      </c>
      <c r="W75" s="41" t="str">
        <f t="shared" si="41"/>
        <v>4</v>
      </c>
      <c r="X75" s="24">
        <f t="shared" si="54"/>
        <v>3.8269426117494731</v>
      </c>
      <c r="Y75" s="41" t="str">
        <f t="shared" si="42"/>
        <v>3</v>
      </c>
      <c r="Z75" s="24">
        <f t="shared" si="55"/>
        <v>9.9233113409936777</v>
      </c>
      <c r="AA75" s="41" t="str">
        <f t="shared" si="43"/>
        <v>9</v>
      </c>
      <c r="AB75" s="24">
        <f t="shared" si="56"/>
        <v>11.079736091924133</v>
      </c>
      <c r="AC75" s="41" t="str">
        <f t="shared" si="44"/>
        <v>E</v>
      </c>
      <c r="AD75" s="24">
        <f t="shared" si="57"/>
        <v>0.95683310308959335</v>
      </c>
      <c r="AE75" s="41" t="str">
        <f t="shared" si="45"/>
        <v>1</v>
      </c>
      <c r="AF75" s="24">
        <f t="shared" si="58"/>
        <v>11.48199723707512</v>
      </c>
      <c r="AG75" s="41" t="str">
        <f t="shared" si="46"/>
        <v/>
      </c>
      <c r="AH75" s="24">
        <f t="shared" si="59"/>
        <v>5.7839668449014425</v>
      </c>
      <c r="AI75" s="41" t="str">
        <f t="shared" si="47"/>
        <v/>
      </c>
      <c r="AJ75" s="24">
        <f t="shared" si="60"/>
        <v>9.4076021388173103</v>
      </c>
      <c r="AK75" s="41" t="str">
        <f t="shared" si="48"/>
        <v/>
      </c>
    </row>
    <row r="76" spans="1:37" ht="13.5" customHeight="1" x14ac:dyDescent="0.2">
      <c r="A76" s="578"/>
      <c r="B76" s="8" t="s">
        <v>35</v>
      </c>
      <c r="C76" s="8"/>
      <c r="D76" s="21"/>
      <c r="E76" s="8">
        <v>9</v>
      </c>
      <c r="F76" s="21">
        <f>1/SQRT($D$32)</f>
        <v>11.706237618363557</v>
      </c>
      <c r="G76" s="37" t="str">
        <f t="shared" si="62"/>
        <v>0;E85846629</v>
      </c>
      <c r="H76" s="37"/>
      <c r="I76" s="285"/>
      <c r="J76" s="38">
        <v>1</v>
      </c>
      <c r="K76" s="61">
        <f t="shared" si="35"/>
        <v>0.97551980153029649</v>
      </c>
      <c r="L76" s="39" t="str">
        <f>INDEX(powers!$H$2:$H$75,33+J76)</f>
        <v>dozen</v>
      </c>
      <c r="M76" s="40" t="str">
        <f t="shared" si="36"/>
        <v>0</v>
      </c>
      <c r="N76" s="24">
        <f t="shared" si="49"/>
        <v>11.706237618363557</v>
      </c>
      <c r="O76" s="41" t="str">
        <f t="shared" si="37"/>
        <v>E</v>
      </c>
      <c r="P76" s="24">
        <f t="shared" si="50"/>
        <v>8.4748514203626897</v>
      </c>
      <c r="Q76" s="41" t="str">
        <f t="shared" si="38"/>
        <v>8</v>
      </c>
      <c r="R76" s="24">
        <f t="shared" si="51"/>
        <v>5.6982170443522762</v>
      </c>
      <c r="S76" s="41" t="str">
        <f t="shared" si="39"/>
        <v>5</v>
      </c>
      <c r="T76" s="24">
        <f t="shared" si="52"/>
        <v>8.3786045322273139</v>
      </c>
      <c r="U76" s="41" t="str">
        <f t="shared" si="40"/>
        <v>8</v>
      </c>
      <c r="V76" s="24">
        <f t="shared" si="53"/>
        <v>4.5432543867277673</v>
      </c>
      <c r="W76" s="41" t="str">
        <f t="shared" si="41"/>
        <v>4</v>
      </c>
      <c r="X76" s="24">
        <f t="shared" si="54"/>
        <v>6.5190526407332072</v>
      </c>
      <c r="Y76" s="41" t="str">
        <f t="shared" si="42"/>
        <v>6</v>
      </c>
      <c r="Z76" s="24">
        <f t="shared" si="55"/>
        <v>6.2286316887984867</v>
      </c>
      <c r="AA76" s="41" t="str">
        <f t="shared" si="43"/>
        <v>6</v>
      </c>
      <c r="AB76" s="24">
        <f t="shared" si="56"/>
        <v>2.7435802655818406</v>
      </c>
      <c r="AC76" s="41" t="str">
        <f t="shared" si="44"/>
        <v>2</v>
      </c>
      <c r="AD76" s="24">
        <f t="shared" si="57"/>
        <v>8.9229631869820878</v>
      </c>
      <c r="AE76" s="41" t="str">
        <f t="shared" si="45"/>
        <v>9</v>
      </c>
      <c r="AF76" s="24">
        <f t="shared" si="58"/>
        <v>11.075558243785053</v>
      </c>
      <c r="AG76" s="41" t="str">
        <f t="shared" si="46"/>
        <v/>
      </c>
      <c r="AH76" s="24">
        <f t="shared" si="59"/>
        <v>0.9066989254206419</v>
      </c>
      <c r="AI76" s="41" t="str">
        <f t="shared" si="47"/>
        <v/>
      </c>
      <c r="AJ76" s="24">
        <f t="shared" si="60"/>
        <v>10.880387105047703</v>
      </c>
      <c r="AK76" s="41" t="str">
        <f t="shared" si="48"/>
        <v/>
      </c>
    </row>
    <row r="77" spans="1:37" ht="13.5" customHeight="1" x14ac:dyDescent="0.2">
      <c r="A77" s="578"/>
      <c r="B77" s="8" t="s">
        <v>36</v>
      </c>
      <c r="C77" s="8"/>
      <c r="D77" s="21"/>
      <c r="E77" s="8">
        <v>12</v>
      </c>
      <c r="F77" s="21">
        <f>4*PI()</f>
        <v>12.566370614359172</v>
      </c>
      <c r="G77" s="37" t="str">
        <f t="shared" si="62"/>
        <v>1;0696831713E1</v>
      </c>
      <c r="H77" s="37"/>
      <c r="I77" s="285"/>
      <c r="J77" s="38">
        <v>1</v>
      </c>
      <c r="K77" s="61">
        <f t="shared" si="35"/>
        <v>1.0471975511965976</v>
      </c>
      <c r="L77" s="39" t="str">
        <f>INDEX(powers!$H$2:$H$75,33+J77)</f>
        <v>dozen</v>
      </c>
      <c r="M77" s="40" t="str">
        <f t="shared" si="36"/>
        <v>1</v>
      </c>
      <c r="N77" s="24">
        <f t="shared" si="49"/>
        <v>0.56637061435917158</v>
      </c>
      <c r="O77" s="41" t="str">
        <f t="shared" si="37"/>
        <v>0</v>
      </c>
      <c r="P77" s="24">
        <f t="shared" si="50"/>
        <v>6.7964473723100589</v>
      </c>
      <c r="Q77" s="41" t="str">
        <f t="shared" si="38"/>
        <v>6</v>
      </c>
      <c r="R77" s="24">
        <f t="shared" si="51"/>
        <v>9.5573684677207069</v>
      </c>
      <c r="S77" s="41" t="str">
        <f t="shared" si="39"/>
        <v>9</v>
      </c>
      <c r="T77" s="24">
        <f t="shared" si="52"/>
        <v>6.688421612648483</v>
      </c>
      <c r="U77" s="41" t="str">
        <f t="shared" si="40"/>
        <v>6</v>
      </c>
      <c r="V77" s="24">
        <f t="shared" si="53"/>
        <v>8.2610593517817961</v>
      </c>
      <c r="W77" s="41" t="str">
        <f t="shared" si="41"/>
        <v>8</v>
      </c>
      <c r="X77" s="24">
        <f t="shared" si="54"/>
        <v>3.1327122213815528</v>
      </c>
      <c r="Y77" s="41" t="str">
        <f t="shared" si="42"/>
        <v>3</v>
      </c>
      <c r="Z77" s="24">
        <f t="shared" si="55"/>
        <v>1.5925466565786337</v>
      </c>
      <c r="AA77" s="41" t="str">
        <f t="shared" si="43"/>
        <v>1</v>
      </c>
      <c r="AB77" s="24">
        <f t="shared" si="56"/>
        <v>7.1105598789436044</v>
      </c>
      <c r="AC77" s="41" t="str">
        <f t="shared" si="44"/>
        <v>7</v>
      </c>
      <c r="AD77" s="24">
        <f t="shared" si="57"/>
        <v>1.326718547323253</v>
      </c>
      <c r="AE77" s="41" t="str">
        <f t="shared" si="45"/>
        <v>1</v>
      </c>
      <c r="AF77" s="24">
        <f t="shared" si="58"/>
        <v>3.9206225678790361</v>
      </c>
      <c r="AG77" s="41" t="str">
        <f t="shared" si="46"/>
        <v>3</v>
      </c>
      <c r="AH77" s="24">
        <f t="shared" si="59"/>
        <v>11.047470814548433</v>
      </c>
      <c r="AI77" s="41" t="str">
        <f t="shared" si="47"/>
        <v>E</v>
      </c>
      <c r="AJ77" s="24">
        <f t="shared" si="60"/>
        <v>0.56964977458119392</v>
      </c>
      <c r="AK77" s="41" t="str">
        <f t="shared" si="48"/>
        <v>1</v>
      </c>
    </row>
    <row r="78" spans="1:37" ht="13.5" customHeight="1" x14ac:dyDescent="0.2">
      <c r="A78" s="578"/>
      <c r="B78" s="30" t="s">
        <v>37</v>
      </c>
      <c r="C78" s="30"/>
      <c r="D78" s="29"/>
      <c r="E78" s="8">
        <v>12</v>
      </c>
      <c r="F78" s="21">
        <f>1/(4*PI())</f>
        <v>7.9577471545947673E-2</v>
      </c>
      <c r="G78" s="37" t="str">
        <f t="shared" si="62"/>
        <v>0;E5615082189E</v>
      </c>
      <c r="H78" s="37"/>
      <c r="I78" s="285"/>
      <c r="J78" s="38">
        <v>-1</v>
      </c>
      <c r="K78" s="61">
        <f t="shared" si="35"/>
        <v>0.95492965855137213</v>
      </c>
      <c r="L78" s="39" t="str">
        <f>INDEX(powers!$H$2:$H$75,33+J78)</f>
        <v>unino</v>
      </c>
      <c r="M78" s="40" t="str">
        <f t="shared" si="36"/>
        <v>0</v>
      </c>
      <c r="N78" s="24">
        <f t="shared" si="49"/>
        <v>11.459155902616466</v>
      </c>
      <c r="O78" s="41" t="str">
        <f t="shared" si="37"/>
        <v>E</v>
      </c>
      <c r="P78" s="24">
        <f t="shared" si="50"/>
        <v>5.5098708313975919</v>
      </c>
      <c r="Q78" s="41" t="str">
        <f t="shared" si="38"/>
        <v>5</v>
      </c>
      <c r="R78" s="24">
        <f t="shared" si="51"/>
        <v>6.1184499767711031</v>
      </c>
      <c r="S78" s="41" t="str">
        <f t="shared" si="39"/>
        <v>6</v>
      </c>
      <c r="T78" s="24">
        <f t="shared" si="52"/>
        <v>1.4213997212532377</v>
      </c>
      <c r="U78" s="41" t="str">
        <f t="shared" si="40"/>
        <v>1</v>
      </c>
      <c r="V78" s="24">
        <f t="shared" si="53"/>
        <v>5.0567966550388519</v>
      </c>
      <c r="W78" s="41" t="str">
        <f t="shared" si="41"/>
        <v>5</v>
      </c>
      <c r="X78" s="24">
        <f t="shared" si="54"/>
        <v>0.68155986046622274</v>
      </c>
      <c r="Y78" s="41" t="str">
        <f t="shared" si="42"/>
        <v>0</v>
      </c>
      <c r="Z78" s="24">
        <f t="shared" si="55"/>
        <v>8.1787183255946729</v>
      </c>
      <c r="AA78" s="41" t="str">
        <f t="shared" si="43"/>
        <v>8</v>
      </c>
      <c r="AB78" s="24">
        <f t="shared" si="56"/>
        <v>2.1446199071360752</v>
      </c>
      <c r="AC78" s="41" t="str">
        <f t="shared" si="44"/>
        <v>2</v>
      </c>
      <c r="AD78" s="24">
        <f t="shared" si="57"/>
        <v>1.7354388856329024</v>
      </c>
      <c r="AE78" s="41" t="str">
        <f t="shared" si="45"/>
        <v>1</v>
      </c>
      <c r="AF78" s="24">
        <f t="shared" si="58"/>
        <v>8.8252666275948286</v>
      </c>
      <c r="AG78" s="41" t="str">
        <f t="shared" si="46"/>
        <v>8</v>
      </c>
      <c r="AH78" s="24">
        <f t="shared" si="59"/>
        <v>9.9031995311379433</v>
      </c>
      <c r="AI78" s="41" t="str">
        <f t="shared" si="47"/>
        <v>9</v>
      </c>
      <c r="AJ78" s="24">
        <f t="shared" si="60"/>
        <v>10.838394373655319</v>
      </c>
      <c r="AK78" s="41" t="str">
        <f t="shared" si="48"/>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35"/>
        <v>137.50987083139759</v>
      </c>
      <c r="L79" s="39" t="str">
        <f>INDEX(powers!$H$2:$H$75,33+J79)</f>
        <v>terno</v>
      </c>
      <c r="M79" s="40" t="str">
        <f t="shared" si="36"/>
        <v/>
      </c>
      <c r="N79" s="24">
        <f t="shared" si="49"/>
        <v>6.1184499767711031</v>
      </c>
      <c r="O79" s="41" t="str">
        <f t="shared" si="37"/>
        <v>6</v>
      </c>
      <c r="P79" s="24">
        <f t="shared" si="50"/>
        <v>1.4213997212532377</v>
      </c>
      <c r="Q79" s="41" t="str">
        <f t="shared" si="38"/>
        <v>1</v>
      </c>
      <c r="R79" s="24">
        <f t="shared" si="51"/>
        <v>5.0567966550388519</v>
      </c>
      <c r="S79" s="41" t="str">
        <f t="shared" si="39"/>
        <v>5</v>
      </c>
      <c r="T79" s="24">
        <f t="shared" si="52"/>
        <v>0.68155986046622274</v>
      </c>
      <c r="U79" s="41" t="str">
        <f t="shared" si="40"/>
        <v>0</v>
      </c>
      <c r="V79" s="24">
        <f t="shared" si="53"/>
        <v>8.1787183255946729</v>
      </c>
      <c r="W79" s="41" t="str">
        <f t="shared" si="41"/>
        <v>8</v>
      </c>
      <c r="X79" s="24">
        <f t="shared" si="54"/>
        <v>2.1446199071360752</v>
      </c>
      <c r="Y79" s="41" t="str">
        <f t="shared" si="42"/>
        <v>2</v>
      </c>
      <c r="Z79" s="24">
        <f t="shared" si="55"/>
        <v>1.7354388856329024</v>
      </c>
      <c r="AA79" s="41" t="str">
        <f t="shared" si="43"/>
        <v>1</v>
      </c>
      <c r="AB79" s="24">
        <f t="shared" si="56"/>
        <v>8.8252666275948286</v>
      </c>
      <c r="AC79" s="41" t="str">
        <f t="shared" si="44"/>
        <v>8</v>
      </c>
      <c r="AD79" s="24">
        <f t="shared" si="57"/>
        <v>9.9031995311379433</v>
      </c>
      <c r="AE79" s="41" t="str">
        <f t="shared" si="45"/>
        <v>X</v>
      </c>
      <c r="AF79" s="24">
        <f t="shared" si="58"/>
        <v>10.838394373655319</v>
      </c>
      <c r="AG79" s="41" t="str">
        <f t="shared" si="46"/>
        <v/>
      </c>
      <c r="AH79" s="24">
        <f t="shared" si="59"/>
        <v>10.060732483863831</v>
      </c>
      <c r="AI79" s="41" t="str">
        <f t="shared" si="47"/>
        <v/>
      </c>
      <c r="AJ79" s="24">
        <f t="shared" si="60"/>
        <v>0.7287898063659668</v>
      </c>
      <c r="AK79" s="41" t="str">
        <f t="shared" si="48"/>
        <v/>
      </c>
    </row>
    <row r="80" spans="1:37" ht="13.5" customHeight="1" x14ac:dyDescent="0.2">
      <c r="A80" s="578"/>
      <c r="B80" s="8" t="s">
        <v>32</v>
      </c>
      <c r="C80" s="8"/>
      <c r="D80" s="21"/>
      <c r="E80" s="8">
        <v>9</v>
      </c>
      <c r="F80" s="21">
        <f>4*PI()/$D$32</f>
        <v>1722.0451531746162</v>
      </c>
      <c r="G80" s="37" t="str">
        <f t="shared" ref="G80:G88" si="63">M80&amp;";"&amp;O80&amp;Q80&amp;S80&amp;U80&amp;W80&amp;Y80&amp;AA80&amp;AC80&amp;AE80&amp;AG80&amp;AI80&amp;AK80</f>
        <v>0;EE6066037</v>
      </c>
      <c r="H80" s="37"/>
      <c r="I80" s="285"/>
      <c r="J80" s="38">
        <v>3</v>
      </c>
      <c r="K80" s="61">
        <f t="shared" si="35"/>
        <v>0.99655390808716215</v>
      </c>
      <c r="L80" s="39" t="str">
        <f>INDEX(powers!$H$2:$H$75,33+J80)</f>
        <v>doz gross</v>
      </c>
      <c r="M80" s="40" t="str">
        <f t="shared" si="36"/>
        <v>0</v>
      </c>
      <c r="N80" s="24">
        <f t="shared" si="49"/>
        <v>11.958646897045945</v>
      </c>
      <c r="O80" s="41" t="str">
        <f t="shared" si="37"/>
        <v>E</v>
      </c>
      <c r="P80" s="24">
        <f t="shared" si="50"/>
        <v>11.50376276455134</v>
      </c>
      <c r="Q80" s="41" t="str">
        <f t="shared" si="38"/>
        <v>E</v>
      </c>
      <c r="R80" s="24">
        <f t="shared" si="51"/>
        <v>6.0451531746160754</v>
      </c>
      <c r="S80" s="41" t="str">
        <f t="shared" si="39"/>
        <v>6</v>
      </c>
      <c r="T80" s="24">
        <f t="shared" si="52"/>
        <v>0.54183809539290451</v>
      </c>
      <c r="U80" s="41" t="str">
        <f t="shared" si="40"/>
        <v>0</v>
      </c>
      <c r="V80" s="24">
        <f t="shared" si="53"/>
        <v>6.5020571447148541</v>
      </c>
      <c r="W80" s="41" t="str">
        <f t="shared" si="41"/>
        <v>6</v>
      </c>
      <c r="X80" s="24">
        <f t="shared" si="54"/>
        <v>6.0246857365782489</v>
      </c>
      <c r="Y80" s="41" t="str">
        <f t="shared" si="42"/>
        <v>6</v>
      </c>
      <c r="Z80" s="24">
        <f t="shared" si="55"/>
        <v>0.29622883893898688</v>
      </c>
      <c r="AA80" s="41" t="str">
        <f t="shared" si="43"/>
        <v>0</v>
      </c>
      <c r="AB80" s="24">
        <f t="shared" si="56"/>
        <v>3.5547460672678426</v>
      </c>
      <c r="AC80" s="41" t="str">
        <f t="shared" si="44"/>
        <v>3</v>
      </c>
      <c r="AD80" s="24">
        <f t="shared" si="57"/>
        <v>6.6569528072141111</v>
      </c>
      <c r="AE80" s="41" t="str">
        <f t="shared" si="45"/>
        <v>7</v>
      </c>
      <c r="AF80" s="24">
        <f t="shared" si="58"/>
        <v>7.8834336865693331</v>
      </c>
      <c r="AG80" s="41" t="str">
        <f t="shared" si="46"/>
        <v/>
      </c>
      <c r="AH80" s="24">
        <f t="shared" si="59"/>
        <v>10.601204238831997</v>
      </c>
      <c r="AI80" s="41" t="str">
        <f t="shared" si="47"/>
        <v/>
      </c>
      <c r="AJ80" s="24">
        <f t="shared" si="60"/>
        <v>7.214450865983963</v>
      </c>
      <c r="AK80" s="41" t="str">
        <f t="shared" si="48"/>
        <v/>
      </c>
    </row>
    <row r="81" spans="1:37" ht="13.5" customHeight="1" x14ac:dyDescent="0.2">
      <c r="A81" s="578"/>
      <c r="B81" s="8" t="s">
        <v>38</v>
      </c>
      <c r="C81" s="8"/>
      <c r="D81" s="21"/>
      <c r="E81" s="8">
        <v>9</v>
      </c>
      <c r="F81" s="21">
        <f>$D$32/(4*PI())</f>
        <v>5.8070486604633147E-4</v>
      </c>
      <c r="G81" s="37" t="str">
        <f t="shared" si="63"/>
        <v>1;005E85684</v>
      </c>
      <c r="H81" s="37"/>
      <c r="I81" s="285"/>
      <c r="J81" s="38">
        <v>-3</v>
      </c>
      <c r="K81" s="61">
        <f t="shared" si="35"/>
        <v>1.0034580085280609</v>
      </c>
      <c r="L81" s="39" t="str">
        <f>INDEX(powers!$H$2:$H$75,33+J81)</f>
        <v>terno</v>
      </c>
      <c r="M81" s="40" t="str">
        <f t="shared" si="36"/>
        <v>1</v>
      </c>
      <c r="N81" s="24">
        <f t="shared" si="49"/>
        <v>4.1496102336730623E-2</v>
      </c>
      <c r="O81" s="41" t="str">
        <f t="shared" si="37"/>
        <v>0</v>
      </c>
      <c r="P81" s="24">
        <f t="shared" si="50"/>
        <v>0.49795322804076747</v>
      </c>
      <c r="Q81" s="41" t="str">
        <f t="shared" si="38"/>
        <v>0</v>
      </c>
      <c r="R81" s="24">
        <f t="shared" si="51"/>
        <v>5.9754387364892096</v>
      </c>
      <c r="S81" s="41" t="str">
        <f t="shared" si="39"/>
        <v>5</v>
      </c>
      <c r="T81" s="24">
        <f t="shared" si="52"/>
        <v>11.705264837870516</v>
      </c>
      <c r="U81" s="41" t="str">
        <f t="shared" si="40"/>
        <v>E</v>
      </c>
      <c r="V81" s="24">
        <f t="shared" si="53"/>
        <v>8.463178054446189</v>
      </c>
      <c r="W81" s="41" t="str">
        <f t="shared" si="41"/>
        <v>8</v>
      </c>
      <c r="X81" s="24">
        <f t="shared" si="54"/>
        <v>5.5581366533542678</v>
      </c>
      <c r="Y81" s="41" t="str">
        <f t="shared" si="42"/>
        <v>5</v>
      </c>
      <c r="Z81" s="24">
        <f t="shared" si="55"/>
        <v>6.6976398402512132</v>
      </c>
      <c r="AA81" s="41" t="str">
        <f t="shared" si="43"/>
        <v>6</v>
      </c>
      <c r="AB81" s="24">
        <f t="shared" si="56"/>
        <v>8.3716780830145581</v>
      </c>
      <c r="AC81" s="41" t="str">
        <f t="shared" si="44"/>
        <v>8</v>
      </c>
      <c r="AD81" s="24">
        <f t="shared" si="57"/>
        <v>4.4601369961746968</v>
      </c>
      <c r="AE81" s="41" t="str">
        <f t="shared" si="45"/>
        <v>4</v>
      </c>
      <c r="AF81" s="24">
        <f t="shared" si="58"/>
        <v>5.521643954096362</v>
      </c>
      <c r="AG81" s="41" t="str">
        <f t="shared" si="46"/>
        <v/>
      </c>
      <c r="AH81" s="24">
        <f t="shared" si="59"/>
        <v>6.2597274491563439</v>
      </c>
      <c r="AI81" s="41" t="str">
        <f t="shared" si="47"/>
        <v/>
      </c>
      <c r="AJ81" s="24">
        <f t="shared" si="60"/>
        <v>3.1167293898761272</v>
      </c>
      <c r="AK81" s="41" t="str">
        <f t="shared" si="48"/>
        <v/>
      </c>
    </row>
    <row r="82" spans="1:37" ht="13.5" customHeight="1" x14ac:dyDescent="0.2">
      <c r="A82" s="578"/>
      <c r="B82" s="8" t="s">
        <v>33</v>
      </c>
      <c r="C82" s="8"/>
      <c r="D82" s="21"/>
      <c r="E82" s="8">
        <v>9</v>
      </c>
      <c r="F82" s="21">
        <f>4*PI()/($D$32*$D$32)</f>
        <v>235982.17819420979</v>
      </c>
      <c r="G82" s="37" t="str">
        <f t="shared" si="63"/>
        <v>0;E4692217E</v>
      </c>
      <c r="H82" s="37"/>
      <c r="I82" s="285"/>
      <c r="J82" s="38">
        <v>5</v>
      </c>
      <c r="K82" s="61">
        <f t="shared" si="35"/>
        <v>0.94835944811844852</v>
      </c>
      <c r="L82" s="39" t="str">
        <f>INDEX(powers!$H$2:$H$75,33+J82)</f>
        <v>terno cosmic</v>
      </c>
      <c r="M82" s="40" t="str">
        <f t="shared" si="36"/>
        <v>0</v>
      </c>
      <c r="N82" s="24">
        <f t="shared" si="49"/>
        <v>11.380313377421382</v>
      </c>
      <c r="O82" s="41" t="str">
        <f t="shared" si="37"/>
        <v>E</v>
      </c>
      <c r="P82" s="24">
        <f t="shared" si="50"/>
        <v>4.5637605290565872</v>
      </c>
      <c r="Q82" s="41" t="str">
        <f t="shared" si="38"/>
        <v>4</v>
      </c>
      <c r="R82" s="24">
        <f t="shared" si="51"/>
        <v>6.7651263486790469</v>
      </c>
      <c r="S82" s="41" t="str">
        <f t="shared" si="39"/>
        <v>6</v>
      </c>
      <c r="T82" s="24">
        <f t="shared" si="52"/>
        <v>9.1815161841485633</v>
      </c>
      <c r="U82" s="41" t="str">
        <f t="shared" si="40"/>
        <v>9</v>
      </c>
      <c r="V82" s="24">
        <f t="shared" si="53"/>
        <v>2.1781942097827596</v>
      </c>
      <c r="W82" s="41" t="str">
        <f t="shared" si="41"/>
        <v>2</v>
      </c>
      <c r="X82" s="24">
        <f t="shared" si="54"/>
        <v>2.1383305173931149</v>
      </c>
      <c r="Y82" s="41" t="str">
        <f t="shared" si="42"/>
        <v>2</v>
      </c>
      <c r="Z82" s="24">
        <f t="shared" si="55"/>
        <v>1.6599662087173783</v>
      </c>
      <c r="AA82" s="41" t="str">
        <f t="shared" si="43"/>
        <v>1</v>
      </c>
      <c r="AB82" s="24">
        <f t="shared" si="56"/>
        <v>7.9195945046085399</v>
      </c>
      <c r="AC82" s="41" t="str">
        <f t="shared" si="44"/>
        <v>7</v>
      </c>
      <c r="AD82" s="24">
        <f t="shared" si="57"/>
        <v>11.035134055302478</v>
      </c>
      <c r="AE82" s="41" t="str">
        <f t="shared" si="45"/>
        <v>E</v>
      </c>
      <c r="AF82" s="24">
        <f t="shared" si="58"/>
        <v>0.42160866362974048</v>
      </c>
      <c r="AG82" s="41" t="str">
        <f t="shared" si="46"/>
        <v/>
      </c>
      <c r="AH82" s="24">
        <f t="shared" si="59"/>
        <v>5.0593039635568857</v>
      </c>
      <c r="AI82" s="41" t="str">
        <f t="shared" si="47"/>
        <v/>
      </c>
      <c r="AJ82" s="24">
        <f t="shared" si="60"/>
        <v>0.71164756268262863</v>
      </c>
      <c r="AK82" s="41" t="str">
        <f t="shared" si="48"/>
        <v/>
      </c>
    </row>
    <row r="83" spans="1:37" ht="14.25" customHeight="1" x14ac:dyDescent="0.2">
      <c r="A83" s="578"/>
      <c r="B83" s="30" t="s">
        <v>41</v>
      </c>
      <c r="C83" s="30"/>
      <c r="D83" s="29"/>
      <c r="E83" s="30">
        <v>9</v>
      </c>
      <c r="F83" s="29">
        <f>($D$32*$D$32)/(4*PI())</f>
        <v>4.2376081433446851E-6</v>
      </c>
      <c r="G83" s="108" t="str">
        <f t="shared" si="63"/>
        <v>1;07X1163X5</v>
      </c>
      <c r="H83" s="108"/>
      <c r="I83" s="286"/>
      <c r="J83" s="43">
        <v>-5</v>
      </c>
      <c r="K83" s="62">
        <f t="shared" si="35"/>
        <v>1.0544525095247446</v>
      </c>
      <c r="L83" s="44" t="str">
        <f>INDEX(powers!$H$2:$H$75,33+J83)</f>
        <v>doz gross atomic</v>
      </c>
      <c r="M83" s="40" t="str">
        <f t="shared" si="36"/>
        <v>1</v>
      </c>
      <c r="N83" s="24">
        <f t="shared" si="49"/>
        <v>0.65343011429693476</v>
      </c>
      <c r="O83" s="41" t="str">
        <f t="shared" si="37"/>
        <v>0</v>
      </c>
      <c r="P83" s="24">
        <f t="shared" si="50"/>
        <v>7.8411613715632171</v>
      </c>
      <c r="Q83" s="41" t="str">
        <f t="shared" si="38"/>
        <v>7</v>
      </c>
      <c r="R83" s="24">
        <f t="shared" si="51"/>
        <v>10.093936458758606</v>
      </c>
      <c r="S83" s="41" t="str">
        <f t="shared" si="39"/>
        <v>X</v>
      </c>
      <c r="T83" s="24">
        <f t="shared" si="52"/>
        <v>1.1272375051032668</v>
      </c>
      <c r="U83" s="41" t="str">
        <f t="shared" si="40"/>
        <v>1</v>
      </c>
      <c r="V83" s="24">
        <f t="shared" si="53"/>
        <v>1.5268500612392018</v>
      </c>
      <c r="W83" s="41" t="str">
        <f t="shared" si="41"/>
        <v>1</v>
      </c>
      <c r="X83" s="24">
        <f t="shared" si="54"/>
        <v>6.322200734870421</v>
      </c>
      <c r="Y83" s="41" t="str">
        <f t="shared" si="42"/>
        <v>6</v>
      </c>
      <c r="Z83" s="24">
        <f t="shared" si="55"/>
        <v>3.866408818445052</v>
      </c>
      <c r="AA83" s="41" t="str">
        <f t="shared" si="43"/>
        <v>3</v>
      </c>
      <c r="AB83" s="24">
        <f t="shared" si="56"/>
        <v>10.396905821340624</v>
      </c>
      <c r="AC83" s="41" t="str">
        <f t="shared" si="44"/>
        <v>X</v>
      </c>
      <c r="AD83" s="24">
        <f t="shared" si="57"/>
        <v>4.7628698560874909</v>
      </c>
      <c r="AE83" s="41" t="str">
        <f t="shared" si="45"/>
        <v>5</v>
      </c>
      <c r="AF83" s="24">
        <f t="shared" si="58"/>
        <v>9.154438273049891</v>
      </c>
      <c r="AG83" s="41" t="str">
        <f t="shared" si="46"/>
        <v/>
      </c>
      <c r="AH83" s="24">
        <f t="shared" si="59"/>
        <v>1.8532592765986919</v>
      </c>
      <c r="AI83" s="41" t="str">
        <f t="shared" si="47"/>
        <v/>
      </c>
      <c r="AJ83" s="24">
        <f t="shared" si="60"/>
        <v>10.239111319184303</v>
      </c>
      <c r="AK83" s="41" t="str">
        <f t="shared" si="48"/>
        <v/>
      </c>
    </row>
    <row r="84" spans="1:37" ht="14.25" customHeight="1" x14ac:dyDescent="0.2">
      <c r="A84" s="578"/>
      <c r="B84" s="30" t="s">
        <v>1220</v>
      </c>
      <c r="C84" s="30"/>
      <c r="D84" s="29"/>
      <c r="E84" s="30">
        <v>11</v>
      </c>
      <c r="F84" s="29">
        <v>1836.15267245</v>
      </c>
      <c r="G84" s="108" t="str">
        <f t="shared" si="63"/>
        <v>1;09019E9995E</v>
      </c>
      <c r="H84" s="108"/>
      <c r="I84" s="286"/>
      <c r="J84" s="43">
        <v>3</v>
      </c>
      <c r="K84" s="62">
        <f t="shared" si="35"/>
        <v>1.0625883521122685</v>
      </c>
      <c r="L84" s="44" t="str">
        <f>INDEX(powers!$H$2:$H$75,33+J84)</f>
        <v>doz gross</v>
      </c>
      <c r="M84" s="40" t="str">
        <f t="shared" si="36"/>
        <v>1</v>
      </c>
      <c r="N84" s="24">
        <f t="shared" si="49"/>
        <v>0.7510602253472225</v>
      </c>
      <c r="O84" s="41" t="str">
        <f t="shared" si="37"/>
        <v>0</v>
      </c>
      <c r="P84" s="24">
        <f t="shared" si="50"/>
        <v>9.01272270416667</v>
      </c>
      <c r="Q84" s="41" t="str">
        <f t="shared" si="38"/>
        <v>9</v>
      </c>
      <c r="R84" s="24">
        <f t="shared" si="51"/>
        <v>0.15267245000003982</v>
      </c>
      <c r="S84" s="41" t="str">
        <f t="shared" si="39"/>
        <v>0</v>
      </c>
      <c r="T84" s="24">
        <f t="shared" si="52"/>
        <v>1.8320694000004778</v>
      </c>
      <c r="U84" s="41" t="str">
        <f t="shared" si="40"/>
        <v>1</v>
      </c>
      <c r="V84" s="24">
        <f t="shared" si="53"/>
        <v>9.9848328000057336</v>
      </c>
      <c r="W84" s="41" t="str">
        <f t="shared" si="41"/>
        <v>9</v>
      </c>
      <c r="X84" s="24">
        <f t="shared" si="54"/>
        <v>11.817993600068803</v>
      </c>
      <c r="Y84" s="41" t="str">
        <f t="shared" si="42"/>
        <v>E</v>
      </c>
      <c r="Z84" s="24">
        <f t="shared" si="55"/>
        <v>9.8159232008256367</v>
      </c>
      <c r="AA84" s="41" t="str">
        <f t="shared" si="43"/>
        <v>9</v>
      </c>
      <c r="AB84" s="24">
        <f t="shared" si="56"/>
        <v>9.7910784099076409</v>
      </c>
      <c r="AC84" s="41" t="str">
        <f t="shared" si="44"/>
        <v>9</v>
      </c>
      <c r="AD84" s="24">
        <f t="shared" si="57"/>
        <v>9.4929409188916907</v>
      </c>
      <c r="AE84" s="41" t="str">
        <f t="shared" si="45"/>
        <v>9</v>
      </c>
      <c r="AF84" s="24">
        <f t="shared" si="58"/>
        <v>5.9152910267002881</v>
      </c>
      <c r="AG84" s="41" t="str">
        <f t="shared" si="46"/>
        <v>5</v>
      </c>
      <c r="AH84" s="24">
        <f t="shared" si="59"/>
        <v>10.983492320403457</v>
      </c>
      <c r="AI84" s="41" t="str">
        <f t="shared" si="47"/>
        <v>E</v>
      </c>
      <c r="AJ84" s="24">
        <f t="shared" si="60"/>
        <v>11.80190784484148</v>
      </c>
      <c r="AK84" s="41" t="str">
        <f t="shared" si="48"/>
        <v/>
      </c>
    </row>
    <row r="85" spans="1:37" ht="14.25" customHeight="1" x14ac:dyDescent="0.2">
      <c r="A85" s="578"/>
      <c r="B85" s="30" t="s">
        <v>1221</v>
      </c>
      <c r="C85" s="30"/>
      <c r="D85" s="29"/>
      <c r="E85" s="30">
        <v>11</v>
      </c>
      <c r="F85" s="29">
        <f>POWER(F84,9)*POWER(F72,-11)</f>
        <v>7.5920748287008189E+52</v>
      </c>
      <c r="G85" s="108" t="str">
        <f t="shared" si="63"/>
        <v>1;001XXX1088</v>
      </c>
      <c r="H85" s="108"/>
      <c r="I85" s="286"/>
      <c r="J85" s="43">
        <v>49</v>
      </c>
      <c r="K85" s="62">
        <f t="shared" si="35"/>
        <v>1.0011045231309914</v>
      </c>
      <c r="L85" s="44" t="str">
        <f>Rydberg!L85</f>
        <v>sexty-cosmic dirac</v>
      </c>
      <c r="M85" s="40" t="str">
        <f t="shared" si="36"/>
        <v>1</v>
      </c>
      <c r="N85" s="24">
        <f t="shared" si="49"/>
        <v>1.32542775718969E-2</v>
      </c>
      <c r="O85" s="41" t="str">
        <f t="shared" si="37"/>
        <v>0</v>
      </c>
      <c r="P85" s="24">
        <f t="shared" si="50"/>
        <v>0.1590513308627628</v>
      </c>
      <c r="Q85" s="41" t="str">
        <f t="shared" si="38"/>
        <v>0</v>
      </c>
      <c r="R85" s="24">
        <f t="shared" si="51"/>
        <v>1.9086159703531536</v>
      </c>
      <c r="S85" s="41" t="str">
        <f t="shared" si="39"/>
        <v>1</v>
      </c>
      <c r="T85" s="24">
        <f t="shared" si="52"/>
        <v>10.903391644237843</v>
      </c>
      <c r="U85" s="41" t="str">
        <f t="shared" si="40"/>
        <v>X</v>
      </c>
      <c r="V85" s="24">
        <f t="shared" si="53"/>
        <v>10.840699730854112</v>
      </c>
      <c r="W85" s="41" t="str">
        <f t="shared" si="41"/>
        <v>X</v>
      </c>
      <c r="X85" s="24">
        <f t="shared" si="54"/>
        <v>10.088396770249346</v>
      </c>
      <c r="Y85" s="41" t="str">
        <f t="shared" si="42"/>
        <v>X</v>
      </c>
      <c r="Z85" s="24">
        <f t="shared" si="55"/>
        <v>1.0607612429921573</v>
      </c>
      <c r="AA85" s="41" t="str">
        <f t="shared" si="43"/>
        <v>1</v>
      </c>
      <c r="AB85" s="24">
        <f t="shared" si="56"/>
        <v>0.72913491590588819</v>
      </c>
      <c r="AC85" s="41" t="str">
        <f t="shared" si="44"/>
        <v>0</v>
      </c>
      <c r="AD85" s="24">
        <f t="shared" si="57"/>
        <v>8.7496189908706583</v>
      </c>
      <c r="AE85" s="41" t="str">
        <f t="shared" si="45"/>
        <v>8</v>
      </c>
      <c r="AF85" s="24">
        <f t="shared" si="58"/>
        <v>8.9954278904478997</v>
      </c>
      <c r="AG85" s="41" t="str">
        <f t="shared" si="46"/>
        <v>8</v>
      </c>
      <c r="AH85" s="24">
        <f t="shared" si="59"/>
        <v>11.945134685374796</v>
      </c>
      <c r="AI85" s="41" t="str">
        <f t="shared" si="47"/>
        <v/>
      </c>
      <c r="AJ85" s="24">
        <f t="shared" si="60"/>
        <v>11.341616224497557</v>
      </c>
      <c r="AK85" s="41" t="str">
        <f t="shared" si="48"/>
        <v/>
      </c>
    </row>
    <row r="86" spans="1:37" ht="14.25" customHeight="1" x14ac:dyDescent="0.2">
      <c r="A86" s="578"/>
      <c r="B86" s="30" t="s">
        <v>339</v>
      </c>
      <c r="C86" s="30"/>
      <c r="D86" s="29"/>
      <c r="E86" s="30">
        <v>12</v>
      </c>
      <c r="F86" s="29">
        <f>POWER(2,43)</f>
        <v>8796093022208</v>
      </c>
      <c r="G86" s="108" t="str">
        <f t="shared" si="63"/>
        <v>0;EX08X990X0X8</v>
      </c>
      <c r="H86" s="108"/>
      <c r="I86" s="286"/>
      <c r="J86" s="43">
        <v>12</v>
      </c>
      <c r="K86" s="62">
        <f t="shared" si="35"/>
        <v>0.98654036854514426</v>
      </c>
      <c r="L86" s="44" t="str">
        <f>INDEX(powers!$H$2:$H$75,33+J86)</f>
        <v>cosmic hyper</v>
      </c>
      <c r="M86" s="40" t="str">
        <f t="shared" si="36"/>
        <v>0</v>
      </c>
      <c r="N86" s="24">
        <f t="shared" si="49"/>
        <v>11.838484422541731</v>
      </c>
      <c r="O86" s="41" t="str">
        <f t="shared" si="37"/>
        <v>E</v>
      </c>
      <c r="P86" s="24">
        <f t="shared" si="50"/>
        <v>10.061813070500769</v>
      </c>
      <c r="Q86" s="41" t="str">
        <f t="shared" si="38"/>
        <v>X</v>
      </c>
      <c r="R86" s="24">
        <f t="shared" si="51"/>
        <v>0.74175684600922409</v>
      </c>
      <c r="S86" s="41" t="str">
        <f t="shared" si="39"/>
        <v>0</v>
      </c>
      <c r="T86" s="24">
        <f t="shared" si="52"/>
        <v>8.9010821521106891</v>
      </c>
      <c r="U86" s="41" t="str">
        <f t="shared" si="40"/>
        <v>8</v>
      </c>
      <c r="V86" s="24">
        <f t="shared" si="53"/>
        <v>10.812985825328269</v>
      </c>
      <c r="W86" s="41" t="str">
        <f t="shared" si="41"/>
        <v>X</v>
      </c>
      <c r="X86" s="24">
        <f t="shared" si="54"/>
        <v>9.7558299039392296</v>
      </c>
      <c r="Y86" s="41" t="str">
        <f t="shared" si="42"/>
        <v>9</v>
      </c>
      <c r="Z86" s="24">
        <f t="shared" si="55"/>
        <v>9.0699588472707546</v>
      </c>
      <c r="AA86" s="41" t="str">
        <f t="shared" si="43"/>
        <v>9</v>
      </c>
      <c r="AB86" s="24">
        <f t="shared" si="56"/>
        <v>0.83950616724905558</v>
      </c>
      <c r="AC86" s="41" t="str">
        <f t="shared" si="44"/>
        <v>0</v>
      </c>
      <c r="AD86" s="24">
        <f t="shared" si="57"/>
        <v>10.074074006988667</v>
      </c>
      <c r="AE86" s="41" t="str">
        <f t="shared" si="45"/>
        <v>X</v>
      </c>
      <c r="AF86" s="24">
        <f t="shared" si="58"/>
        <v>0.88888808386400342</v>
      </c>
      <c r="AG86" s="41" t="str">
        <f t="shared" si="46"/>
        <v>0</v>
      </c>
      <c r="AH86" s="24">
        <f t="shared" si="59"/>
        <v>10.666657006368041</v>
      </c>
      <c r="AI86" s="41" t="str">
        <f t="shared" si="47"/>
        <v>X</v>
      </c>
      <c r="AJ86" s="24">
        <f t="shared" si="60"/>
        <v>7.9998840764164925</v>
      </c>
      <c r="AK86" s="41" t="str">
        <f t="shared" si="48"/>
        <v>8</v>
      </c>
    </row>
    <row r="87" spans="1:37" ht="14.25" customHeight="1" x14ac:dyDescent="0.2">
      <c r="A87" s="578"/>
      <c r="B87" s="30" t="s">
        <v>645</v>
      </c>
      <c r="C87" s="30"/>
      <c r="D87" s="29"/>
      <c r="E87" s="30">
        <v>12</v>
      </c>
      <c r="F87" s="29">
        <f>POWER(12,16)/POWER(2,48)</f>
        <v>656.84083557128906</v>
      </c>
      <c r="G87" s="108" t="str">
        <f t="shared" si="63"/>
        <v>4;68X10E696900</v>
      </c>
      <c r="H87" s="108"/>
      <c r="I87" s="286"/>
      <c r="J87" s="43">
        <v>2</v>
      </c>
      <c r="K87" s="62">
        <f t="shared" si="35"/>
        <v>4.5613946914672852</v>
      </c>
      <c r="L87" s="44" t="str">
        <f>INDEX(powers!$H$2:$H$75,33+J87)</f>
        <v>gross</v>
      </c>
      <c r="M87" s="40" t="str">
        <f t="shared" si="36"/>
        <v>4</v>
      </c>
      <c r="N87" s="24">
        <f t="shared" si="49"/>
        <v>6.7367362976074219</v>
      </c>
      <c r="O87" s="41" t="str">
        <f t="shared" si="37"/>
        <v>6</v>
      </c>
      <c r="P87" s="24">
        <f t="shared" si="50"/>
        <v>8.8408355712890625</v>
      </c>
      <c r="Q87" s="41" t="str">
        <f t="shared" si="38"/>
        <v>8</v>
      </c>
      <c r="R87" s="24">
        <f t="shared" si="51"/>
        <v>10.09002685546875</v>
      </c>
      <c r="S87" s="41" t="str">
        <f t="shared" si="39"/>
        <v>X</v>
      </c>
      <c r="T87" s="24">
        <f t="shared" si="52"/>
        <v>1.080322265625</v>
      </c>
      <c r="U87" s="41" t="str">
        <f t="shared" si="40"/>
        <v>1</v>
      </c>
      <c r="V87" s="24">
        <f t="shared" si="53"/>
        <v>0.9638671875</v>
      </c>
      <c r="W87" s="41" t="str">
        <f t="shared" si="41"/>
        <v>0</v>
      </c>
      <c r="X87" s="24">
        <f t="shared" si="54"/>
        <v>11.56640625</v>
      </c>
      <c r="Y87" s="41" t="str">
        <f t="shared" si="42"/>
        <v>E</v>
      </c>
      <c r="Z87" s="24">
        <f t="shared" si="55"/>
        <v>6.796875</v>
      </c>
      <c r="AA87" s="41" t="str">
        <f t="shared" si="43"/>
        <v>6</v>
      </c>
      <c r="AB87" s="24">
        <f t="shared" si="56"/>
        <v>9.5625</v>
      </c>
      <c r="AC87" s="41" t="str">
        <f t="shared" si="44"/>
        <v>9</v>
      </c>
      <c r="AD87" s="24">
        <f t="shared" si="57"/>
        <v>6.75</v>
      </c>
      <c r="AE87" s="41" t="str">
        <f t="shared" si="45"/>
        <v>6</v>
      </c>
      <c r="AF87" s="24">
        <f t="shared" si="58"/>
        <v>9</v>
      </c>
      <c r="AG87" s="41" t="str">
        <f t="shared" si="46"/>
        <v>9</v>
      </c>
      <c r="AH87" s="24">
        <f t="shared" si="59"/>
        <v>0</v>
      </c>
      <c r="AI87" s="41" t="str">
        <f t="shared" si="47"/>
        <v>0</v>
      </c>
      <c r="AJ87" s="24">
        <f t="shared" si="60"/>
        <v>0</v>
      </c>
      <c r="AK87" s="41" t="str">
        <f t="shared" si="48"/>
        <v>0</v>
      </c>
    </row>
    <row r="88" spans="1:37" ht="14.25" customHeight="1" thickBot="1" x14ac:dyDescent="0.25">
      <c r="A88" s="579"/>
      <c r="B88" s="33" t="s">
        <v>340</v>
      </c>
      <c r="C88" s="33"/>
      <c r="D88" s="32"/>
      <c r="E88" s="33">
        <v>12</v>
      </c>
      <c r="F88" s="32">
        <f>POWER(2,-17)*(2*PI())</f>
        <v>4.7936899621426287E-5</v>
      </c>
      <c r="G88" s="47" t="str">
        <f t="shared" si="63"/>
        <v>0;EE17EX582521</v>
      </c>
      <c r="H88" s="47"/>
      <c r="I88" s="287"/>
      <c r="J88" s="48">
        <v>-4</v>
      </c>
      <c r="K88" s="63">
        <f t="shared" si="35"/>
        <v>0.99401955054989555</v>
      </c>
      <c r="L88" s="49" t="str">
        <f>INDEX(powers!$H$2:$H$75,33+J88)</f>
        <v>sub</v>
      </c>
      <c r="M88" s="40" t="str">
        <f t="shared" si="36"/>
        <v>0</v>
      </c>
      <c r="N88" s="24">
        <f t="shared" si="49"/>
        <v>11.928234606598746</v>
      </c>
      <c r="O88" s="41" t="str">
        <f t="shared" si="37"/>
        <v>E</v>
      </c>
      <c r="P88" s="24">
        <f t="shared" si="50"/>
        <v>11.138815279184954</v>
      </c>
      <c r="Q88" s="41" t="str">
        <f t="shared" si="38"/>
        <v>E</v>
      </c>
      <c r="R88" s="24">
        <f t="shared" si="51"/>
        <v>1.6657833502194421</v>
      </c>
      <c r="S88" s="41" t="str">
        <f t="shared" si="39"/>
        <v>1</v>
      </c>
      <c r="T88" s="24">
        <f t="shared" si="52"/>
        <v>7.9894002026333055</v>
      </c>
      <c r="U88" s="41" t="str">
        <f t="shared" si="40"/>
        <v>7</v>
      </c>
      <c r="V88" s="24">
        <f t="shared" si="53"/>
        <v>11.872802431599666</v>
      </c>
      <c r="W88" s="41" t="str">
        <f t="shared" si="41"/>
        <v>E</v>
      </c>
      <c r="X88" s="24">
        <f t="shared" si="54"/>
        <v>10.473629179195996</v>
      </c>
      <c r="Y88" s="41" t="str">
        <f t="shared" si="42"/>
        <v>X</v>
      </c>
      <c r="Z88" s="24">
        <f t="shared" si="55"/>
        <v>5.6835501503519481</v>
      </c>
      <c r="AA88" s="41" t="str">
        <f t="shared" si="43"/>
        <v>5</v>
      </c>
      <c r="AB88" s="24">
        <f t="shared" si="56"/>
        <v>8.2026018042233773</v>
      </c>
      <c r="AC88" s="41" t="str">
        <f t="shared" si="44"/>
        <v>8</v>
      </c>
      <c r="AD88" s="24">
        <f t="shared" si="57"/>
        <v>2.4312216506805271</v>
      </c>
      <c r="AE88" s="41" t="str">
        <f t="shared" si="45"/>
        <v>2</v>
      </c>
      <c r="AF88" s="24">
        <f t="shared" si="58"/>
        <v>5.1746598081663251</v>
      </c>
      <c r="AG88" s="41" t="str">
        <f t="shared" si="46"/>
        <v>5</v>
      </c>
      <c r="AH88" s="24">
        <f t="shared" si="59"/>
        <v>2.0959176979959011</v>
      </c>
      <c r="AI88" s="41" t="str">
        <f t="shared" si="47"/>
        <v>2</v>
      </c>
      <c r="AJ88" s="24">
        <f t="shared" si="60"/>
        <v>1.1510123759508133</v>
      </c>
      <c r="AK88" s="41" t="str">
        <f t="shared" si="48"/>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3061501.7604944659</v>
      </c>
      <c r="G90" s="37" t="str">
        <f t="shared" ref="G90" si="64">M90&amp;";"&amp;O90&amp;Q90&amp;S90&amp;U90&amp;W90&amp;Y90&amp;AA90&amp;AC90&amp;AE90&amp;AG90&amp;AI90&amp;AK90</f>
        <v>1;037851916174</v>
      </c>
      <c r="H90" s="37"/>
      <c r="I90" s="285"/>
      <c r="J90" s="38">
        <v>6</v>
      </c>
      <c r="K90" s="61">
        <f>F90/POWER(12,J90)</f>
        <v>1.0252907451930304</v>
      </c>
      <c r="L90" s="39" t="str">
        <f>INDEX(powers!$H$2:$H$75,33+J90)</f>
        <v>dino cosmic</v>
      </c>
      <c r="M90" s="40" t="str">
        <f t="shared" ref="M90" si="65">IF($E90&gt;=M$31,MID($J$31,IF($E90&gt;M$31,INT(K90),ROUND(K90,0))+1,1),"")</f>
        <v>1</v>
      </c>
      <c r="N90" s="24">
        <f t="shared" ref="N90" si="66">(K90-INT(K90))*12</f>
        <v>0.30348894231636514</v>
      </c>
      <c r="O90" s="41" t="str">
        <f t="shared" ref="O90" si="67">IF($E90&gt;=O$31,MID($J$31,IF($E90&gt;O$31,INT(N90),ROUND(N90,0))+1,1),"")</f>
        <v>0</v>
      </c>
      <c r="P90" s="24">
        <f t="shared" ref="P90" si="68">(N90-INT(N90))*12</f>
        <v>3.6418673077963817</v>
      </c>
      <c r="Q90" s="41" t="str">
        <f t="shared" ref="Q90" si="69">IF($E90&gt;=Q$31,MID($J$31,IF($E90&gt;Q$31,INT(P90),ROUND(P90,0))+1,1),"")</f>
        <v>3</v>
      </c>
      <c r="R90" s="24">
        <f t="shared" ref="R90" si="70">(P90-INT(P90))*12</f>
        <v>7.7024076935565802</v>
      </c>
      <c r="S90" s="41" t="str">
        <f t="shared" ref="S90" si="71">IF($E90&gt;=S$31,MID($J$31,IF($E90&gt;S$31,INT(R90),ROUND(R90,0))+1,1),"")</f>
        <v>7</v>
      </c>
      <c r="T90" s="24">
        <f t="shared" ref="T90" si="72">(R90-INT(R90))*12</f>
        <v>8.428892322678962</v>
      </c>
      <c r="U90" s="41" t="str">
        <f t="shared" ref="U90" si="73">IF($E90&gt;=U$31,MID($J$31,IF($E90&gt;U$31,INT(T90),ROUND(T90,0))+1,1),"")</f>
        <v>8</v>
      </c>
      <c r="V90" s="24">
        <f t="shared" ref="V90" si="74">(T90-INT(T90))*12</f>
        <v>5.1467078721475445</v>
      </c>
      <c r="W90" s="41" t="str">
        <f t="shared" ref="W90" si="75">IF($E90&gt;=W$31,MID($J$31,IF($E90&gt;W$31,INT(V90),ROUND(V90,0))+1,1),"")</f>
        <v>5</v>
      </c>
      <c r="X90" s="24">
        <f t="shared" ref="X90" si="76">(V90-INT(V90))*12</f>
        <v>1.7604944657705346</v>
      </c>
      <c r="Y90" s="41" t="str">
        <f t="shared" ref="Y90" si="77">IF($E90&gt;=Y$31,MID($J$31,IF($E90&gt;Y$31,INT(X90),ROUND(X90,0))+1,1),"")</f>
        <v>1</v>
      </c>
      <c r="Z90" s="24">
        <f t="shared" ref="Z90" si="78">(X90-INT(X90))*12</f>
        <v>9.1259335892464151</v>
      </c>
      <c r="AA90" s="41" t="str">
        <f t="shared" ref="AA90" si="79">IF($E90&gt;=AA$31,MID($J$31,IF($E90&gt;AA$31,INT(Z90),ROUND(Z90,0))+1,1),"")</f>
        <v>9</v>
      </c>
      <c r="AB90" s="24">
        <f t="shared" ref="AB90" si="80">(Z90-INT(Z90))*12</f>
        <v>1.5112030709569808</v>
      </c>
      <c r="AC90" s="41" t="str">
        <f t="shared" ref="AC90" si="81">IF($E90&gt;=AC$31,MID($J$31,IF($E90&gt;AC$31,INT(AB90),ROUND(AB90,0))+1,1),"")</f>
        <v>1</v>
      </c>
      <c r="AD90" s="24">
        <f t="shared" ref="AD90" si="82">(AB90-INT(AB90))*12</f>
        <v>6.1344368514837697</v>
      </c>
      <c r="AE90" s="41" t="str">
        <f t="shared" ref="AE90" si="83">IF($E90&gt;=AE$31,MID($J$31,IF($E90&gt;AE$31,INT(AD90),ROUND(AD90,0))+1,1),"")</f>
        <v>6</v>
      </c>
      <c r="AF90" s="24">
        <f t="shared" ref="AF90" si="84">(AD90-INT(AD90))*12</f>
        <v>1.6132422178052366</v>
      </c>
      <c r="AG90" s="41" t="str">
        <f t="shared" ref="AG90" si="85">IF($E90&gt;=AG$31,MID($J$31,IF($E90&gt;AG$31,INT(AF90),ROUND(AF90,0))+1,1),"")</f>
        <v>1</v>
      </c>
      <c r="AH90" s="24">
        <f t="shared" ref="AH90" si="86">(AF90-INT(AF90))*12</f>
        <v>7.3589066136628389</v>
      </c>
      <c r="AI90" s="41" t="str">
        <f t="shared" ref="AI90" si="87">IF($E90&gt;=AI$31,MID($J$31,IF($E90&gt;AI$31,INT(AH90),ROUND(AH90,0))+1,1),"")</f>
        <v>7</v>
      </c>
      <c r="AJ90" s="24">
        <f t="shared" ref="AJ90" si="88">(AH90-INT(AH90))*12</f>
        <v>4.3068793639540672</v>
      </c>
      <c r="AK90" s="41" t="str">
        <f t="shared" ref="AK90" si="89">IF($E90&gt;=AK$31,MID($J$31,IF($E90&gt;AK$31,INT(AJ90),ROUND(AJ90,0))+1,1),"")</f>
        <v>4</v>
      </c>
    </row>
    <row r="91" spans="1:37" x14ac:dyDescent="0.2">
      <c r="B91" s="137" t="s">
        <v>265</v>
      </c>
      <c r="D91" s="14">
        <f>1/(1+0.00054461702177)</f>
        <v>0.99945567942448077</v>
      </c>
    </row>
    <row r="92" spans="1:37" x14ac:dyDescent="0.2">
      <c r="B92" s="3" t="s">
        <v>1529</v>
      </c>
      <c r="C92" s="3"/>
      <c r="D92" s="21">
        <f>R23</f>
        <v>1.0688715574725391</v>
      </c>
      <c r="E92" s="8">
        <v>7</v>
      </c>
      <c r="F92" s="21">
        <f>D92</f>
        <v>1.0688715574725391</v>
      </c>
      <c r="G92" s="37" t="str">
        <f t="shared" ref="G92:G93" si="90">M92&amp;";"&amp;O92&amp;Q92&amp;S92&amp;U92&amp;W92&amp;Y92&amp;AA92&amp;AC92&amp;AE92&amp;AG92&amp;AI92&amp;AK92</f>
        <v>1;09E0154</v>
      </c>
      <c r="H92" s="37"/>
      <c r="I92" s="285"/>
      <c r="J92" s="38">
        <v>0</v>
      </c>
      <c r="K92" s="61">
        <f>F92/POWER(12,J92)</f>
        <v>1.0688715574725391</v>
      </c>
      <c r="L92" s="39" t="str">
        <f>INDEX(powers!$H$2:$H$75,33+J92)</f>
        <v xml:space="preserve"> </v>
      </c>
      <c r="M92" s="40" t="str">
        <f t="shared" ref="M92" si="91">IF($E92&gt;=M$31,MID($J$31,IF($E92&gt;M$31,INT(K92),ROUND(K92,0))+1,1),"")</f>
        <v>1</v>
      </c>
      <c r="N92" s="24">
        <f t="shared" ref="N92:N93" si="92">(K92-INT(K92))*12</f>
        <v>0.82645868967046976</v>
      </c>
      <c r="O92" s="41" t="str">
        <f t="shared" ref="O92" si="93">IF($E92&gt;=O$31,MID($J$31,IF($E92&gt;O$31,INT(N92),ROUND(N92,0))+1,1),"")</f>
        <v>0</v>
      </c>
      <c r="P92" s="24">
        <f t="shared" ref="P92:P93" si="94">(N92-INT(N92))*12</f>
        <v>9.9175042760456371</v>
      </c>
      <c r="Q92" s="41" t="str">
        <f t="shared" ref="Q92" si="95">IF($E92&gt;=Q$31,MID($J$31,IF($E92&gt;Q$31,INT(P92),ROUND(P92,0))+1,1),"")</f>
        <v>9</v>
      </c>
      <c r="R92" s="24">
        <f t="shared" ref="R92:R93" si="96">(P92-INT(P92))*12</f>
        <v>11.010051312547645</v>
      </c>
      <c r="S92" s="41" t="str">
        <f t="shared" ref="S92" si="97">IF($E92&gt;=S$31,MID($J$31,IF($E92&gt;S$31,INT(R92),ROUND(R92,0))+1,1),"")</f>
        <v>E</v>
      </c>
      <c r="T92" s="24">
        <f t="shared" ref="T92:T93" si="98">(R92-INT(R92))*12</f>
        <v>0.12061575057174423</v>
      </c>
      <c r="U92" s="41" t="str">
        <f t="shared" ref="U92" si="99">IF($E92&gt;=U$31,MID($J$31,IF($E92&gt;U$31,INT(T92),ROUND(T92,0))+1,1),"")</f>
        <v>0</v>
      </c>
      <c r="V92" s="24">
        <f t="shared" ref="V92:V93" si="100">(T92-INT(T92))*12</f>
        <v>1.4473890068609307</v>
      </c>
      <c r="W92" s="41" t="str">
        <f t="shared" ref="W92" si="101">IF($E92&gt;=W$31,MID($J$31,IF($E92&gt;W$31,INT(V92),ROUND(V92,0))+1,1),"")</f>
        <v>1</v>
      </c>
      <c r="X92" s="24">
        <f t="shared" ref="X92:X93" si="102">(V92-INT(V92))*12</f>
        <v>5.368668082331169</v>
      </c>
      <c r="Y92" s="41" t="str">
        <f t="shared" ref="Y92" si="103">IF($E92&gt;=Y$31,MID($J$31,IF($E92&gt;Y$31,INT(X92),ROUND(X92,0))+1,1),"")</f>
        <v>5</v>
      </c>
      <c r="Z92" s="24">
        <f t="shared" ref="Z92:Z93" si="104">(X92-INT(X92))*12</f>
        <v>4.4240169879740279</v>
      </c>
      <c r="AA92" s="41" t="str">
        <f t="shared" ref="AA92" si="105">IF($E92&gt;=AA$31,MID($J$31,IF($E92&gt;AA$31,INT(Z92),ROUND(Z92,0))+1,1),"")</f>
        <v>4</v>
      </c>
      <c r="AB92" s="24">
        <f t="shared" ref="AB92:AB93" si="106">(Z92-INT(Z92))*12</f>
        <v>5.0882038556883344</v>
      </c>
      <c r="AC92" s="41" t="str">
        <f t="shared" ref="AC92" si="107">IF($E92&gt;=AC$31,MID($J$31,IF($E92&gt;AC$31,INT(AB92),ROUND(AB92,0))+1,1),"")</f>
        <v/>
      </c>
      <c r="AD92" s="24">
        <f t="shared" ref="AD92:AD93" si="108">(AB92-INT(AB92))*12</f>
        <v>1.0584462682600133</v>
      </c>
      <c r="AE92" s="41" t="str">
        <f t="shared" ref="AE92" si="109">IF($E92&gt;=AE$31,MID($J$31,IF($E92&gt;AE$31,INT(AD92),ROUND(AD92,0))+1,1),"")</f>
        <v/>
      </c>
      <c r="AF92" s="24">
        <f t="shared" ref="AF92:AF93" si="110">(AD92-INT(AD92))*12</f>
        <v>0.70135521912015975</v>
      </c>
      <c r="AG92" s="41" t="str">
        <f t="shared" ref="AG92" si="111">IF($E92&gt;=AG$31,MID($J$31,IF($E92&gt;AG$31,INT(AF92),ROUND(AF92,0))+1,1),"")</f>
        <v/>
      </c>
      <c r="AH92" s="24">
        <f t="shared" ref="AH92:AH93" si="112">(AF92-INT(AF92))*12</f>
        <v>8.4162626294419169</v>
      </c>
      <c r="AI92" s="41" t="str">
        <f t="shared" ref="AI92" si="113">IF($E92&gt;=AI$31,MID($J$31,IF($E92&gt;AI$31,INT(AH92),ROUND(AH92,0))+1,1),"")</f>
        <v/>
      </c>
      <c r="AJ92" s="24">
        <f t="shared" ref="AJ92:AJ93" si="114">(AH92-INT(AH92))*12</f>
        <v>4.9951515533030033</v>
      </c>
      <c r="AK92" s="41" t="str">
        <f t="shared" ref="AK92" si="115">IF($E92&gt;=AK$31,MID($J$31,IF($E92&gt;AK$31,INT(AJ92),ROUND(AJ92,0))+1,1),"")</f>
        <v/>
      </c>
    </row>
    <row r="93" spans="1:37" x14ac:dyDescent="0.2">
      <c r="B93" s="3" t="s">
        <v>725</v>
      </c>
      <c r="C93" s="3"/>
      <c r="D93" s="21">
        <v>540000000000000</v>
      </c>
      <c r="E93" s="8">
        <v>7</v>
      </c>
      <c r="F93" s="21">
        <f>D93/F22</f>
        <v>210937500000000</v>
      </c>
      <c r="G93" s="37" t="str">
        <f t="shared" si="90"/>
        <v>1;E7X9126</v>
      </c>
      <c r="H93" s="37"/>
      <c r="I93" s="285"/>
      <c r="J93" s="38">
        <v>13</v>
      </c>
      <c r="K93" s="61">
        <f>F93/POWER(12,J93)</f>
        <v>1.971503697385812</v>
      </c>
      <c r="L93" s="39" t="str">
        <f>INDEX(powers!$H$2:$H$75,33+J93)</f>
        <v>terno di-cosmic</v>
      </c>
      <c r="M93" s="40" t="str">
        <f>IF($E93&gt;=M$31,MID($J$31,IF($E93&gt;M$31,INT(K93),ROUND(K93,0))+1,1),"")</f>
        <v>1</v>
      </c>
      <c r="N93" s="24">
        <f t="shared" si="92"/>
        <v>11.658044368629744</v>
      </c>
      <c r="O93" s="41" t="str">
        <f>IF($E93&gt;=O$31,MID($J$31,IF($E93&gt;O$31,INT(N93),ROUND(N93,0))+1,1),"")</f>
        <v>E</v>
      </c>
      <c r="P93" s="24">
        <f t="shared" si="94"/>
        <v>7.896532423556927</v>
      </c>
      <c r="Q93" s="41" t="str">
        <f>IF($E93&gt;=Q$31,MID($J$31,IF($E93&gt;Q$31,INT(P93),ROUND(P93,0))+1,1),"")</f>
        <v>7</v>
      </c>
      <c r="R93" s="24">
        <f t="shared" si="96"/>
        <v>10.758389082683124</v>
      </c>
      <c r="S93" s="41" t="str">
        <f>IF($E93&gt;=S$31,MID($J$31,IF($E93&gt;S$31,INT(R93),ROUND(R93,0))+1,1),"")</f>
        <v>X</v>
      </c>
      <c r="T93" s="24">
        <f t="shared" si="98"/>
        <v>9.1006689921974839</v>
      </c>
      <c r="U93" s="41" t="str">
        <f>IF($E93&gt;=U$31,MID($J$31,IF($E93&gt;U$31,INT(T93),ROUND(T93,0))+1,1),"")</f>
        <v>9</v>
      </c>
      <c r="V93" s="24">
        <f t="shared" si="100"/>
        <v>1.2080279063698072</v>
      </c>
      <c r="W93" s="41" t="str">
        <f>IF($E93&gt;=W$31,MID($J$31,IF($E93&gt;W$31,INT(V93),ROUND(V93,0))+1,1),"")</f>
        <v>1</v>
      </c>
      <c r="X93" s="24">
        <f t="shared" si="102"/>
        <v>2.496334876437686</v>
      </c>
      <c r="Y93" s="41" t="str">
        <f>IF($E93&gt;=Y$31,MID($J$31,IF($E93&gt;Y$31,INT(X93),ROUND(X93,0))+1,1),"")</f>
        <v>2</v>
      </c>
      <c r="Z93" s="24">
        <f t="shared" si="104"/>
        <v>5.9560185172522324</v>
      </c>
      <c r="AA93" s="41" t="str">
        <f>IF($E93&gt;=AA$31,MID($J$31,IF($E93&gt;AA$31,INT(Z93),ROUND(Z93,0))+1,1),"")</f>
        <v>6</v>
      </c>
      <c r="AB93" s="24">
        <f t="shared" si="106"/>
        <v>11.472222207026789</v>
      </c>
      <c r="AC93" s="41" t="str">
        <f>IF($E93&gt;=AC$31,MID($J$31,IF($E93&gt;AC$31,INT(AB93),ROUND(AB93,0))+1,1),"")</f>
        <v/>
      </c>
      <c r="AD93" s="24">
        <f t="shared" si="108"/>
        <v>5.6666664843214676</v>
      </c>
      <c r="AE93" s="41" t="str">
        <f>IF($E93&gt;=AE$31,MID($J$31,IF($E93&gt;AE$31,INT(AD93),ROUND(AD93,0))+1,1),"")</f>
        <v/>
      </c>
      <c r="AF93" s="24">
        <f t="shared" si="110"/>
        <v>7.9999978118576109</v>
      </c>
      <c r="AG93" s="41" t="str">
        <f>IF($E93&gt;=AG$31,MID($J$31,IF($E93&gt;AG$31,INT(AF93),ROUND(AF93,0))+1,1),"")</f>
        <v/>
      </c>
      <c r="AH93" s="24">
        <f t="shared" si="112"/>
        <v>11.999973742291331</v>
      </c>
      <c r="AI93" s="41" t="str">
        <f>IF($E93&gt;=AI$31,MID($J$31,IF($E93&gt;AI$31,INT(AH93),ROUND(AH93,0))+1,1),"")</f>
        <v/>
      </c>
      <c r="AJ93" s="24">
        <f t="shared" si="114"/>
        <v>11.999684907495975</v>
      </c>
      <c r="AK93" s="41" t="str">
        <f>IF($E93&gt;=AK$31,MID($J$31,IF($E93&gt;AK$31,INT(AJ93),ROUND(AJ93,0))+1,1),"")</f>
        <v/>
      </c>
    </row>
    <row r="94" spans="1:37" x14ac:dyDescent="0.2">
      <c r="B94" s="14" t="s">
        <v>1508</v>
      </c>
      <c r="D94" s="193">
        <f>F22*F94</f>
        <v>547805211540848.63</v>
      </c>
      <c r="F94" s="193">
        <f>G94*POWER(12,J94)</f>
        <v>213986410758144</v>
      </c>
      <c r="G94" s="209">
        <v>2</v>
      </c>
      <c r="J94" s="14">
        <v>13</v>
      </c>
      <c r="K94" s="79"/>
      <c r="L94" s="79"/>
      <c r="M94" s="79"/>
    </row>
    <row r="95" spans="1:37" x14ac:dyDescent="0.2">
      <c r="D95" s="193"/>
      <c r="F95" s="193"/>
      <c r="G95" s="209"/>
      <c r="K95" s="79"/>
      <c r="L95" s="79"/>
      <c r="M95" s="79"/>
    </row>
    <row r="96" spans="1:37" x14ac:dyDescent="0.2">
      <c r="B96" s="14" t="s">
        <v>1076</v>
      </c>
    </row>
    <row r="97" spans="1:39" x14ac:dyDescent="0.2">
      <c r="B97" s="107" t="s">
        <v>1105</v>
      </c>
      <c r="C97" s="30"/>
      <c r="D97" s="30">
        <f>solar_luminosity!C9</f>
        <v>2.5750450803308646E-6</v>
      </c>
      <c r="E97" s="30">
        <v>6</v>
      </c>
      <c r="F97" s="29">
        <f>D97/F$26</f>
        <v>1.7346334739165443E-9</v>
      </c>
      <c r="G97" s="108" t="str">
        <f t="shared" ref="G97:G100" si="116">M97&amp;";"&amp;O97&amp;Q97&amp;S97&amp;U97&amp;W97&amp;Y97&amp;AA97&amp;AC97&amp;AE97&amp;AG97&amp;AI97&amp;AK97</f>
        <v>8;E4X1EE</v>
      </c>
      <c r="H97" s="108"/>
      <c r="I97" s="286"/>
      <c r="J97" s="43">
        <v>-9</v>
      </c>
      <c r="K97" s="109">
        <f>F97/POWER(12,J97)+0.00000000000001</f>
        <v>8.9503277166361013</v>
      </c>
      <c r="L97" s="44" t="str">
        <f>INDEX(powers!$H$2:$H$75,33+J97)</f>
        <v>unino atomic</v>
      </c>
      <c r="M97" s="97" t="str">
        <f t="shared" ref="M97:M100" si="117">IF($E97&gt;=M$31,MID($J$31,IF($E97&gt;M$31,INT(K97),ROUND(K97,0))+1,1),"")</f>
        <v>8</v>
      </c>
      <c r="N97" s="8">
        <f>(K97-INT(K97))*12</f>
        <v>11.403932599633215</v>
      </c>
      <c r="O97" s="96" t="str">
        <f t="shared" ref="O97:O100" si="118">IF($E97&gt;=O$31,MID($J$31,IF($E97&gt;O$31,INT(N97),ROUND(N97,0))+1,1),"")</f>
        <v>E</v>
      </c>
      <c r="P97" s="8">
        <f>(N97-INT(N97))*12</f>
        <v>4.8471911955985831</v>
      </c>
      <c r="Q97" s="96" t="str">
        <f t="shared" ref="Q97:Q100" si="119">IF($E97&gt;=Q$31,MID($J$31,IF($E97&gt;Q$31,INT(P97),ROUND(P97,0))+1,1),"")</f>
        <v>4</v>
      </c>
      <c r="R97" s="8">
        <f>(P97-INT(P97))*12</f>
        <v>10.166294347182998</v>
      </c>
      <c r="S97" s="96" t="str">
        <f t="shared" ref="S97:S100" si="120">IF($E97&gt;=S$31,MID($J$31,IF($E97&gt;S$31,INT(R97),ROUND(R97,0))+1,1),"")</f>
        <v>X</v>
      </c>
      <c r="T97" s="8">
        <f>(R97-INT(R97))*12</f>
        <v>1.9955321661959715</v>
      </c>
      <c r="U97" s="96" t="str">
        <f t="shared" ref="U97:U100" si="121">IF($E97&gt;=U$31,MID($J$31,IF($E97&gt;U$31,INT(T97),ROUND(T97,0))+1,1),"")</f>
        <v>1</v>
      </c>
      <c r="V97" s="8">
        <f>(T97-INT(T97))*12</f>
        <v>11.946385994351658</v>
      </c>
      <c r="W97" s="96" t="str">
        <f t="shared" ref="W97:W100" si="122">IF($E97&gt;=W$31,MID($J$31,IF($E97&gt;W$31,INT(V97),ROUND(V97,0))+1,1),"")</f>
        <v>E</v>
      </c>
      <c r="X97" s="8">
        <f>(V97-INT(V97))*12</f>
        <v>11.356631932219898</v>
      </c>
      <c r="Y97" s="96" t="str">
        <f t="shared" ref="Y97:Y100" si="123">IF($E97&gt;=Y$31,MID($J$31,IF($E97&gt;Y$31,INT(X97),ROUND(X97,0))+1,1),"")</f>
        <v>E</v>
      </c>
      <c r="Z97" s="8">
        <f>(X97-INT(X97))*12</f>
        <v>4.2795831866387744</v>
      </c>
      <c r="AA97" s="96" t="str">
        <f t="shared" ref="AA97:AA100" si="124">IF($E97&gt;=AA$31,MID($J$31,IF($E97&gt;AA$31,INT(Z97),ROUND(Z97,0))+1,1),"")</f>
        <v/>
      </c>
      <c r="AB97" s="8">
        <f>(Z97-INT(Z97))*12</f>
        <v>3.3549982396652922</v>
      </c>
      <c r="AC97" s="96" t="str">
        <f t="shared" ref="AC97:AC100" si="125">IF($E97&gt;=AC$31,MID($J$31,IF($E97&gt;AC$31,INT(AB97),ROUND(AB97,0))+1,1),"")</f>
        <v/>
      </c>
      <c r="AD97" s="8">
        <f>(AB97-INT(AB97))*12</f>
        <v>4.2599788759835064</v>
      </c>
      <c r="AE97" s="96" t="str">
        <f t="shared" ref="AE97:AE100" si="126">IF($E97&gt;=AE$31,MID($J$31,IF($E97&gt;AE$31,INT(AD97),ROUND(AD97,0))+1,1),"")</f>
        <v/>
      </c>
      <c r="AF97" s="8">
        <f>(AD97-INT(AD97))*12</f>
        <v>3.1197465118020773</v>
      </c>
      <c r="AG97" s="96" t="str">
        <f t="shared" ref="AG97:AG100" si="127">IF($E97&gt;=AG$31,MID($J$31,IF($E97&gt;AG$31,INT(AF97),ROUND(AF97,0))+1,1),"")</f>
        <v/>
      </c>
      <c r="AH97" s="8">
        <f>(AF97-INT(AF97))*12</f>
        <v>1.4369581416249275</v>
      </c>
      <c r="AI97" s="96" t="str">
        <f t="shared" ref="AI97:AI100" si="128">IF($E97&gt;=AI$31,MID($J$31,IF($E97&gt;AI$31,INT(AH97),ROUND(AH97,0))+1,1),"")</f>
        <v/>
      </c>
      <c r="AJ97" s="8">
        <f>(AH97-INT(AH97))*12</f>
        <v>5.2434976994991302</v>
      </c>
      <c r="AK97" s="96" t="str">
        <f t="shared" ref="AK97:AK100" si="129">IF($E97&gt;=AK$31,MID($J$31,IF($E97&gt;AK$31,INT(AJ97),ROUND(AJ97,0))+1,1),"")</f>
        <v/>
      </c>
    </row>
    <row r="98" spans="1:39" x14ac:dyDescent="0.2">
      <c r="B98" s="107" t="s">
        <v>1106</v>
      </c>
      <c r="C98" s="30"/>
      <c r="D98" s="30">
        <f>solar_luminosity!C14</f>
        <v>7.8136058826780172E-9</v>
      </c>
      <c r="E98" s="30">
        <v>6</v>
      </c>
      <c r="F98" s="29">
        <f>D98/F$26</f>
        <v>5.2634971013179353E-12</v>
      </c>
      <c r="G98" s="108" t="str">
        <f t="shared" si="116"/>
        <v>3;XE1X99</v>
      </c>
      <c r="H98" s="108"/>
      <c r="I98" s="286"/>
      <c r="J98" s="43">
        <v>-11</v>
      </c>
      <c r="K98" s="109">
        <f>F98/POWER(12,J98)+0.00000000000001</f>
        <v>3.9108224053712601</v>
      </c>
      <c r="L98" s="44" t="str">
        <f>INDEX(powers!$H$2:$H$75,33+J98)</f>
        <v>terno atomic</v>
      </c>
      <c r="M98" s="97" t="str">
        <f t="shared" si="117"/>
        <v>3</v>
      </c>
      <c r="N98" s="8">
        <f>(K98-INT(K98))*12</f>
        <v>10.929868864455122</v>
      </c>
      <c r="O98" s="96" t="str">
        <f t="shared" si="118"/>
        <v>X</v>
      </c>
      <c r="P98" s="8">
        <f>(N98-INT(N98))*12</f>
        <v>11.158426373461459</v>
      </c>
      <c r="Q98" s="96" t="str">
        <f t="shared" si="119"/>
        <v>E</v>
      </c>
      <c r="R98" s="8">
        <f>(P98-INT(P98))*12</f>
        <v>1.9011164815375139</v>
      </c>
      <c r="S98" s="96" t="str">
        <f t="shared" si="120"/>
        <v>1</v>
      </c>
      <c r="T98" s="8">
        <f>(R98-INT(R98))*12</f>
        <v>10.813397778450167</v>
      </c>
      <c r="U98" s="96" t="str">
        <f t="shared" si="121"/>
        <v>X</v>
      </c>
      <c r="V98" s="8">
        <f>(T98-INT(T98))*12</f>
        <v>9.7607733414020004</v>
      </c>
      <c r="W98" s="96" t="str">
        <f t="shared" si="122"/>
        <v>9</v>
      </c>
      <c r="X98" s="8">
        <f>(V98-INT(V98))*12</f>
        <v>9.1292800968240044</v>
      </c>
      <c r="Y98" s="96" t="str">
        <f t="shared" si="123"/>
        <v>9</v>
      </c>
      <c r="Z98" s="8">
        <f>(X98-INT(X98))*12</f>
        <v>1.5513611618880532</v>
      </c>
      <c r="AA98" s="96" t="str">
        <f t="shared" si="124"/>
        <v/>
      </c>
      <c r="AB98" s="8">
        <f>(Z98-INT(Z98))*12</f>
        <v>6.6163339426566381</v>
      </c>
      <c r="AC98" s="96" t="str">
        <f t="shared" si="125"/>
        <v/>
      </c>
      <c r="AD98" s="8">
        <f>(AB98-INT(AB98))*12</f>
        <v>7.3960073118796572</v>
      </c>
      <c r="AE98" s="96" t="str">
        <f t="shared" si="126"/>
        <v/>
      </c>
      <c r="AF98" s="8">
        <f>(AD98-INT(AD98))*12</f>
        <v>4.7520877425558865</v>
      </c>
      <c r="AG98" s="96" t="str">
        <f t="shared" si="127"/>
        <v/>
      </c>
      <c r="AH98" s="8">
        <f>(AF98-INT(AF98))*12</f>
        <v>9.0250529106706381</v>
      </c>
      <c r="AI98" s="96" t="str">
        <f t="shared" si="128"/>
        <v/>
      </c>
      <c r="AJ98" s="8">
        <f>(AH98-INT(AH98))*12</f>
        <v>0.30063492804765701</v>
      </c>
      <c r="AK98" s="96" t="str">
        <f t="shared" si="129"/>
        <v/>
      </c>
    </row>
    <row r="99" spans="1:39" x14ac:dyDescent="0.2">
      <c r="A99" s="384"/>
      <c r="B99" s="107" t="s">
        <v>1107</v>
      </c>
      <c r="C99" s="8"/>
      <c r="D99" s="8">
        <f>solar_luminosity!C12</f>
        <v>1.0251439109782231E-8</v>
      </c>
      <c r="E99" s="8">
        <v>6</v>
      </c>
      <c r="F99" s="21">
        <f>D99/F$26</f>
        <v>6.9057002424829886E-12</v>
      </c>
      <c r="G99" s="37" t="str">
        <f t="shared" si="116"/>
        <v>5;16X433</v>
      </c>
      <c r="H99" s="37"/>
      <c r="I99" s="285"/>
      <c r="J99" s="38">
        <v>-11</v>
      </c>
      <c r="K99" s="128">
        <f>F99/POWER(12,J99)+0.00000000000001</f>
        <v>5.1309930856270221</v>
      </c>
      <c r="L99" s="39" t="str">
        <f>INDEX(powers!$H$2:$H$75,33+J99)</f>
        <v>terno atomic</v>
      </c>
      <c r="M99" s="97" t="str">
        <f t="shared" si="117"/>
        <v>5</v>
      </c>
      <c r="N99" s="8">
        <f>(K99-INT(K99))*12</f>
        <v>1.5719170275242647</v>
      </c>
      <c r="O99" s="96" t="str">
        <f t="shared" si="118"/>
        <v>1</v>
      </c>
      <c r="P99" s="8">
        <f>(N99-INT(N99))*12</f>
        <v>6.8630043302911758</v>
      </c>
      <c r="Q99" s="96" t="str">
        <f t="shared" si="119"/>
        <v>6</v>
      </c>
      <c r="R99" s="8">
        <f>(P99-INT(P99))*12</f>
        <v>10.35605196349411</v>
      </c>
      <c r="S99" s="96" t="str">
        <f t="shared" si="120"/>
        <v>X</v>
      </c>
      <c r="T99" s="8">
        <f>(R99-INT(R99))*12</f>
        <v>4.272623561929322</v>
      </c>
      <c r="U99" s="96" t="str">
        <f t="shared" si="121"/>
        <v>4</v>
      </c>
      <c r="V99" s="8">
        <f>(T99-INT(T99))*12</f>
        <v>3.2714827431518643</v>
      </c>
      <c r="W99" s="96" t="str">
        <f t="shared" si="122"/>
        <v>3</v>
      </c>
      <c r="X99" s="8">
        <f>(V99-INT(V99))*12</f>
        <v>3.2577929178223712</v>
      </c>
      <c r="Y99" s="96" t="str">
        <f t="shared" si="123"/>
        <v>3</v>
      </c>
      <c r="Z99" s="8">
        <f>(X99-INT(X99))*12</f>
        <v>3.0935150138684548</v>
      </c>
      <c r="AA99" s="96" t="str">
        <f t="shared" si="124"/>
        <v/>
      </c>
      <c r="AB99" s="8">
        <f>(Z99-INT(Z99))*12</f>
        <v>1.1221801664214581</v>
      </c>
      <c r="AC99" s="96" t="str">
        <f t="shared" si="125"/>
        <v/>
      </c>
      <c r="AD99" s="8">
        <f>(AB99-INT(AB99))*12</f>
        <v>1.4661619970574975</v>
      </c>
      <c r="AE99" s="96" t="str">
        <f t="shared" si="126"/>
        <v/>
      </c>
      <c r="AF99" s="8">
        <f>(AD99-INT(AD99))*12</f>
        <v>5.59394396468997</v>
      </c>
      <c r="AG99" s="96" t="str">
        <f t="shared" si="127"/>
        <v/>
      </c>
      <c r="AH99" s="8">
        <f>(AF99-INT(AF99))*12</f>
        <v>7.1273275762796402</v>
      </c>
      <c r="AI99" s="96" t="str">
        <f t="shared" si="128"/>
        <v/>
      </c>
      <c r="AJ99" s="8">
        <f>(AH99-INT(AH99))*12</f>
        <v>1.5279309153556824</v>
      </c>
      <c r="AK99" s="96" t="str">
        <f t="shared" si="129"/>
        <v/>
      </c>
    </row>
    <row r="100" spans="1:39" ht="12" thickBot="1" x14ac:dyDescent="0.25">
      <c r="B100" s="105" t="s">
        <v>1108</v>
      </c>
      <c r="C100" s="377"/>
      <c r="D100" s="377">
        <f>solar_luminosity!C11</f>
        <v>2.5750450803308634E-8</v>
      </c>
      <c r="E100" s="377">
        <v>6</v>
      </c>
      <c r="F100" s="378">
        <f>D100/F$26</f>
        <v>1.7346334739165436E-11</v>
      </c>
      <c r="G100" s="379" t="str">
        <f t="shared" si="116"/>
        <v>1;0X7E34</v>
      </c>
      <c r="H100" s="379"/>
      <c r="I100" s="380"/>
      <c r="J100" s="381">
        <v>-10</v>
      </c>
      <c r="K100" s="382">
        <f>F100/POWER(12,J100)+0.00000000000001</f>
        <v>1.0740393259963403</v>
      </c>
      <c r="L100" s="383" t="str">
        <f>INDEX(powers!$H$2:$H$75,33+J100)</f>
        <v>dino atomic</v>
      </c>
      <c r="M100" s="97" t="str">
        <f t="shared" si="117"/>
        <v>1</v>
      </c>
      <c r="N100" s="8">
        <f>(K100-INT(K100))*12</f>
        <v>0.88847191195608399</v>
      </c>
      <c r="O100" s="96" t="str">
        <f t="shared" si="118"/>
        <v>0</v>
      </c>
      <c r="P100" s="8">
        <f>(N100-INT(N100))*12</f>
        <v>10.661662943473008</v>
      </c>
      <c r="Q100" s="96" t="str">
        <f t="shared" si="119"/>
        <v>X</v>
      </c>
      <c r="R100" s="8">
        <f>(P100-INT(P100))*12</f>
        <v>7.939955321676095</v>
      </c>
      <c r="S100" s="96" t="str">
        <f t="shared" si="120"/>
        <v>7</v>
      </c>
      <c r="T100" s="8">
        <f>(R100-INT(R100))*12</f>
        <v>11.27946386011314</v>
      </c>
      <c r="U100" s="96" t="str">
        <f t="shared" si="121"/>
        <v>E</v>
      </c>
      <c r="V100" s="8">
        <f>(T100-INT(T100))*12</f>
        <v>3.3535663213576754</v>
      </c>
      <c r="W100" s="96" t="str">
        <f t="shared" si="122"/>
        <v>3</v>
      </c>
      <c r="X100" s="8">
        <f>(V100-INT(V100))*12</f>
        <v>4.2427958562921049</v>
      </c>
      <c r="Y100" s="96" t="str">
        <f t="shared" si="123"/>
        <v>4</v>
      </c>
      <c r="Z100" s="8">
        <f>(X100-INT(X100))*12</f>
        <v>2.9135502755052585</v>
      </c>
      <c r="AA100" s="96" t="str">
        <f t="shared" si="124"/>
        <v/>
      </c>
      <c r="AB100" s="8">
        <f>(Z100-INT(Z100))*12</f>
        <v>10.962603306063102</v>
      </c>
      <c r="AC100" s="96" t="str">
        <f t="shared" si="125"/>
        <v/>
      </c>
      <c r="AD100" s="8">
        <f>(AB100-INT(AB100))*12</f>
        <v>11.55123967275722</v>
      </c>
      <c r="AE100" s="96" t="str">
        <f t="shared" si="126"/>
        <v/>
      </c>
      <c r="AF100" s="8">
        <f>(AD100-INT(AD100))*12</f>
        <v>6.6148760730866343</v>
      </c>
      <c r="AG100" s="96" t="str">
        <f t="shared" si="127"/>
        <v/>
      </c>
      <c r="AH100" s="8">
        <f>(AF100-INT(AF100))*12</f>
        <v>7.3785128770396113</v>
      </c>
      <c r="AI100" s="96" t="str">
        <f t="shared" si="128"/>
        <v/>
      </c>
      <c r="AJ100" s="8">
        <f>(AH100-INT(AH100))*12</f>
        <v>4.5421545244753361</v>
      </c>
      <c r="AK100" s="96" t="str">
        <f t="shared" si="129"/>
        <v/>
      </c>
    </row>
    <row r="101" spans="1:39" x14ac:dyDescent="0.2">
      <c r="F101" s="193"/>
      <c r="G101" s="234"/>
      <c r="H101" s="234"/>
      <c r="I101" s="292"/>
      <c r="J101" s="235"/>
      <c r="K101" s="236"/>
      <c r="L101" s="236"/>
      <c r="M101" s="237"/>
      <c r="O101" s="237"/>
      <c r="Q101" s="237"/>
      <c r="S101" s="237"/>
      <c r="U101" s="237"/>
      <c r="W101" s="237"/>
      <c r="Y101" s="237"/>
      <c r="AA101" s="237"/>
      <c r="AC101" s="237"/>
      <c r="AE101" s="237"/>
      <c r="AG101" s="237"/>
      <c r="AI101" s="237"/>
      <c r="AK101" s="237"/>
    </row>
    <row r="102" spans="1:39" ht="12" thickBot="1" x14ac:dyDescent="0.25">
      <c r="B102" s="14" t="s">
        <v>1280</v>
      </c>
      <c r="K102" s="79"/>
      <c r="L102" s="79"/>
      <c r="M102" s="79"/>
    </row>
    <row r="103" spans="1:39" ht="12" thickBot="1" x14ac:dyDescent="0.25">
      <c r="B103" s="68" t="s">
        <v>1281</v>
      </c>
      <c r="C103" s="69"/>
      <c r="D103" s="70">
        <f>D64*D35*D35/POWER(D66*2/PI(),2)</f>
        <v>9.8312061680638099</v>
      </c>
      <c r="E103" s="69">
        <v>7</v>
      </c>
      <c r="F103" s="70">
        <f>D103/(F3/F4/F4)</f>
        <v>5.3741555477620855</v>
      </c>
      <c r="G103" s="71" t="str">
        <f t="shared" ref="G103" si="130">M103&amp;";"&amp;O103&amp;Q103&amp;S103&amp;U103&amp;W103&amp;Y103&amp;AA103&amp;AC103&amp;AE103&amp;AG103&amp;AI103&amp;AK103</f>
        <v>5;45X65X6</v>
      </c>
      <c r="H103" s="71"/>
      <c r="I103" s="298"/>
      <c r="J103" s="72">
        <v>0</v>
      </c>
      <c r="K103" s="73">
        <f>F103/POWER(12,J103)+0.00000000000001</f>
        <v>5.3741555477620953</v>
      </c>
      <c r="L103" s="74" t="str">
        <f>INDEX(powers!$H$2:$H$75,33+J103)</f>
        <v xml:space="preserve"> </v>
      </c>
      <c r="M103" s="75" t="str">
        <f t="shared" ref="M103" si="131">IF($E103&gt;=M$31,MID($J$31,IF($E103&gt;M$31,INT(K103),ROUND(K103,0))+1,1),"")</f>
        <v>5</v>
      </c>
      <c r="N103" s="76">
        <f>(K103-INT(K103))*12</f>
        <v>4.489866573145143</v>
      </c>
      <c r="O103" s="77" t="str">
        <f t="shared" ref="O103" si="132">IF($E103&gt;=O$31,MID($J$31,IF($E103&gt;O$31,INT(N103),ROUND(N103,0))+1,1),"")</f>
        <v>4</v>
      </c>
      <c r="P103" s="76">
        <f>(N103-INT(N103))*12</f>
        <v>5.8783988777417164</v>
      </c>
      <c r="Q103" s="77" t="str">
        <f t="shared" ref="Q103" si="133">IF($E103&gt;=Q$31,MID($J$31,IF($E103&gt;Q$31,INT(P103),ROUND(P103,0))+1,1),"")</f>
        <v>5</v>
      </c>
      <c r="R103" s="76">
        <f>(P103-INT(P103))*12</f>
        <v>10.540786532900597</v>
      </c>
      <c r="S103" s="77" t="str">
        <f t="shared" ref="S103" si="134">IF($E103&gt;=S$31,MID($J$31,IF($E103&gt;S$31,INT(R103),ROUND(R103,0))+1,1),"")</f>
        <v>X</v>
      </c>
      <c r="T103" s="76">
        <f>(R103-INT(R103))*12</f>
        <v>6.4894383948071663</v>
      </c>
      <c r="U103" s="77" t="str">
        <f t="shared" ref="U103" si="135">IF($E103&gt;=U$31,MID($J$31,IF($E103&gt;U$31,INT(T103),ROUND(T103,0))+1,1),"")</f>
        <v>6</v>
      </c>
      <c r="V103" s="76">
        <f>(T103-INT(T103))*12</f>
        <v>5.873260737685996</v>
      </c>
      <c r="W103" s="77" t="str">
        <f t="shared" ref="W103" si="136">IF($E103&gt;=W$31,MID($J$31,IF($E103&gt;W$31,INT(V103),ROUND(V103,0))+1,1),"")</f>
        <v>5</v>
      </c>
      <c r="X103" s="76">
        <f>(V103-INT(V103))*12</f>
        <v>10.479128852231952</v>
      </c>
      <c r="Y103" s="77" t="str">
        <f t="shared" ref="Y103" si="137">IF($E103&gt;=Y$31,MID($J$31,IF($E103&gt;Y$31,INT(X103),ROUND(X103,0))+1,1),"")</f>
        <v>X</v>
      </c>
      <c r="Z103" s="76">
        <f>(X103-INT(X103))*12</f>
        <v>5.7495462267834228</v>
      </c>
      <c r="AA103" s="77" t="str">
        <f t="shared" ref="AA103" si="138">IF($E103&gt;=AA$31,MID($J$31,IF($E103&gt;AA$31,INT(Z103),ROUND(Z103,0))+1,1),"")</f>
        <v>6</v>
      </c>
      <c r="AB103" s="76">
        <f>(Z103-INT(Z103))*12</f>
        <v>8.994554721401073</v>
      </c>
      <c r="AC103" s="77" t="str">
        <f t="shared" ref="AC103" si="139">IF($E103&gt;=AC$31,MID($J$31,IF($E103&gt;AC$31,INT(AB103),ROUND(AB103,0))+1,1),"")</f>
        <v/>
      </c>
      <c r="AD103" s="76">
        <f>(AB103-INT(AB103))*12</f>
        <v>11.934656656812876</v>
      </c>
      <c r="AE103" s="77" t="str">
        <f t="shared" ref="AE103" si="140">IF($E103&gt;=AE$31,MID($J$31,IF($E103&gt;AE$31,INT(AD103),ROUND(AD103,0))+1,1),"")</f>
        <v/>
      </c>
      <c r="AF103" s="76">
        <f>(AD103-INT(AD103))*12</f>
        <v>11.215879881754518</v>
      </c>
      <c r="AG103" s="77" t="str">
        <f t="shared" ref="AG103" si="141">IF($E103&gt;=AG$31,MID($J$31,IF($E103&gt;AG$31,INT(AF103),ROUND(AF103,0))+1,1),"")</f>
        <v/>
      </c>
      <c r="AH103" s="76">
        <f>(AF103-INT(AF103))*12</f>
        <v>2.5905585810542107</v>
      </c>
      <c r="AI103" s="77" t="str">
        <f t="shared" ref="AI103" si="142">IF($E103&gt;=AI$31,MID($J$31,IF($E103&gt;AI$31,INT(AH103),ROUND(AH103,0))+1,1),"")</f>
        <v/>
      </c>
      <c r="AJ103" s="76">
        <f>(AH103-INT(AH103))*12</f>
        <v>7.086702972650528</v>
      </c>
      <c r="AK103" s="78" t="str">
        <f t="shared" ref="AK103" si="143">IF($E103&gt;=AK$31,MID($J$31,IF($E103&gt;AK$31,INT(AJ103),ROUND(AJ103,0))+1,1),"")</f>
        <v/>
      </c>
    </row>
    <row r="104" spans="1:39" x14ac:dyDescent="0.2">
      <c r="F104" s="193"/>
      <c r="G104" s="234"/>
      <c r="H104" s="234"/>
      <c r="I104" s="292"/>
      <c r="J104" s="235"/>
      <c r="K104" s="236"/>
      <c r="L104" s="236"/>
      <c r="M104" s="237"/>
      <c r="O104" s="237"/>
      <c r="Q104" s="237"/>
      <c r="S104" s="237"/>
      <c r="U104" s="237"/>
      <c r="W104" s="237"/>
      <c r="Y104" s="237"/>
      <c r="AA104" s="237"/>
      <c r="AC104" s="237"/>
      <c r="AE104" s="237"/>
      <c r="AG104" s="237"/>
      <c r="AI104" s="237"/>
      <c r="AK104" s="237"/>
    </row>
    <row r="105" spans="1:39" ht="12" thickBot="1" x14ac:dyDescent="0.25">
      <c r="B105" s="14" t="s">
        <v>1078</v>
      </c>
      <c r="K105" s="79"/>
      <c r="L105" s="79"/>
      <c r="M105" s="79"/>
    </row>
    <row r="106" spans="1:39" x14ac:dyDescent="0.2">
      <c r="B106" s="98" t="s">
        <v>115</v>
      </c>
      <c r="C106" s="99"/>
      <c r="D106" s="100"/>
      <c r="E106" s="99">
        <v>9</v>
      </c>
      <c r="F106" s="100">
        <f>Clock!F96</f>
        <v>1.0020361796982167</v>
      </c>
      <c r="G106" s="101" t="str">
        <f t="shared" ref="G106:G108" si="144">M106&amp;";"&amp;O106&amp;Q106&amp;S106&amp;U106&amp;W106&amp;Y106&amp;AA106&amp;AC106&amp;AE106&amp;AG106&amp;AI106&amp;AK106</f>
        <v>1;003628000</v>
      </c>
      <c r="H106" s="101"/>
      <c r="I106" s="289"/>
      <c r="J106" s="102">
        <v>0</v>
      </c>
      <c r="K106" s="103">
        <f>F106/POWER(12,J106)+0.00000000000001</f>
        <v>1.0020361796982267</v>
      </c>
      <c r="L106" s="104" t="str">
        <f>INDEX(powers!$H$2:$H$75,33+J106)</f>
        <v xml:space="preserve"> </v>
      </c>
      <c r="M106" s="75" t="str">
        <f t="shared" ref="M106:M108" si="145">IF($E106&gt;=M$31,MID($J$31,IF($E106&gt;M$31,INT(K106),ROUND(K106,0))+1,1),"")</f>
        <v>1</v>
      </c>
      <c r="N106" s="76">
        <f>(K106-INT(K106))*12</f>
        <v>2.443415637872004E-2</v>
      </c>
      <c r="O106" s="77" t="str">
        <f t="shared" ref="O106:O108" si="146">IF($E106&gt;=O$31,MID($J$31,IF($E106&gt;O$31,INT(N106),ROUND(N106,0))+1,1),"")</f>
        <v>0</v>
      </c>
      <c r="P106" s="76">
        <f>(N106-INT(N106))*12</f>
        <v>0.29320987654464048</v>
      </c>
      <c r="Q106" s="77" t="str">
        <f t="shared" ref="Q106:Q108" si="147">IF($E106&gt;=Q$31,MID($J$31,IF($E106&gt;Q$31,INT(P106),ROUND(P106,0))+1,1),"")</f>
        <v>0</v>
      </c>
      <c r="R106" s="76">
        <f>(P106-INT(P106))*12</f>
        <v>3.5185185185356858</v>
      </c>
      <c r="S106" s="77" t="str">
        <f t="shared" ref="S106:S108" si="148">IF($E106&gt;=S$31,MID($J$31,IF($E106&gt;S$31,INT(R106),ROUND(R106,0))+1,1),"")</f>
        <v>3</v>
      </c>
      <c r="T106" s="76">
        <f>(R106-INT(R106))*12</f>
        <v>6.2222222224282291</v>
      </c>
      <c r="U106" s="77" t="str">
        <f t="shared" ref="U106:U108" si="149">IF($E106&gt;=U$31,MID($J$31,IF($E106&gt;U$31,INT(T106),ROUND(T106,0))+1,1),"")</f>
        <v>6</v>
      </c>
      <c r="V106" s="76">
        <f>(T106-INT(T106))*12</f>
        <v>2.6666666691387491</v>
      </c>
      <c r="W106" s="77" t="str">
        <f t="shared" ref="W106:W108" si="150">IF($E106&gt;=W$31,MID($J$31,IF($E106&gt;W$31,INT(V106),ROUND(V106,0))+1,1),"")</f>
        <v>2</v>
      </c>
      <c r="X106" s="76">
        <f>(V106-INT(V106))*12</f>
        <v>8.0000000296649887</v>
      </c>
      <c r="Y106" s="77" t="str">
        <f t="shared" ref="Y106:Y108" si="151">IF($E106&gt;=Y$31,MID($J$31,IF($E106&gt;Y$31,INT(X106),ROUND(X106,0))+1,1),"")</f>
        <v>8</v>
      </c>
      <c r="Z106" s="76">
        <f>(X106-INT(X106))*12</f>
        <v>3.559798642527312E-7</v>
      </c>
      <c r="AA106" s="77" t="str">
        <f t="shared" ref="AA106:AA108" si="152">IF($E106&gt;=AA$31,MID($J$31,IF($E106&gt;AA$31,INT(Z106),ROUND(Z106,0))+1,1),"")</f>
        <v>0</v>
      </c>
      <c r="AB106" s="76">
        <f>(Z106-INT(Z106))*12</f>
        <v>4.2717583710327744E-6</v>
      </c>
      <c r="AC106" s="77" t="str">
        <f t="shared" ref="AC106:AC108" si="153">IF($E106&gt;=AC$31,MID($J$31,IF($E106&gt;AC$31,INT(AB106),ROUND(AB106,0))+1,1),"")</f>
        <v>0</v>
      </c>
      <c r="AD106" s="76">
        <f>(AB106-INT(AB106))*12</f>
        <v>5.1261100452393293E-5</v>
      </c>
      <c r="AE106" s="77" t="str">
        <f t="shared" ref="AE106:AE108" si="154">IF($E106&gt;=AE$31,MID($J$31,IF($E106&gt;AE$31,INT(AD106),ROUND(AD106,0))+1,1),"")</f>
        <v>0</v>
      </c>
      <c r="AF106" s="76">
        <f>(AD106-INT(AD106))*12</f>
        <v>6.1513320542871952E-4</v>
      </c>
      <c r="AG106" s="77" t="str">
        <f t="shared" ref="AG106:AG108" si="155">IF($E106&gt;=AG$31,MID($J$31,IF($E106&gt;AG$31,INT(AF106),ROUND(AF106,0))+1,1),"")</f>
        <v/>
      </c>
      <c r="AH106" s="76">
        <f>(AF106-INT(AF106))*12</f>
        <v>7.3815984651446342E-3</v>
      </c>
      <c r="AI106" s="77" t="str">
        <f t="shared" ref="AI106:AI108" si="156">IF($E106&gt;=AI$31,MID($J$31,IF($E106&gt;AI$31,INT(AH106),ROUND(AH106,0))+1,1),"")</f>
        <v/>
      </c>
      <c r="AJ106" s="76">
        <f>(AH106-INT(AH106))*12</f>
        <v>8.8579181581735611E-2</v>
      </c>
      <c r="AK106" s="78" t="str">
        <f t="shared" ref="AK106:AK108" si="157">IF($E106&gt;=AK$31,MID($J$31,IF($E106&gt;AK$31,INT(AJ106),ROUND(AJ106,0))+1,1),"")</f>
        <v/>
      </c>
    </row>
    <row r="107" spans="1:39" x14ac:dyDescent="0.2">
      <c r="B107" s="107" t="s">
        <v>204</v>
      </c>
      <c r="C107" s="30"/>
      <c r="D107" s="30"/>
      <c r="E107" s="30">
        <v>12</v>
      </c>
      <c r="F107" s="29">
        <f>F4/Clock!F4</f>
        <v>1</v>
      </c>
      <c r="G107" s="108" t="str">
        <f t="shared" si="144"/>
        <v>1;000000000000</v>
      </c>
      <c r="H107" s="108"/>
      <c r="I107" s="286"/>
      <c r="J107" s="43">
        <v>0</v>
      </c>
      <c r="K107" s="109">
        <f>F107/POWER(12,J107)+0.00000000000001</f>
        <v>1.00000000000001</v>
      </c>
      <c r="L107" s="44" t="str">
        <f>INDEX(powers!$H$2:$H$75,33+J107)</f>
        <v xml:space="preserve"> </v>
      </c>
      <c r="M107" s="97" t="str">
        <f t="shared" si="145"/>
        <v>1</v>
      </c>
      <c r="N107" s="8">
        <f>(K107-INT(K107))*12</f>
        <v>1.1990408665951691E-13</v>
      </c>
      <c r="O107" s="96" t="str">
        <f t="shared" si="146"/>
        <v>0</v>
      </c>
      <c r="P107" s="8">
        <f>(N107-INT(N107))*12</f>
        <v>1.4388490399142029E-12</v>
      </c>
      <c r="Q107" s="96" t="str">
        <f t="shared" si="147"/>
        <v>0</v>
      </c>
      <c r="R107" s="8">
        <f>(P107-INT(P107))*12</f>
        <v>1.7266188478970435E-11</v>
      </c>
      <c r="S107" s="96" t="str">
        <f t="shared" si="148"/>
        <v>0</v>
      </c>
      <c r="T107" s="8">
        <f>(R107-INT(R107))*12</f>
        <v>2.0719426174764521E-10</v>
      </c>
      <c r="U107" s="96" t="str">
        <f t="shared" si="149"/>
        <v>0</v>
      </c>
      <c r="V107" s="8">
        <f>(T107-INT(T107))*12</f>
        <v>2.4863311409717426E-9</v>
      </c>
      <c r="W107" s="96" t="str">
        <f t="shared" si="150"/>
        <v>0</v>
      </c>
      <c r="X107" s="8">
        <f>(V107-INT(V107))*12</f>
        <v>2.9835973691660911E-8</v>
      </c>
      <c r="Y107" s="96" t="str">
        <f t="shared" si="151"/>
        <v>0</v>
      </c>
      <c r="Z107" s="8">
        <f>(X107-INT(X107))*12</f>
        <v>3.5803168429993093E-7</v>
      </c>
      <c r="AA107" s="96" t="str">
        <f t="shared" si="152"/>
        <v>0</v>
      </c>
      <c r="AB107" s="8">
        <f>(Z107-INT(Z107))*12</f>
        <v>4.2963802115991712E-6</v>
      </c>
      <c r="AC107" s="96" t="str">
        <f t="shared" si="153"/>
        <v>0</v>
      </c>
      <c r="AD107" s="8">
        <f>(AB107-INT(AB107))*12</f>
        <v>5.1556562539190054E-5</v>
      </c>
      <c r="AE107" s="96" t="str">
        <f t="shared" si="154"/>
        <v>0</v>
      </c>
      <c r="AF107" s="8">
        <f>(AD107-INT(AD107))*12</f>
        <v>6.1867875047028065E-4</v>
      </c>
      <c r="AG107" s="96" t="str">
        <f t="shared" si="155"/>
        <v>0</v>
      </c>
      <c r="AH107" s="8">
        <f>(AF107-INT(AF107))*12</f>
        <v>7.4241450056433678E-3</v>
      </c>
      <c r="AI107" s="96" t="str">
        <f t="shared" si="156"/>
        <v>0</v>
      </c>
      <c r="AJ107" s="8">
        <f>(AH107-INT(AH107))*12</f>
        <v>8.9089740067720413E-2</v>
      </c>
      <c r="AK107" s="96" t="str">
        <f t="shared" si="157"/>
        <v>0</v>
      </c>
    </row>
    <row r="108" spans="1:39" ht="12" thickBot="1" x14ac:dyDescent="0.25">
      <c r="B108" s="105" t="s">
        <v>205</v>
      </c>
      <c r="C108" s="33"/>
      <c r="D108" s="33"/>
      <c r="E108" s="33">
        <v>12</v>
      </c>
      <c r="F108" s="32">
        <f>F5/Clock!F5</f>
        <v>1.1033714414024967</v>
      </c>
      <c r="G108" s="47" t="str">
        <f t="shared" si="144"/>
        <v>1;12X761578382</v>
      </c>
      <c r="H108" s="47"/>
      <c r="I108" s="287"/>
      <c r="J108" s="48">
        <v>0</v>
      </c>
      <c r="K108" s="106">
        <f>F108/POWER(12,J108)+0.00000000000001</f>
        <v>1.1033714414025066</v>
      </c>
      <c r="L108" s="49" t="str">
        <f>INDEX(powers!$H$2:$H$75,33+J108)</f>
        <v xml:space="preserve"> </v>
      </c>
      <c r="M108" s="97" t="str">
        <f t="shared" si="145"/>
        <v>1</v>
      </c>
      <c r="N108" s="8">
        <f>(K108-INT(K108))*12</f>
        <v>1.2404572968300798</v>
      </c>
      <c r="O108" s="96" t="str">
        <f t="shared" si="146"/>
        <v>1</v>
      </c>
      <c r="P108" s="8">
        <f>(N108-INT(N108))*12</f>
        <v>2.8854875619609572</v>
      </c>
      <c r="Q108" s="96" t="str">
        <f t="shared" si="147"/>
        <v>2</v>
      </c>
      <c r="R108" s="8">
        <f>(P108-INT(P108))*12</f>
        <v>10.625850743531487</v>
      </c>
      <c r="S108" s="96" t="str">
        <f t="shared" si="148"/>
        <v>X</v>
      </c>
      <c r="T108" s="8">
        <f>(R108-INT(R108))*12</f>
        <v>7.5102089223778421</v>
      </c>
      <c r="U108" s="96" t="str">
        <f t="shared" si="149"/>
        <v>7</v>
      </c>
      <c r="V108" s="8">
        <f>(T108-INT(T108))*12</f>
        <v>6.1225070685341052</v>
      </c>
      <c r="W108" s="96" t="str">
        <f t="shared" si="150"/>
        <v>6</v>
      </c>
      <c r="X108" s="8">
        <f>(V108-INT(V108))*12</f>
        <v>1.4700848224092624</v>
      </c>
      <c r="Y108" s="96" t="str">
        <f t="shared" si="151"/>
        <v>1</v>
      </c>
      <c r="Z108" s="8">
        <f>(X108-INT(X108))*12</f>
        <v>5.641017868911149</v>
      </c>
      <c r="AA108" s="96" t="str">
        <f t="shared" si="152"/>
        <v>5</v>
      </c>
      <c r="AB108" s="8">
        <f>(Z108-INT(Z108))*12</f>
        <v>7.6922144269337878</v>
      </c>
      <c r="AC108" s="96" t="str">
        <f t="shared" si="153"/>
        <v>7</v>
      </c>
      <c r="AD108" s="8">
        <f>(AB108-INT(AB108))*12</f>
        <v>8.3065731232054532</v>
      </c>
      <c r="AE108" s="96" t="str">
        <f t="shared" si="154"/>
        <v>8</v>
      </c>
      <c r="AF108" s="8">
        <f>(AD108-INT(AD108))*12</f>
        <v>3.6788774784654379</v>
      </c>
      <c r="AG108" s="96" t="str">
        <f t="shared" si="155"/>
        <v>3</v>
      </c>
      <c r="AH108" s="8">
        <f>(AF108-INT(AF108))*12</f>
        <v>8.1465297415852547</v>
      </c>
      <c r="AI108" s="96" t="str">
        <f t="shared" si="156"/>
        <v>8</v>
      </c>
      <c r="AJ108" s="8">
        <f>(AH108-INT(AH108))*12</f>
        <v>1.758356899023056</v>
      </c>
      <c r="AK108" s="96" t="str">
        <f t="shared" si="157"/>
        <v>2</v>
      </c>
    </row>
    <row r="109" spans="1:39" x14ac:dyDescent="0.2">
      <c r="F109" s="193"/>
      <c r="G109" s="234"/>
      <c r="H109" s="234"/>
      <c r="I109" s="292"/>
      <c r="J109" s="235"/>
      <c r="K109" s="236"/>
      <c r="L109" s="236"/>
      <c r="M109" s="237"/>
      <c r="O109" s="237"/>
      <c r="Q109" s="237"/>
      <c r="S109" s="237"/>
      <c r="U109" s="237"/>
      <c r="W109" s="237"/>
      <c r="Y109" s="237"/>
      <c r="AA109" s="237"/>
      <c r="AC109" s="237"/>
      <c r="AE109" s="237"/>
      <c r="AG109" s="237"/>
      <c r="AI109" s="237"/>
      <c r="AK109" s="237"/>
    </row>
    <row r="110" spans="1:39" ht="12" thickBot="1" x14ac:dyDescent="0.25">
      <c r="B110" s="14" t="s">
        <v>1077</v>
      </c>
      <c r="C110" s="54" t="s">
        <v>628</v>
      </c>
      <c r="D110" s="238">
        <f>AM111</f>
        <v>-65.388518340909229</v>
      </c>
      <c r="F110" s="232"/>
      <c r="G110" s="193"/>
      <c r="H110" s="193"/>
    </row>
    <row r="111" spans="1:39" x14ac:dyDescent="0.2">
      <c r="B111" s="98" t="s">
        <v>616</v>
      </c>
      <c r="C111" s="240" t="s">
        <v>596</v>
      </c>
      <c r="D111" s="242">
        <v>-273.14999999999998</v>
      </c>
      <c r="E111" s="99">
        <v>9</v>
      </c>
      <c r="F111" s="225">
        <f t="shared" ref="F111:F133" si="158">(D111-D$110)/F$6/20736</f>
        <v>-164.19068287037035</v>
      </c>
      <c r="G111" s="239" t="str">
        <f>"-"&amp;M111&amp;";"&amp;O111&amp;Q111&amp;S111&amp;U111&amp;W111&amp;Y111&amp;AA111&amp;AC111&amp;AE111&amp;AG111&amp;AI111&amp;AK111</f>
        <v>-1;182356000</v>
      </c>
      <c r="H111" s="239"/>
      <c r="I111" s="290"/>
      <c r="J111" s="226">
        <v>2</v>
      </c>
      <c r="K111" s="227">
        <f>-F111/POWER(12,J111)+0.00000000000001</f>
        <v>1.140213075488693</v>
      </c>
      <c r="L111" s="104" t="str">
        <f>INDEX(powers!$H$2:$H$75,33+J111)</f>
        <v>gross</v>
      </c>
      <c r="M111" s="97" t="str">
        <f t="shared" ref="M111:M133" si="159">IF($E111&gt;=M$31,MID($J$31,IF($E111&gt;M$31,INT(K111),ROUND(K111,0))+1,1),"")</f>
        <v>1</v>
      </c>
      <c r="N111" s="8">
        <f t="shared" ref="N111:N133" si="160">(K111-INT(K111))*12</f>
        <v>1.6825569058643159</v>
      </c>
      <c r="O111" s="96" t="str">
        <f t="shared" ref="O111:O133" si="161">IF($E111&gt;=O$31,MID($J$31,IF($E111&gt;O$31,INT(N111),ROUND(N111,0))+1,1),"")</f>
        <v>1</v>
      </c>
      <c r="P111" s="8">
        <f t="shared" ref="P111:P133" si="162">(N111-INT(N111))*12</f>
        <v>8.1906828703717913</v>
      </c>
      <c r="Q111" s="96" t="str">
        <f t="shared" ref="Q111:Q133" si="163">IF($E111&gt;=Q$31,MID($J$31,IF($E111&gt;Q$31,INT(P111),ROUND(P111,0))+1,1),"")</f>
        <v>8</v>
      </c>
      <c r="R111" s="8">
        <f t="shared" ref="R111:R133" si="164">(P111-INT(P111))*12</f>
        <v>2.2881944444614959</v>
      </c>
      <c r="S111" s="96" t="str">
        <f t="shared" ref="S111:S133" si="165">IF($E111&gt;=S$31,MID($J$31,IF($E111&gt;S$31,INT(R111),ROUND(R111,0))+1,1),"")</f>
        <v>2</v>
      </c>
      <c r="T111" s="8">
        <f t="shared" ref="T111:T133" si="166">(R111-INT(R111))*12</f>
        <v>3.4583333335379507</v>
      </c>
      <c r="U111" s="96" t="str">
        <f t="shared" ref="U111:U133" si="167">IF($E111&gt;=U$31,MID($J$31,IF($E111&gt;U$31,INT(T111),ROUND(T111,0))+1,1),"")</f>
        <v>3</v>
      </c>
      <c r="V111" s="8">
        <f t="shared" ref="V111:V133" si="168">(T111-INT(T111))*12</f>
        <v>5.5000000024554083</v>
      </c>
      <c r="W111" s="96" t="str">
        <f t="shared" ref="W111:W133" si="169">IF($E111&gt;=W$31,MID($J$31,IF($E111&gt;W$31,INT(V111),ROUND(V111,0))+1,1),"")</f>
        <v>5</v>
      </c>
      <c r="X111" s="8">
        <f t="shared" ref="X111:X133" si="170">(V111-INT(V111))*12</f>
        <v>6.0000000294648999</v>
      </c>
      <c r="Y111" s="96" t="str">
        <f t="shared" ref="Y111:Y133" si="171">IF($E111&gt;=Y$31,MID($J$31,IF($E111&gt;Y$31,INT(X111),ROUND(X111,0))+1,1),"")</f>
        <v>6</v>
      </c>
      <c r="Z111" s="8">
        <f t="shared" ref="Z111:Z133" si="172">(X111-INT(X111))*12</f>
        <v>3.5357879824005067E-7</v>
      </c>
      <c r="AA111" s="96" t="str">
        <f t="shared" ref="AA111:AA133" si="173">IF($E111&gt;=AA$31,MID($J$31,IF($E111&gt;AA$31,INT(Z111),ROUND(Z111,0))+1,1),"")</f>
        <v>0</v>
      </c>
      <c r="AB111" s="8">
        <f t="shared" ref="AB111:AB133" si="174">(Z111-INT(Z111))*12</f>
        <v>4.2429455788806081E-6</v>
      </c>
      <c r="AC111" s="96" t="str">
        <f t="shared" ref="AC111:AC133" si="175">IF($E111&gt;=AC$31,MID($J$31,IF($E111&gt;AC$31,INT(AB111),ROUND(AB111,0))+1,1),"")</f>
        <v>0</v>
      </c>
      <c r="AD111" s="8">
        <f t="shared" ref="AD111:AD133" si="176">(AB111-INT(AB111))*12</f>
        <v>5.0915346946567297E-5</v>
      </c>
      <c r="AE111" s="96" t="str">
        <f t="shared" ref="AE111:AE133" si="177">IF($E111&gt;=AE$31,MID($J$31,IF($E111&gt;AE$31,INT(AD111),ROUND(AD111,0))+1,1),"")</f>
        <v>0</v>
      </c>
      <c r="AF111" s="8">
        <f t="shared" ref="AF111:AF133" si="178">(AD111-INT(AD111))*12</f>
        <v>6.1098416335880756E-4</v>
      </c>
      <c r="AG111" s="96" t="str">
        <f t="shared" ref="AG111:AG133" si="179">IF($E111&gt;=AG$31,MID($J$31,IF($E111&gt;AG$31,INT(AF111),ROUND(AF111,0))+1,1),"")</f>
        <v/>
      </c>
      <c r="AH111" s="8">
        <f t="shared" ref="AH111:AH133" si="180">(AF111-INT(AF111))*12</f>
        <v>7.3318099603056908E-3</v>
      </c>
      <c r="AI111" s="96" t="str">
        <f t="shared" ref="AI111:AI133" si="181">IF($E111&gt;=AI$31,MID($J$31,IF($E111&gt;AI$31,INT(AH111),ROUND(AH111,0))+1,1),"")</f>
        <v/>
      </c>
      <c r="AJ111" s="8">
        <f t="shared" ref="AJ111:AJ133" si="182">(AH111-INT(AH111))*12</f>
        <v>8.7981719523668289E-2</v>
      </c>
      <c r="AK111" s="96" t="str">
        <f t="shared" ref="AK111:AK133" si="183">IF($E111&gt;=AK$31,MID($J$31,IF($E111&gt;AK$31,INT(AJ111),ROUND(AJ111,0))+1,1),"")</f>
        <v/>
      </c>
      <c r="AL111" s="238">
        <f>-(144*1+1*12+8+2/12+3/144+5/1728+6/20736)</f>
        <v>-164.19068287037035</v>
      </c>
      <c r="AM111" s="238">
        <f>-AL111*F$6*20736+D111</f>
        <v>-65.388518340909229</v>
      </c>
    </row>
    <row r="112" spans="1:39" x14ac:dyDescent="0.2">
      <c r="B112" s="126" t="s">
        <v>614</v>
      </c>
      <c r="C112" s="10" t="s">
        <v>615</v>
      </c>
      <c r="D112" s="198">
        <v>-89.4</v>
      </c>
      <c r="E112" s="8">
        <v>9</v>
      </c>
      <c r="F112" s="228">
        <f t="shared" si="158"/>
        <v>-18.975902264715984</v>
      </c>
      <c r="G112" s="229" t="str">
        <f>"-"&amp;M112&amp;";"&amp;O112&amp;Q112&amp;S112&amp;U112&amp;W112&amp;Y112&amp;AA112&amp;AC112&amp;AE112&amp;AG112&amp;AI112&amp;AK112</f>
        <v>-1;6E8643867</v>
      </c>
      <c r="H112" s="229"/>
      <c r="I112" s="291"/>
      <c r="J112" s="230">
        <v>1</v>
      </c>
      <c r="K112" s="231">
        <f>-F112/POWER(12,J112)+0.00000000000001</f>
        <v>1.581325188726342</v>
      </c>
      <c r="L112" s="39" t="str">
        <f>INDEX(powers!$H$2:$H$75,33+J112)</f>
        <v>dozen</v>
      </c>
      <c r="M112" s="97" t="str">
        <f t="shared" si="159"/>
        <v>1</v>
      </c>
      <c r="N112" s="8">
        <f t="shared" si="160"/>
        <v>6.9759022647161038</v>
      </c>
      <c r="O112" s="96" t="str">
        <f t="shared" si="161"/>
        <v>6</v>
      </c>
      <c r="P112" s="8">
        <f t="shared" si="162"/>
        <v>11.710827176593245</v>
      </c>
      <c r="Q112" s="96" t="str">
        <f t="shared" si="163"/>
        <v>E</v>
      </c>
      <c r="R112" s="8">
        <f t="shared" si="164"/>
        <v>8.5299261191189402</v>
      </c>
      <c r="S112" s="96" t="str">
        <f t="shared" si="165"/>
        <v>8</v>
      </c>
      <c r="T112" s="8">
        <f t="shared" si="166"/>
        <v>6.359113429427282</v>
      </c>
      <c r="U112" s="96" t="str">
        <f t="shared" si="167"/>
        <v>6</v>
      </c>
      <c r="V112" s="8">
        <f t="shared" si="168"/>
        <v>4.3093611531273837</v>
      </c>
      <c r="W112" s="96" t="str">
        <f t="shared" si="169"/>
        <v>4</v>
      </c>
      <c r="X112" s="8">
        <f t="shared" si="170"/>
        <v>3.7123338375286039</v>
      </c>
      <c r="Y112" s="96" t="str">
        <f t="shared" si="171"/>
        <v>3</v>
      </c>
      <c r="Z112" s="8">
        <f t="shared" si="172"/>
        <v>8.5480060503432469</v>
      </c>
      <c r="AA112" s="96" t="str">
        <f t="shared" si="173"/>
        <v>8</v>
      </c>
      <c r="AB112" s="8">
        <f t="shared" si="174"/>
        <v>6.5760726041189628</v>
      </c>
      <c r="AC112" s="96" t="str">
        <f t="shared" si="175"/>
        <v>6</v>
      </c>
      <c r="AD112" s="8">
        <f t="shared" si="176"/>
        <v>6.9128712494275533</v>
      </c>
      <c r="AE112" s="96" t="str">
        <f t="shared" si="177"/>
        <v>7</v>
      </c>
      <c r="AF112" s="8">
        <f t="shared" si="178"/>
        <v>10.954454993130639</v>
      </c>
      <c r="AG112" s="96" t="str">
        <f t="shared" si="179"/>
        <v/>
      </c>
      <c r="AH112" s="8">
        <f t="shared" si="180"/>
        <v>11.45345991756767</v>
      </c>
      <c r="AI112" s="96" t="str">
        <f t="shared" si="181"/>
        <v/>
      </c>
      <c r="AJ112" s="8">
        <f t="shared" si="182"/>
        <v>5.4415190108120441</v>
      </c>
      <c r="AK112" s="96" t="str">
        <f t="shared" si="183"/>
        <v/>
      </c>
    </row>
    <row r="113" spans="2:39" x14ac:dyDescent="0.2">
      <c r="B113" s="126"/>
      <c r="C113" s="9" t="s">
        <v>597</v>
      </c>
      <c r="D113" s="198">
        <v>-78</v>
      </c>
      <c r="E113" s="8">
        <v>9</v>
      </c>
      <c r="F113" s="228">
        <f t="shared" si="158"/>
        <v>-9.9666587332631327</v>
      </c>
      <c r="G113" s="229" t="str">
        <f>"-"&amp;M113&amp;";"&amp;O113&amp;Q113&amp;S113&amp;U113&amp;W113&amp;Y113&amp;AA113&amp;AC113&amp;AE113&amp;AG113&amp;AI113&amp;AK113</f>
        <v>-9;E72477617</v>
      </c>
      <c r="H113" s="229"/>
      <c r="I113" s="291"/>
      <c r="J113" s="230">
        <v>0</v>
      </c>
      <c r="K113" s="231">
        <f>-F113/POWER(12,J113)+0.00000000000001</f>
        <v>9.9666587332631433</v>
      </c>
      <c r="L113" s="39" t="str">
        <f>INDEX(powers!$H$2:$H$75,33+J113)</f>
        <v xml:space="preserve"> </v>
      </c>
      <c r="M113" s="97" t="str">
        <f t="shared" si="159"/>
        <v>9</v>
      </c>
      <c r="N113" s="8">
        <f t="shared" si="160"/>
        <v>11.59990479915772</v>
      </c>
      <c r="O113" s="96" t="str">
        <f t="shared" si="161"/>
        <v>E</v>
      </c>
      <c r="P113" s="8">
        <f t="shared" si="162"/>
        <v>7.1988575898926399</v>
      </c>
      <c r="Q113" s="96" t="str">
        <f t="shared" si="163"/>
        <v>7</v>
      </c>
      <c r="R113" s="8">
        <f t="shared" si="164"/>
        <v>2.3862910787116789</v>
      </c>
      <c r="S113" s="96" t="str">
        <f t="shared" si="165"/>
        <v>2</v>
      </c>
      <c r="T113" s="8">
        <f t="shared" si="166"/>
        <v>4.6354929445401467</v>
      </c>
      <c r="U113" s="96" t="str">
        <f t="shared" si="167"/>
        <v>4</v>
      </c>
      <c r="V113" s="8">
        <f t="shared" si="168"/>
        <v>7.6259153344817605</v>
      </c>
      <c r="W113" s="96" t="str">
        <f t="shared" si="169"/>
        <v>7</v>
      </c>
      <c r="X113" s="8">
        <f t="shared" si="170"/>
        <v>7.5109840137811261</v>
      </c>
      <c r="Y113" s="96" t="str">
        <f t="shared" si="171"/>
        <v>7</v>
      </c>
      <c r="Z113" s="8">
        <f t="shared" si="172"/>
        <v>6.1318081653735135</v>
      </c>
      <c r="AA113" s="96" t="str">
        <f t="shared" si="173"/>
        <v>6</v>
      </c>
      <c r="AB113" s="8">
        <f t="shared" si="174"/>
        <v>1.5816979844821617</v>
      </c>
      <c r="AC113" s="96" t="str">
        <f t="shared" si="175"/>
        <v>1</v>
      </c>
      <c r="AD113" s="8">
        <f t="shared" si="176"/>
        <v>6.9803758137859404</v>
      </c>
      <c r="AE113" s="96" t="str">
        <f t="shared" si="177"/>
        <v>7</v>
      </c>
      <c r="AF113" s="8">
        <f t="shared" si="178"/>
        <v>11.764509765431285</v>
      </c>
      <c r="AG113" s="96" t="str">
        <f t="shared" si="179"/>
        <v/>
      </c>
      <c r="AH113" s="8">
        <f t="shared" si="180"/>
        <v>9.1741171851754189</v>
      </c>
      <c r="AI113" s="96" t="str">
        <f t="shared" si="181"/>
        <v/>
      </c>
      <c r="AJ113" s="8">
        <f t="shared" si="182"/>
        <v>2.0894062221050262</v>
      </c>
      <c r="AK113" s="96" t="str">
        <f t="shared" si="183"/>
        <v/>
      </c>
    </row>
    <row r="114" spans="2:39" x14ac:dyDescent="0.2">
      <c r="B114" s="126"/>
      <c r="C114" s="9" t="s">
        <v>598</v>
      </c>
      <c r="D114" s="198">
        <v>-55</v>
      </c>
      <c r="E114" s="8">
        <v>9</v>
      </c>
      <c r="F114" s="127">
        <f t="shared" si="158"/>
        <v>8.2098852337031332</v>
      </c>
      <c r="G114" s="37" t="str">
        <f t="shared" ref="G114:G133" si="184">M114&amp;";"&amp;O114&amp;Q114&amp;S114&amp;U114&amp;W114&amp;Y114&amp;AA114&amp;AC114&amp;AE114&amp;AG114&amp;AI114&amp;AK114</f>
        <v>0;8262821E5</v>
      </c>
      <c r="H114" s="37"/>
      <c r="I114" s="285"/>
      <c r="J114" s="38">
        <v>1</v>
      </c>
      <c r="K114" s="128">
        <f t="shared" ref="K114:K133" si="185">F114/POWER(12,J114)+0.00000000000001</f>
        <v>0.68415710280860442</v>
      </c>
      <c r="L114" s="39" t="str">
        <f>INDEX(powers!$H$2:$H$75,33+J114)</f>
        <v>dozen</v>
      </c>
      <c r="M114" s="97" t="str">
        <f t="shared" si="159"/>
        <v>0</v>
      </c>
      <c r="N114" s="8">
        <f t="shared" si="160"/>
        <v>8.209885233703254</v>
      </c>
      <c r="O114" s="96" t="str">
        <f t="shared" si="161"/>
        <v>8</v>
      </c>
      <c r="P114" s="8">
        <f t="shared" si="162"/>
        <v>2.5186228044390475</v>
      </c>
      <c r="Q114" s="96" t="str">
        <f t="shared" si="163"/>
        <v>2</v>
      </c>
      <c r="R114" s="8">
        <f t="shared" si="164"/>
        <v>6.2234736532685702</v>
      </c>
      <c r="S114" s="96" t="str">
        <f t="shared" si="165"/>
        <v>6</v>
      </c>
      <c r="T114" s="8">
        <f t="shared" si="166"/>
        <v>2.6816838392228419</v>
      </c>
      <c r="U114" s="96" t="str">
        <f t="shared" si="167"/>
        <v>2</v>
      </c>
      <c r="V114" s="8">
        <f t="shared" si="168"/>
        <v>8.1802060706741031</v>
      </c>
      <c r="W114" s="96" t="str">
        <f t="shared" si="169"/>
        <v>8</v>
      </c>
      <c r="X114" s="8">
        <f t="shared" si="170"/>
        <v>2.1624728480892372</v>
      </c>
      <c r="Y114" s="96" t="str">
        <f t="shared" si="171"/>
        <v>2</v>
      </c>
      <c r="Z114" s="8">
        <f t="shared" si="172"/>
        <v>1.9496741770708468</v>
      </c>
      <c r="AA114" s="96" t="str">
        <f t="shared" si="173"/>
        <v>1</v>
      </c>
      <c r="AB114" s="8">
        <f t="shared" si="174"/>
        <v>11.396090124850161</v>
      </c>
      <c r="AC114" s="96" t="str">
        <f t="shared" si="175"/>
        <v>E</v>
      </c>
      <c r="AD114" s="8">
        <f t="shared" si="176"/>
        <v>4.7530814982019365</v>
      </c>
      <c r="AE114" s="96" t="str">
        <f t="shared" si="177"/>
        <v>5</v>
      </c>
      <c r="AF114" s="8">
        <f t="shared" si="178"/>
        <v>9.0369779784232378</v>
      </c>
      <c r="AG114" s="96" t="str">
        <f t="shared" si="179"/>
        <v/>
      </c>
      <c r="AH114" s="8">
        <f t="shared" si="180"/>
        <v>0.44373574107885361</v>
      </c>
      <c r="AI114" s="96" t="str">
        <f t="shared" si="181"/>
        <v/>
      </c>
      <c r="AJ114" s="8">
        <f t="shared" si="182"/>
        <v>5.3248288929462433</v>
      </c>
      <c r="AK114" s="96" t="str">
        <f t="shared" si="183"/>
        <v/>
      </c>
    </row>
    <row r="115" spans="2:39" x14ac:dyDescent="0.2">
      <c r="B115" s="126"/>
      <c r="C115" s="9" t="s">
        <v>599</v>
      </c>
      <c r="D115" s="198">
        <v>-32</v>
      </c>
      <c r="E115" s="8">
        <v>9</v>
      </c>
      <c r="F115" s="127">
        <f t="shared" si="158"/>
        <v>26.386429200669394</v>
      </c>
      <c r="G115" s="37" t="str">
        <f t="shared" si="184"/>
        <v>2;24778EE4E</v>
      </c>
      <c r="H115" s="37"/>
      <c r="I115" s="285"/>
      <c r="J115" s="38">
        <v>1</v>
      </c>
      <c r="K115" s="128">
        <f t="shared" si="185"/>
        <v>2.1988691000557932</v>
      </c>
      <c r="L115" s="39" t="str">
        <f>INDEX(powers!$H$2:$H$75,33+J115)</f>
        <v>dozen</v>
      </c>
      <c r="M115" s="97" t="str">
        <f t="shared" si="159"/>
        <v>2</v>
      </c>
      <c r="N115" s="8">
        <f t="shared" si="160"/>
        <v>2.386429200669518</v>
      </c>
      <c r="O115" s="96" t="str">
        <f t="shared" si="161"/>
        <v>2</v>
      </c>
      <c r="P115" s="8">
        <f t="shared" si="162"/>
        <v>4.6371504080342163</v>
      </c>
      <c r="Q115" s="96" t="str">
        <f t="shared" si="163"/>
        <v>4</v>
      </c>
      <c r="R115" s="8">
        <f t="shared" si="164"/>
        <v>7.6458048964105956</v>
      </c>
      <c r="S115" s="96" t="str">
        <f t="shared" si="165"/>
        <v>7</v>
      </c>
      <c r="T115" s="8">
        <f t="shared" si="166"/>
        <v>7.7496587569271469</v>
      </c>
      <c r="U115" s="96" t="str">
        <f t="shared" si="167"/>
        <v>7</v>
      </c>
      <c r="V115" s="8">
        <f t="shared" si="168"/>
        <v>8.9959050831257628</v>
      </c>
      <c r="W115" s="96" t="str">
        <f t="shared" si="169"/>
        <v>8</v>
      </c>
      <c r="X115" s="8">
        <f t="shared" si="170"/>
        <v>11.950860997509153</v>
      </c>
      <c r="Y115" s="96" t="str">
        <f t="shared" si="171"/>
        <v>E</v>
      </c>
      <c r="Z115" s="8">
        <f t="shared" si="172"/>
        <v>11.410331970109837</v>
      </c>
      <c r="AA115" s="96" t="str">
        <f t="shared" si="173"/>
        <v>E</v>
      </c>
      <c r="AB115" s="8">
        <f t="shared" si="174"/>
        <v>4.9239836413180456</v>
      </c>
      <c r="AC115" s="96" t="str">
        <f t="shared" si="175"/>
        <v>4</v>
      </c>
      <c r="AD115" s="8">
        <f t="shared" si="176"/>
        <v>11.087803695816547</v>
      </c>
      <c r="AE115" s="96" t="str">
        <f t="shared" si="177"/>
        <v>E</v>
      </c>
      <c r="AF115" s="8">
        <f t="shared" si="178"/>
        <v>1.0536443497985601</v>
      </c>
      <c r="AG115" s="96" t="str">
        <f t="shared" si="179"/>
        <v/>
      </c>
      <c r="AH115" s="8">
        <f t="shared" si="180"/>
        <v>0.64373219758272171</v>
      </c>
      <c r="AI115" s="96" t="str">
        <f t="shared" si="181"/>
        <v/>
      </c>
      <c r="AJ115" s="8">
        <f t="shared" si="182"/>
        <v>7.7247863709926605</v>
      </c>
      <c r="AK115" s="96" t="str">
        <f t="shared" si="183"/>
        <v/>
      </c>
    </row>
    <row r="116" spans="2:39" x14ac:dyDescent="0.2">
      <c r="B116" s="126"/>
      <c r="C116" s="9" t="s">
        <v>600</v>
      </c>
      <c r="D116" s="198">
        <v>-17.8</v>
      </c>
      <c r="E116" s="8">
        <v>9</v>
      </c>
      <c r="F116" s="127">
        <f t="shared" si="158"/>
        <v>37.608469388970306</v>
      </c>
      <c r="G116" s="37" t="str">
        <f t="shared" si="184"/>
        <v>3;1737527X4</v>
      </c>
      <c r="H116" s="37"/>
      <c r="I116" s="285"/>
      <c r="J116" s="38">
        <v>1</v>
      </c>
      <c r="K116" s="128">
        <f t="shared" si="185"/>
        <v>3.1340391157475356</v>
      </c>
      <c r="L116" s="39" t="str">
        <f>INDEX(powers!$H$2:$H$75,33+J116)</f>
        <v>dozen</v>
      </c>
      <c r="M116" s="97" t="str">
        <f t="shared" si="159"/>
        <v>3</v>
      </c>
      <c r="N116" s="8">
        <f t="shared" si="160"/>
        <v>1.6084693889704269</v>
      </c>
      <c r="O116" s="96" t="str">
        <f t="shared" si="161"/>
        <v>1</v>
      </c>
      <c r="P116" s="8">
        <f t="shared" si="162"/>
        <v>7.3016326676451229</v>
      </c>
      <c r="Q116" s="96" t="str">
        <f t="shared" si="163"/>
        <v>7</v>
      </c>
      <c r="R116" s="8">
        <f t="shared" si="164"/>
        <v>3.6195920117414744</v>
      </c>
      <c r="S116" s="96" t="str">
        <f t="shared" si="165"/>
        <v>3</v>
      </c>
      <c r="T116" s="8">
        <f t="shared" si="166"/>
        <v>7.4351041408976926</v>
      </c>
      <c r="U116" s="96" t="str">
        <f t="shared" si="167"/>
        <v>7</v>
      </c>
      <c r="V116" s="8">
        <f t="shared" si="168"/>
        <v>5.2212496907723107</v>
      </c>
      <c r="W116" s="96" t="str">
        <f t="shared" si="169"/>
        <v>5</v>
      </c>
      <c r="X116" s="8">
        <f t="shared" si="170"/>
        <v>2.6549962892677286</v>
      </c>
      <c r="Y116" s="96" t="str">
        <f t="shared" si="171"/>
        <v>2</v>
      </c>
      <c r="Z116" s="8">
        <f t="shared" si="172"/>
        <v>7.8599554712127429</v>
      </c>
      <c r="AA116" s="96" t="str">
        <f t="shared" si="173"/>
        <v>7</v>
      </c>
      <c r="AB116" s="8">
        <f t="shared" si="174"/>
        <v>10.319465654552914</v>
      </c>
      <c r="AC116" s="96" t="str">
        <f t="shared" si="175"/>
        <v>X</v>
      </c>
      <c r="AD116" s="8">
        <f t="shared" si="176"/>
        <v>3.8335878546349704</v>
      </c>
      <c r="AE116" s="96" t="str">
        <f t="shared" si="177"/>
        <v>4</v>
      </c>
      <c r="AF116" s="8">
        <f t="shared" si="178"/>
        <v>10.003054255619645</v>
      </c>
      <c r="AG116" s="96" t="str">
        <f t="shared" si="179"/>
        <v/>
      </c>
      <c r="AH116" s="8">
        <f t="shared" si="180"/>
        <v>3.6651067435741425E-2</v>
      </c>
      <c r="AI116" s="96" t="str">
        <f t="shared" si="181"/>
        <v/>
      </c>
      <c r="AJ116" s="8">
        <f t="shared" si="182"/>
        <v>0.43981280922889709</v>
      </c>
      <c r="AK116" s="96" t="str">
        <f t="shared" si="183"/>
        <v/>
      </c>
    </row>
    <row r="117" spans="2:39" x14ac:dyDescent="0.2">
      <c r="B117" s="126"/>
      <c r="C117" s="9" t="s">
        <v>601</v>
      </c>
      <c r="D117" s="198">
        <v>-9</v>
      </c>
      <c r="E117" s="8">
        <v>9</v>
      </c>
      <c r="F117" s="127">
        <f t="shared" si="158"/>
        <v>44.562973167635661</v>
      </c>
      <c r="G117" s="37" t="str">
        <f t="shared" si="184"/>
        <v>3;8690998X5</v>
      </c>
      <c r="H117" s="37"/>
      <c r="I117" s="285"/>
      <c r="J117" s="38">
        <v>1</v>
      </c>
      <c r="K117" s="128">
        <f t="shared" si="185"/>
        <v>3.7135810973029821</v>
      </c>
      <c r="L117" s="39" t="str">
        <f>INDEX(powers!$H$2:$H$75,33+J117)</f>
        <v>dozen</v>
      </c>
      <c r="M117" s="97" t="str">
        <f t="shared" si="159"/>
        <v>3</v>
      </c>
      <c r="N117" s="8">
        <f t="shared" si="160"/>
        <v>8.5629731676357856</v>
      </c>
      <c r="O117" s="96" t="str">
        <f t="shared" si="161"/>
        <v>8</v>
      </c>
      <c r="P117" s="8">
        <f t="shared" si="162"/>
        <v>6.7556780116294277</v>
      </c>
      <c r="Q117" s="96" t="str">
        <f t="shared" si="163"/>
        <v>6</v>
      </c>
      <c r="R117" s="8">
        <f t="shared" si="164"/>
        <v>9.0681361395531326</v>
      </c>
      <c r="S117" s="96" t="str">
        <f t="shared" si="165"/>
        <v>9</v>
      </c>
      <c r="T117" s="8">
        <f t="shared" si="166"/>
        <v>0.81763367463759096</v>
      </c>
      <c r="U117" s="96" t="str">
        <f t="shared" si="167"/>
        <v>0</v>
      </c>
      <c r="V117" s="8">
        <f t="shared" si="168"/>
        <v>9.8116040956510915</v>
      </c>
      <c r="W117" s="96" t="str">
        <f t="shared" si="169"/>
        <v>9</v>
      </c>
      <c r="X117" s="8">
        <f t="shared" si="170"/>
        <v>9.7392491478130978</v>
      </c>
      <c r="Y117" s="96" t="str">
        <f t="shared" si="171"/>
        <v>9</v>
      </c>
      <c r="Z117" s="8">
        <f t="shared" si="172"/>
        <v>8.8709897737571737</v>
      </c>
      <c r="AA117" s="96" t="str">
        <f t="shared" si="173"/>
        <v>8</v>
      </c>
      <c r="AB117" s="8">
        <f t="shared" si="174"/>
        <v>10.451877285086084</v>
      </c>
      <c r="AC117" s="96" t="str">
        <f t="shared" si="175"/>
        <v>X</v>
      </c>
      <c r="AD117" s="8">
        <f t="shared" si="176"/>
        <v>5.4225274210330099</v>
      </c>
      <c r="AE117" s="96" t="str">
        <f t="shared" si="177"/>
        <v>5</v>
      </c>
      <c r="AF117" s="8">
        <f t="shared" si="178"/>
        <v>5.0703290523961186</v>
      </c>
      <c r="AG117" s="96" t="str">
        <f t="shared" si="179"/>
        <v/>
      </c>
      <c r="AH117" s="8">
        <f t="shared" si="180"/>
        <v>0.84394862875342369</v>
      </c>
      <c r="AI117" s="96" t="str">
        <f t="shared" si="181"/>
        <v/>
      </c>
      <c r="AJ117" s="8">
        <f t="shared" si="182"/>
        <v>10.127383545041084</v>
      </c>
      <c r="AK117" s="96" t="str">
        <f t="shared" si="183"/>
        <v/>
      </c>
    </row>
    <row r="118" spans="2:39" x14ac:dyDescent="0.2">
      <c r="B118" s="126" t="s">
        <v>617</v>
      </c>
      <c r="C118" s="9" t="s">
        <v>602</v>
      </c>
      <c r="D118" s="198">
        <v>0</v>
      </c>
      <c r="E118" s="8">
        <v>9</v>
      </c>
      <c r="F118" s="127">
        <f t="shared" si="158"/>
        <v>51.675533850361596</v>
      </c>
      <c r="G118" s="37" t="str">
        <f t="shared" si="184"/>
        <v>4;38133X533</v>
      </c>
      <c r="H118" s="37"/>
      <c r="I118" s="285"/>
      <c r="J118" s="38">
        <v>1</v>
      </c>
      <c r="K118" s="128">
        <f t="shared" si="185"/>
        <v>4.3062944875301428</v>
      </c>
      <c r="L118" s="39" t="str">
        <f>INDEX(powers!$H$2:$H$75,33+J118)</f>
        <v>dozen</v>
      </c>
      <c r="M118" s="97" t="str">
        <f t="shared" si="159"/>
        <v>4</v>
      </c>
      <c r="N118" s="8">
        <f t="shared" si="160"/>
        <v>3.6755338503617132</v>
      </c>
      <c r="O118" s="96" t="str">
        <f t="shared" si="161"/>
        <v>3</v>
      </c>
      <c r="P118" s="8">
        <f t="shared" si="162"/>
        <v>8.1064062043405585</v>
      </c>
      <c r="Q118" s="96" t="str">
        <f t="shared" si="163"/>
        <v>8</v>
      </c>
      <c r="R118" s="8">
        <f t="shared" si="164"/>
        <v>1.2768744520867017</v>
      </c>
      <c r="S118" s="96" t="str">
        <f t="shared" si="165"/>
        <v>1</v>
      </c>
      <c r="T118" s="8">
        <f t="shared" si="166"/>
        <v>3.3224934250404203</v>
      </c>
      <c r="U118" s="96" t="str">
        <f t="shared" si="167"/>
        <v>3</v>
      </c>
      <c r="V118" s="8">
        <f t="shared" si="168"/>
        <v>3.869921100485044</v>
      </c>
      <c r="W118" s="96" t="str">
        <f t="shared" si="169"/>
        <v>3</v>
      </c>
      <c r="X118" s="8">
        <f t="shared" si="170"/>
        <v>10.439053205820528</v>
      </c>
      <c r="Y118" s="96" t="str">
        <f t="shared" si="171"/>
        <v>X</v>
      </c>
      <c r="Z118" s="8">
        <f t="shared" si="172"/>
        <v>5.2686384698463371</v>
      </c>
      <c r="AA118" s="96" t="str">
        <f t="shared" si="173"/>
        <v>5</v>
      </c>
      <c r="AB118" s="8">
        <f t="shared" si="174"/>
        <v>3.2236616381560452</v>
      </c>
      <c r="AC118" s="96" t="str">
        <f t="shared" si="175"/>
        <v>3</v>
      </c>
      <c r="AD118" s="8">
        <f t="shared" si="176"/>
        <v>2.6839396578725427</v>
      </c>
      <c r="AE118" s="96" t="str">
        <f t="shared" si="177"/>
        <v>3</v>
      </c>
      <c r="AF118" s="8">
        <f t="shared" si="178"/>
        <v>8.2072758944705129</v>
      </c>
      <c r="AG118" s="96" t="str">
        <f t="shared" si="179"/>
        <v/>
      </c>
      <c r="AH118" s="8">
        <f t="shared" si="180"/>
        <v>2.4873107336461544</v>
      </c>
      <c r="AI118" s="96" t="str">
        <f t="shared" si="181"/>
        <v/>
      </c>
      <c r="AJ118" s="8">
        <f t="shared" si="182"/>
        <v>5.8477288037538528</v>
      </c>
      <c r="AK118" s="96" t="str">
        <f t="shared" si="183"/>
        <v/>
      </c>
      <c r="AL118" s="238">
        <f>5*12+1+5/12</f>
        <v>61.416666666666664</v>
      </c>
      <c r="AM118" s="238">
        <f t="shared" ref="AM118:AM120" si="186">-AL118*F$6*20736+D118</f>
        <v>-77.714626933510445</v>
      </c>
    </row>
    <row r="119" spans="2:39" x14ac:dyDescent="0.2">
      <c r="B119" s="126" t="s">
        <v>626</v>
      </c>
      <c r="C119" s="9" t="s">
        <v>627</v>
      </c>
      <c r="D119" s="198">
        <v>8.8999999999999995E-5</v>
      </c>
      <c r="E119" s="8">
        <v>9</v>
      </c>
      <c r="F119" s="127">
        <f t="shared" si="158"/>
        <v>51.675604185683895</v>
      </c>
      <c r="G119" s="37" t="str">
        <f t="shared" si="184"/>
        <v>4;381353E36</v>
      </c>
      <c r="H119" s="37"/>
      <c r="I119" s="285"/>
      <c r="J119" s="38">
        <v>1</v>
      </c>
      <c r="K119" s="128">
        <f t="shared" si="185"/>
        <v>4.3063003488070013</v>
      </c>
      <c r="L119" s="39" t="str">
        <f>INDEX(powers!$H$2:$H$75,33+J119)</f>
        <v>dozen</v>
      </c>
      <c r="M119" s="97" t="str">
        <f t="shared" si="159"/>
        <v>4</v>
      </c>
      <c r="N119" s="8">
        <f t="shared" si="160"/>
        <v>3.6756041856840156</v>
      </c>
      <c r="O119" s="96" t="str">
        <f t="shared" si="161"/>
        <v>3</v>
      </c>
      <c r="P119" s="8">
        <f t="shared" si="162"/>
        <v>8.1072502282081871</v>
      </c>
      <c r="Q119" s="96" t="str">
        <f t="shared" si="163"/>
        <v>8</v>
      </c>
      <c r="R119" s="8">
        <f t="shared" si="164"/>
        <v>1.287002738498245</v>
      </c>
      <c r="S119" s="96" t="str">
        <f t="shared" si="165"/>
        <v>1</v>
      </c>
      <c r="T119" s="8">
        <f t="shared" si="166"/>
        <v>3.4440328619789398</v>
      </c>
      <c r="U119" s="96" t="str">
        <f t="shared" si="167"/>
        <v>3</v>
      </c>
      <c r="V119" s="8">
        <f t="shared" si="168"/>
        <v>5.3283943437472772</v>
      </c>
      <c r="W119" s="96" t="str">
        <f t="shared" si="169"/>
        <v>5</v>
      </c>
      <c r="X119" s="8">
        <f t="shared" si="170"/>
        <v>3.9407321249673259</v>
      </c>
      <c r="Y119" s="96" t="str">
        <f t="shared" si="171"/>
        <v>3</v>
      </c>
      <c r="Z119" s="8">
        <f t="shared" si="172"/>
        <v>11.288785499607911</v>
      </c>
      <c r="AA119" s="96" t="str">
        <f t="shared" si="173"/>
        <v>E</v>
      </c>
      <c r="AB119" s="8">
        <f t="shared" si="174"/>
        <v>3.465425995294936</v>
      </c>
      <c r="AC119" s="96" t="str">
        <f t="shared" si="175"/>
        <v>3</v>
      </c>
      <c r="AD119" s="8">
        <f t="shared" si="176"/>
        <v>5.585111943539232</v>
      </c>
      <c r="AE119" s="96" t="str">
        <f t="shared" si="177"/>
        <v>6</v>
      </c>
      <c r="AF119" s="8">
        <f t="shared" si="178"/>
        <v>7.0213433224707842</v>
      </c>
      <c r="AG119" s="96" t="str">
        <f t="shared" si="179"/>
        <v/>
      </c>
      <c r="AH119" s="8">
        <f t="shared" si="180"/>
        <v>0.25611986964941025</v>
      </c>
      <c r="AI119" s="96" t="str">
        <f t="shared" si="181"/>
        <v/>
      </c>
      <c r="AJ119" s="8">
        <f t="shared" si="182"/>
        <v>3.073438435792923</v>
      </c>
      <c r="AK119" s="96" t="str">
        <f t="shared" si="183"/>
        <v/>
      </c>
      <c r="AL119" s="238">
        <f>5*12+1+5/12</f>
        <v>61.416666666666664</v>
      </c>
      <c r="AM119" s="238">
        <f t="shared" si="186"/>
        <v>-77.714537933510442</v>
      </c>
    </row>
    <row r="120" spans="2:39" x14ac:dyDescent="0.2">
      <c r="B120" s="126" t="s">
        <v>618</v>
      </c>
      <c r="C120" s="9" t="s">
        <v>612</v>
      </c>
      <c r="D120" s="198">
        <v>0.01</v>
      </c>
      <c r="E120" s="8">
        <v>9</v>
      </c>
      <c r="F120" s="127">
        <f t="shared" si="158"/>
        <v>51.683436695564623</v>
      </c>
      <c r="G120" s="37" t="str">
        <f t="shared" si="184"/>
        <v>4;3824E8E05</v>
      </c>
      <c r="H120" s="37"/>
      <c r="I120" s="285"/>
      <c r="J120" s="38">
        <v>1</v>
      </c>
      <c r="K120" s="128">
        <f t="shared" si="185"/>
        <v>4.3069530579637281</v>
      </c>
      <c r="L120" s="39" t="str">
        <f>INDEX(powers!$H$2:$H$75,33+J120)</f>
        <v>dozen</v>
      </c>
      <c r="M120" s="97" t="str">
        <f t="shared" si="159"/>
        <v>4</v>
      </c>
      <c r="N120" s="8">
        <f t="shared" si="160"/>
        <v>3.6834366955647369</v>
      </c>
      <c r="O120" s="96" t="str">
        <f t="shared" si="161"/>
        <v>3</v>
      </c>
      <c r="P120" s="8">
        <f t="shared" si="162"/>
        <v>8.2012403467768422</v>
      </c>
      <c r="Q120" s="96" t="str">
        <f t="shared" si="163"/>
        <v>8</v>
      </c>
      <c r="R120" s="8">
        <f t="shared" si="164"/>
        <v>2.4148841613221066</v>
      </c>
      <c r="S120" s="96" t="str">
        <f t="shared" si="165"/>
        <v>2</v>
      </c>
      <c r="T120" s="8">
        <f t="shared" si="166"/>
        <v>4.9786099358652791</v>
      </c>
      <c r="U120" s="96" t="str">
        <f t="shared" si="167"/>
        <v>4</v>
      </c>
      <c r="V120" s="8">
        <f t="shared" si="168"/>
        <v>11.743319230383349</v>
      </c>
      <c r="W120" s="96" t="str">
        <f t="shared" si="169"/>
        <v>E</v>
      </c>
      <c r="X120" s="8">
        <f t="shared" si="170"/>
        <v>8.9198307646001922</v>
      </c>
      <c r="Y120" s="96" t="str">
        <f t="shared" si="171"/>
        <v>8</v>
      </c>
      <c r="Z120" s="8">
        <f t="shared" si="172"/>
        <v>11.037969175202306</v>
      </c>
      <c r="AA120" s="96" t="str">
        <f t="shared" si="173"/>
        <v>E</v>
      </c>
      <c r="AB120" s="8">
        <f t="shared" si="174"/>
        <v>0.45563010242767632</v>
      </c>
      <c r="AC120" s="96" t="str">
        <f t="shared" si="175"/>
        <v>0</v>
      </c>
      <c r="AD120" s="8">
        <f t="shared" si="176"/>
        <v>5.4675612291321158</v>
      </c>
      <c r="AE120" s="96" t="str">
        <f t="shared" si="177"/>
        <v>5</v>
      </c>
      <c r="AF120" s="8">
        <f t="shared" si="178"/>
        <v>5.6107347495853901</v>
      </c>
      <c r="AG120" s="96" t="str">
        <f t="shared" si="179"/>
        <v/>
      </c>
      <c r="AH120" s="8">
        <f t="shared" si="180"/>
        <v>7.3288169950246811</v>
      </c>
      <c r="AI120" s="96" t="str">
        <f t="shared" si="181"/>
        <v/>
      </c>
      <c r="AJ120" s="8">
        <f t="shared" si="182"/>
        <v>3.9458039402961731</v>
      </c>
      <c r="AK120" s="96" t="str">
        <f t="shared" si="183"/>
        <v/>
      </c>
      <c r="AL120" s="238">
        <f>5*12+1+5/12</f>
        <v>61.416666666666664</v>
      </c>
      <c r="AM120" s="238">
        <f t="shared" si="186"/>
        <v>-77.70462693351044</v>
      </c>
    </row>
    <row r="121" spans="2:39" x14ac:dyDescent="0.2">
      <c r="B121" s="126" t="s">
        <v>620</v>
      </c>
      <c r="C121" s="9" t="s">
        <v>603</v>
      </c>
      <c r="D121" s="198">
        <v>3.98</v>
      </c>
      <c r="E121" s="8">
        <v>9</v>
      </c>
      <c r="F121" s="127">
        <f t="shared" si="158"/>
        <v>54.82086624116706</v>
      </c>
      <c r="G121" s="37" t="str">
        <f t="shared" si="184"/>
        <v>4;69X255957</v>
      </c>
      <c r="H121" s="37"/>
      <c r="I121" s="285"/>
      <c r="J121" s="38">
        <v>1</v>
      </c>
      <c r="K121" s="128">
        <f t="shared" si="185"/>
        <v>4.5684055200972651</v>
      </c>
      <c r="L121" s="39" t="str">
        <f>INDEX(powers!$H$2:$H$75,33+J121)</f>
        <v>dozen</v>
      </c>
      <c r="M121" s="97" t="str">
        <f t="shared" si="159"/>
        <v>4</v>
      </c>
      <c r="N121" s="8">
        <f t="shared" si="160"/>
        <v>6.820866241167181</v>
      </c>
      <c r="O121" s="96" t="str">
        <f t="shared" si="161"/>
        <v>6</v>
      </c>
      <c r="P121" s="8">
        <f t="shared" si="162"/>
        <v>9.8503948940061719</v>
      </c>
      <c r="Q121" s="96" t="str">
        <f t="shared" si="163"/>
        <v>9</v>
      </c>
      <c r="R121" s="8">
        <f t="shared" si="164"/>
        <v>10.204738728074062</v>
      </c>
      <c r="S121" s="96" t="str">
        <f t="shared" si="165"/>
        <v>X</v>
      </c>
      <c r="T121" s="8">
        <f t="shared" si="166"/>
        <v>2.4568647368887468</v>
      </c>
      <c r="U121" s="96" t="str">
        <f t="shared" si="167"/>
        <v>2</v>
      </c>
      <c r="V121" s="8">
        <f t="shared" si="168"/>
        <v>5.4823768426649622</v>
      </c>
      <c r="W121" s="96" t="str">
        <f t="shared" si="169"/>
        <v>5</v>
      </c>
      <c r="X121" s="8">
        <f t="shared" si="170"/>
        <v>5.788522111979546</v>
      </c>
      <c r="Y121" s="96" t="str">
        <f t="shared" si="171"/>
        <v>5</v>
      </c>
      <c r="Z121" s="8">
        <f t="shared" si="172"/>
        <v>9.4622653437545523</v>
      </c>
      <c r="AA121" s="96" t="str">
        <f t="shared" si="173"/>
        <v>9</v>
      </c>
      <c r="AB121" s="8">
        <f t="shared" si="174"/>
        <v>5.5471841250546277</v>
      </c>
      <c r="AC121" s="96" t="str">
        <f t="shared" si="175"/>
        <v>5</v>
      </c>
      <c r="AD121" s="8">
        <f t="shared" si="176"/>
        <v>6.5662095006555319</v>
      </c>
      <c r="AE121" s="96" t="str">
        <f t="shared" si="177"/>
        <v>7</v>
      </c>
      <c r="AF121" s="8">
        <f t="shared" si="178"/>
        <v>6.7945140078663826</v>
      </c>
      <c r="AG121" s="96" t="str">
        <f t="shared" si="179"/>
        <v/>
      </c>
      <c r="AH121" s="8">
        <f t="shared" si="180"/>
        <v>9.5341680943965912</v>
      </c>
      <c r="AI121" s="96" t="str">
        <f t="shared" si="181"/>
        <v/>
      </c>
      <c r="AJ121" s="8">
        <f t="shared" si="182"/>
        <v>6.4100171327590942</v>
      </c>
      <c r="AK121" s="96" t="str">
        <f t="shared" si="183"/>
        <v/>
      </c>
    </row>
    <row r="122" spans="2:39" x14ac:dyDescent="0.2">
      <c r="B122" s="126"/>
      <c r="C122" s="9" t="s">
        <v>604</v>
      </c>
      <c r="D122" s="198">
        <v>14</v>
      </c>
      <c r="E122" s="8">
        <v>9</v>
      </c>
      <c r="F122" s="127">
        <f t="shared" si="158"/>
        <v>62.739517134601925</v>
      </c>
      <c r="G122" s="37" t="str">
        <f t="shared" si="184"/>
        <v>5;28X5X763</v>
      </c>
      <c r="H122" s="37"/>
      <c r="I122" s="285"/>
      <c r="J122" s="38">
        <v>1</v>
      </c>
      <c r="K122" s="128">
        <f t="shared" si="185"/>
        <v>5.2282930945501702</v>
      </c>
      <c r="L122" s="39" t="str">
        <f>INDEX(powers!$H$2:$H$75,33+J122)</f>
        <v>dozen</v>
      </c>
      <c r="M122" s="97" t="str">
        <f t="shared" si="159"/>
        <v>5</v>
      </c>
      <c r="N122" s="8">
        <f t="shared" si="160"/>
        <v>2.7395171346020426</v>
      </c>
      <c r="O122" s="96" t="str">
        <f t="shared" si="161"/>
        <v>2</v>
      </c>
      <c r="P122" s="8">
        <f t="shared" si="162"/>
        <v>8.8742056152245112</v>
      </c>
      <c r="Q122" s="96" t="str">
        <f t="shared" si="163"/>
        <v>8</v>
      </c>
      <c r="R122" s="8">
        <f t="shared" si="164"/>
        <v>10.490467382694135</v>
      </c>
      <c r="S122" s="96" t="str">
        <f t="shared" si="165"/>
        <v>X</v>
      </c>
      <c r="T122" s="8">
        <f t="shared" si="166"/>
        <v>5.8856085923296177</v>
      </c>
      <c r="U122" s="96" t="str">
        <f t="shared" si="167"/>
        <v>5</v>
      </c>
      <c r="V122" s="8">
        <f t="shared" si="168"/>
        <v>10.627303107955413</v>
      </c>
      <c r="W122" s="96" t="str">
        <f t="shared" si="169"/>
        <v>X</v>
      </c>
      <c r="X122" s="8">
        <f t="shared" si="170"/>
        <v>7.527637295464956</v>
      </c>
      <c r="Y122" s="96" t="str">
        <f t="shared" si="171"/>
        <v>7</v>
      </c>
      <c r="Z122" s="8">
        <f t="shared" si="172"/>
        <v>6.3316475455794716</v>
      </c>
      <c r="AA122" s="96" t="str">
        <f t="shared" si="173"/>
        <v>6</v>
      </c>
      <c r="AB122" s="8">
        <f t="shared" si="174"/>
        <v>3.9797705469536595</v>
      </c>
      <c r="AC122" s="96" t="str">
        <f t="shared" si="175"/>
        <v>3</v>
      </c>
      <c r="AD122" s="8">
        <f t="shared" si="176"/>
        <v>11.757246563443914</v>
      </c>
      <c r="AE122" s="96" t="str">
        <f t="shared" si="177"/>
        <v/>
      </c>
      <c r="AF122" s="8">
        <f t="shared" si="178"/>
        <v>9.0869587613269687</v>
      </c>
      <c r="AG122" s="96" t="str">
        <f t="shared" si="179"/>
        <v/>
      </c>
      <c r="AH122" s="8">
        <f t="shared" si="180"/>
        <v>1.043505135923624</v>
      </c>
      <c r="AI122" s="96" t="str">
        <f t="shared" si="181"/>
        <v/>
      </c>
      <c r="AJ122" s="8">
        <f t="shared" si="182"/>
        <v>0.52206163108348846</v>
      </c>
      <c r="AK122" s="96" t="str">
        <f t="shared" si="183"/>
        <v/>
      </c>
    </row>
    <row r="123" spans="2:39" x14ac:dyDescent="0.2">
      <c r="B123" s="126"/>
      <c r="C123" s="9" t="s">
        <v>624</v>
      </c>
      <c r="D123" s="198">
        <v>15</v>
      </c>
      <c r="E123" s="8">
        <v>9</v>
      </c>
      <c r="F123" s="127">
        <f t="shared" si="158"/>
        <v>63.529801654904809</v>
      </c>
      <c r="G123" s="37" t="str">
        <f t="shared" si="184"/>
        <v>5;36435E732</v>
      </c>
      <c r="H123" s="37"/>
      <c r="I123" s="285"/>
      <c r="J123" s="38">
        <v>1</v>
      </c>
      <c r="K123" s="128">
        <f t="shared" si="185"/>
        <v>5.2941501379087441</v>
      </c>
      <c r="L123" s="39" t="str">
        <f>INDEX(powers!$H$2:$H$75,33+J123)</f>
        <v>dozen</v>
      </c>
      <c r="M123" s="97" t="str">
        <f t="shared" si="159"/>
        <v>5</v>
      </c>
      <c r="N123" s="8">
        <f t="shared" si="160"/>
        <v>3.5298016549049294</v>
      </c>
      <c r="O123" s="96" t="str">
        <f t="shared" si="161"/>
        <v>3</v>
      </c>
      <c r="P123" s="8">
        <f t="shared" si="162"/>
        <v>6.3576198588591524</v>
      </c>
      <c r="Q123" s="96" t="str">
        <f t="shared" si="163"/>
        <v>6</v>
      </c>
      <c r="R123" s="8">
        <f t="shared" si="164"/>
        <v>4.2914383063098285</v>
      </c>
      <c r="S123" s="96" t="str">
        <f t="shared" si="165"/>
        <v>4</v>
      </c>
      <c r="T123" s="8">
        <f t="shared" si="166"/>
        <v>3.4972596757179417</v>
      </c>
      <c r="U123" s="96" t="str">
        <f t="shared" si="167"/>
        <v>3</v>
      </c>
      <c r="V123" s="8">
        <f t="shared" si="168"/>
        <v>5.9671161086153006</v>
      </c>
      <c r="W123" s="96" t="str">
        <f t="shared" si="169"/>
        <v>5</v>
      </c>
      <c r="X123" s="8">
        <f t="shared" si="170"/>
        <v>11.605393303383607</v>
      </c>
      <c r="Y123" s="96" t="str">
        <f t="shared" si="171"/>
        <v>E</v>
      </c>
      <c r="Z123" s="8">
        <f t="shared" si="172"/>
        <v>7.264719640603289</v>
      </c>
      <c r="AA123" s="96" t="str">
        <f t="shared" si="173"/>
        <v>7</v>
      </c>
      <c r="AB123" s="8">
        <f t="shared" si="174"/>
        <v>3.1766356872394681</v>
      </c>
      <c r="AC123" s="96" t="str">
        <f t="shared" si="175"/>
        <v>3</v>
      </c>
      <c r="AD123" s="8">
        <f t="shared" si="176"/>
        <v>2.1196282468736172</v>
      </c>
      <c r="AE123" s="96" t="str">
        <f t="shared" si="177"/>
        <v>2</v>
      </c>
      <c r="AF123" s="8">
        <f t="shared" si="178"/>
        <v>1.4355389624834061</v>
      </c>
      <c r="AG123" s="96" t="str">
        <f t="shared" si="179"/>
        <v/>
      </c>
      <c r="AH123" s="8">
        <f t="shared" si="180"/>
        <v>5.2264675498008728</v>
      </c>
      <c r="AI123" s="96" t="str">
        <f t="shared" si="181"/>
        <v/>
      </c>
      <c r="AJ123" s="8">
        <f t="shared" si="182"/>
        <v>2.7176105976104736</v>
      </c>
      <c r="AK123" s="96" t="str">
        <f t="shared" si="183"/>
        <v/>
      </c>
      <c r="AL123" s="238">
        <f>6*12+1+9/12+8/144+3/1728</f>
        <v>73.807291666666671</v>
      </c>
      <c r="AM123" s="238">
        <f t="shared" ref="AM123" si="187">-AL123*F$6*20736+D123</f>
        <v>-78.393315661022456</v>
      </c>
    </row>
    <row r="124" spans="2:39" x14ac:dyDescent="0.2">
      <c r="B124" s="126"/>
      <c r="C124" s="9" t="s">
        <v>605</v>
      </c>
      <c r="D124" s="198">
        <v>20</v>
      </c>
      <c r="E124" s="8">
        <v>9</v>
      </c>
      <c r="F124" s="127">
        <f t="shared" si="158"/>
        <v>67.48122425641921</v>
      </c>
      <c r="G124" s="37" t="str">
        <f t="shared" si="184"/>
        <v>5;759367EE2</v>
      </c>
      <c r="H124" s="37"/>
      <c r="I124" s="285"/>
      <c r="J124" s="38">
        <v>1</v>
      </c>
      <c r="K124" s="128">
        <f t="shared" si="185"/>
        <v>5.6234353547016109</v>
      </c>
      <c r="L124" s="39" t="str">
        <f>INDEX(powers!$H$2:$H$75,33+J124)</f>
        <v>dozen</v>
      </c>
      <c r="M124" s="97" t="str">
        <f t="shared" si="159"/>
        <v>5</v>
      </c>
      <c r="N124" s="8">
        <f t="shared" si="160"/>
        <v>7.4812242564193312</v>
      </c>
      <c r="O124" s="96" t="str">
        <f t="shared" si="161"/>
        <v>7</v>
      </c>
      <c r="P124" s="8">
        <f t="shared" si="162"/>
        <v>5.7746910770319744</v>
      </c>
      <c r="Q124" s="96" t="str">
        <f t="shared" si="163"/>
        <v>5</v>
      </c>
      <c r="R124" s="8">
        <f t="shared" si="164"/>
        <v>9.2962929243836925</v>
      </c>
      <c r="S124" s="96" t="str">
        <f t="shared" si="165"/>
        <v>9</v>
      </c>
      <c r="T124" s="8">
        <f t="shared" si="166"/>
        <v>3.5555150926043098</v>
      </c>
      <c r="U124" s="96" t="str">
        <f t="shared" si="167"/>
        <v>3</v>
      </c>
      <c r="V124" s="8">
        <f t="shared" si="168"/>
        <v>6.6661811112517171</v>
      </c>
      <c r="W124" s="96" t="str">
        <f t="shared" si="169"/>
        <v>6</v>
      </c>
      <c r="X124" s="8">
        <f t="shared" si="170"/>
        <v>7.994173335020605</v>
      </c>
      <c r="Y124" s="96" t="str">
        <f t="shared" si="171"/>
        <v>7</v>
      </c>
      <c r="Z124" s="8">
        <f t="shared" si="172"/>
        <v>11.93008002024726</v>
      </c>
      <c r="AA124" s="96" t="str">
        <f t="shared" si="173"/>
        <v>E</v>
      </c>
      <c r="AB124" s="8">
        <f t="shared" si="174"/>
        <v>11.160960242967121</v>
      </c>
      <c r="AC124" s="96" t="str">
        <f t="shared" si="175"/>
        <v>E</v>
      </c>
      <c r="AD124" s="8">
        <f t="shared" si="176"/>
        <v>1.9315229156054556</v>
      </c>
      <c r="AE124" s="96" t="str">
        <f t="shared" si="177"/>
        <v>2</v>
      </c>
      <c r="AF124" s="8">
        <f t="shared" si="178"/>
        <v>11.178274987265468</v>
      </c>
      <c r="AG124" s="96" t="str">
        <f t="shared" si="179"/>
        <v/>
      </c>
      <c r="AH124" s="8">
        <f t="shared" si="180"/>
        <v>2.1392998471856117</v>
      </c>
      <c r="AI124" s="96" t="str">
        <f t="shared" si="181"/>
        <v/>
      </c>
      <c r="AJ124" s="8">
        <f t="shared" si="182"/>
        <v>1.6715981662273407</v>
      </c>
      <c r="AK124" s="96" t="str">
        <f t="shared" si="183"/>
        <v/>
      </c>
    </row>
    <row r="125" spans="2:39" x14ac:dyDescent="0.2">
      <c r="B125" s="126"/>
      <c r="C125" s="9" t="s">
        <v>625</v>
      </c>
      <c r="D125" s="198">
        <v>25.5</v>
      </c>
      <c r="E125" s="8">
        <v>9</v>
      </c>
      <c r="F125" s="127">
        <f t="shared" si="158"/>
        <v>71.827789118085065</v>
      </c>
      <c r="G125" s="37" t="str">
        <f t="shared" si="184"/>
        <v>5;E9E250509</v>
      </c>
      <c r="H125" s="37"/>
      <c r="I125" s="285"/>
      <c r="J125" s="38">
        <v>1</v>
      </c>
      <c r="K125" s="128">
        <f t="shared" si="185"/>
        <v>5.9856490931737651</v>
      </c>
      <c r="L125" s="39" t="str">
        <f>INDEX(powers!$H$2:$H$75,33+J125)</f>
        <v>dozen</v>
      </c>
      <c r="M125" s="97" t="str">
        <f t="shared" si="159"/>
        <v>5</v>
      </c>
      <c r="N125" s="8">
        <f t="shared" si="160"/>
        <v>11.827789118085182</v>
      </c>
      <c r="O125" s="96" t="str">
        <f t="shared" si="161"/>
        <v>E</v>
      </c>
      <c r="P125" s="8">
        <f t="shared" si="162"/>
        <v>9.9334694170221809</v>
      </c>
      <c r="Q125" s="96" t="str">
        <f t="shared" si="163"/>
        <v>9</v>
      </c>
      <c r="R125" s="8">
        <f t="shared" si="164"/>
        <v>11.201633004266171</v>
      </c>
      <c r="S125" s="96" t="str">
        <f t="shared" si="165"/>
        <v>E</v>
      </c>
      <c r="T125" s="8">
        <f t="shared" si="166"/>
        <v>2.4195960511940484</v>
      </c>
      <c r="U125" s="96" t="str">
        <f t="shared" si="167"/>
        <v>2</v>
      </c>
      <c r="V125" s="8">
        <f t="shared" si="168"/>
        <v>5.035152614328581</v>
      </c>
      <c r="W125" s="96" t="str">
        <f t="shared" si="169"/>
        <v>5</v>
      </c>
      <c r="X125" s="8">
        <f t="shared" si="170"/>
        <v>0.4218313719429716</v>
      </c>
      <c r="Y125" s="96" t="str">
        <f t="shared" si="171"/>
        <v>0</v>
      </c>
      <c r="Z125" s="8">
        <f t="shared" si="172"/>
        <v>5.0619764633156592</v>
      </c>
      <c r="AA125" s="96" t="str">
        <f t="shared" si="173"/>
        <v>5</v>
      </c>
      <c r="AB125" s="8">
        <f t="shared" si="174"/>
        <v>0.74371755978791043</v>
      </c>
      <c r="AC125" s="96" t="str">
        <f t="shared" si="175"/>
        <v>0</v>
      </c>
      <c r="AD125" s="8">
        <f t="shared" si="176"/>
        <v>8.9246107174549252</v>
      </c>
      <c r="AE125" s="96" t="str">
        <f t="shared" si="177"/>
        <v>9</v>
      </c>
      <c r="AF125" s="8">
        <f t="shared" si="178"/>
        <v>11.095328609459102</v>
      </c>
      <c r="AG125" s="96" t="str">
        <f t="shared" si="179"/>
        <v/>
      </c>
      <c r="AH125" s="8">
        <f t="shared" si="180"/>
        <v>1.1439433135092258</v>
      </c>
      <c r="AI125" s="96" t="str">
        <f t="shared" si="181"/>
        <v/>
      </c>
      <c r="AJ125" s="8">
        <f t="shared" si="182"/>
        <v>1.7273197621107101</v>
      </c>
      <c r="AK125" s="96" t="str">
        <f t="shared" si="183"/>
        <v/>
      </c>
      <c r="AL125" s="238">
        <f>6*12+10+6/12</f>
        <v>82.5</v>
      </c>
      <c r="AM125" s="238">
        <f t="shared" ref="AM125" si="188">-AL125*F$6*20736+D125</f>
        <v>-78.892782447999124</v>
      </c>
    </row>
    <row r="126" spans="2:39" x14ac:dyDescent="0.2">
      <c r="B126" s="91"/>
      <c r="C126" s="9" t="s">
        <v>606</v>
      </c>
      <c r="D126" s="198">
        <v>37</v>
      </c>
      <c r="E126" s="8">
        <v>9</v>
      </c>
      <c r="F126" s="127">
        <f t="shared" si="158"/>
        <v>80.916061101568189</v>
      </c>
      <c r="G126" s="37" t="str">
        <f t="shared" si="184"/>
        <v>6;8XEXE5396</v>
      </c>
      <c r="H126" s="37"/>
      <c r="I126" s="285"/>
      <c r="J126" s="38">
        <v>1</v>
      </c>
      <c r="K126" s="128">
        <f t="shared" si="185"/>
        <v>6.7430050917973592</v>
      </c>
      <c r="L126" s="39" t="str">
        <f>INDEX(powers!$H$2:$H$75,33+J126)</f>
        <v>dozen</v>
      </c>
      <c r="M126" s="97" t="str">
        <f t="shared" si="159"/>
        <v>6</v>
      </c>
      <c r="N126" s="8">
        <f t="shared" si="160"/>
        <v>8.9160611015683102</v>
      </c>
      <c r="O126" s="96" t="str">
        <f t="shared" si="161"/>
        <v>8</v>
      </c>
      <c r="P126" s="8">
        <f t="shared" si="162"/>
        <v>10.992733218819723</v>
      </c>
      <c r="Q126" s="96" t="str">
        <f t="shared" si="163"/>
        <v>X</v>
      </c>
      <c r="R126" s="8">
        <f t="shared" si="164"/>
        <v>11.912798625836672</v>
      </c>
      <c r="S126" s="96" t="str">
        <f t="shared" si="165"/>
        <v>E</v>
      </c>
      <c r="T126" s="8">
        <f t="shared" si="166"/>
        <v>10.953583510040062</v>
      </c>
      <c r="U126" s="96" t="str">
        <f t="shared" si="167"/>
        <v>X</v>
      </c>
      <c r="V126" s="8">
        <f t="shared" si="168"/>
        <v>11.443002120480742</v>
      </c>
      <c r="W126" s="96" t="str">
        <f t="shared" si="169"/>
        <v>E</v>
      </c>
      <c r="X126" s="8">
        <f t="shared" si="170"/>
        <v>5.3160254457689007</v>
      </c>
      <c r="Y126" s="96" t="str">
        <f t="shared" si="171"/>
        <v>5</v>
      </c>
      <c r="Z126" s="8">
        <f t="shared" si="172"/>
        <v>3.7923053492268082</v>
      </c>
      <c r="AA126" s="96" t="str">
        <f t="shared" si="173"/>
        <v>3</v>
      </c>
      <c r="AB126" s="8">
        <f t="shared" si="174"/>
        <v>9.5076641907216981</v>
      </c>
      <c r="AC126" s="96" t="str">
        <f t="shared" si="175"/>
        <v>9</v>
      </c>
      <c r="AD126" s="8">
        <f t="shared" si="176"/>
        <v>6.0919702886603773</v>
      </c>
      <c r="AE126" s="96" t="str">
        <f t="shared" si="177"/>
        <v>6</v>
      </c>
      <c r="AF126" s="8">
        <f t="shared" si="178"/>
        <v>1.1036434639245272</v>
      </c>
      <c r="AG126" s="96" t="str">
        <f t="shared" si="179"/>
        <v/>
      </c>
      <c r="AH126" s="8">
        <f t="shared" si="180"/>
        <v>1.243721567094326</v>
      </c>
      <c r="AI126" s="96" t="str">
        <f t="shared" si="181"/>
        <v/>
      </c>
      <c r="AJ126" s="8">
        <f t="shared" si="182"/>
        <v>2.9246588051319122</v>
      </c>
      <c r="AK126" s="96" t="str">
        <f t="shared" si="183"/>
        <v/>
      </c>
    </row>
    <row r="127" spans="2:39" x14ac:dyDescent="0.2">
      <c r="B127" s="126"/>
      <c r="C127" s="9" t="s">
        <v>607</v>
      </c>
      <c r="D127" s="198">
        <v>37.799999999999997</v>
      </c>
      <c r="E127" s="8">
        <v>9</v>
      </c>
      <c r="F127" s="127">
        <f t="shared" si="158"/>
        <v>81.548288717810493</v>
      </c>
      <c r="G127" s="37" t="str">
        <f t="shared" si="184"/>
        <v>6;966E53941</v>
      </c>
      <c r="H127" s="37"/>
      <c r="I127" s="285"/>
      <c r="J127" s="38">
        <v>1</v>
      </c>
      <c r="K127" s="128">
        <f t="shared" si="185"/>
        <v>6.7956907264842172</v>
      </c>
      <c r="L127" s="39" t="str">
        <f>INDEX(powers!$H$2:$H$75,33+J127)</f>
        <v>dozen</v>
      </c>
      <c r="M127" s="97" t="str">
        <f t="shared" si="159"/>
        <v>6</v>
      </c>
      <c r="N127" s="8">
        <f t="shared" si="160"/>
        <v>9.5482887178106068</v>
      </c>
      <c r="O127" s="96" t="str">
        <f t="shared" si="161"/>
        <v>9</v>
      </c>
      <c r="P127" s="8">
        <f t="shared" si="162"/>
        <v>6.5794646137272821</v>
      </c>
      <c r="Q127" s="96" t="str">
        <f t="shared" si="163"/>
        <v>6</v>
      </c>
      <c r="R127" s="8">
        <f t="shared" si="164"/>
        <v>6.953575364727385</v>
      </c>
      <c r="S127" s="96" t="str">
        <f t="shared" si="165"/>
        <v>6</v>
      </c>
      <c r="T127" s="8">
        <f t="shared" si="166"/>
        <v>11.44290437672862</v>
      </c>
      <c r="U127" s="96" t="str">
        <f t="shared" si="167"/>
        <v>E</v>
      </c>
      <c r="V127" s="8">
        <f t="shared" si="168"/>
        <v>5.3148525207434432</v>
      </c>
      <c r="W127" s="96" t="str">
        <f t="shared" si="169"/>
        <v>5</v>
      </c>
      <c r="X127" s="8">
        <f t="shared" si="170"/>
        <v>3.778230248921318</v>
      </c>
      <c r="Y127" s="96" t="str">
        <f t="shared" si="171"/>
        <v>3</v>
      </c>
      <c r="Z127" s="8">
        <f t="shared" si="172"/>
        <v>9.3387629870558158</v>
      </c>
      <c r="AA127" s="96" t="str">
        <f t="shared" si="173"/>
        <v>9</v>
      </c>
      <c r="AB127" s="8">
        <f t="shared" si="174"/>
        <v>4.0651558446697891</v>
      </c>
      <c r="AC127" s="96" t="str">
        <f t="shared" si="175"/>
        <v>4</v>
      </c>
      <c r="AD127" s="8">
        <f t="shared" si="176"/>
        <v>0.78187013603746891</v>
      </c>
      <c r="AE127" s="96" t="str">
        <f t="shared" si="177"/>
        <v>1</v>
      </c>
      <c r="AF127" s="8">
        <f t="shared" si="178"/>
        <v>9.3824416324496269</v>
      </c>
      <c r="AG127" s="96" t="str">
        <f t="shared" si="179"/>
        <v/>
      </c>
      <c r="AH127" s="8">
        <f t="shared" si="180"/>
        <v>4.5892995893955231</v>
      </c>
      <c r="AI127" s="96" t="str">
        <f t="shared" si="181"/>
        <v/>
      </c>
      <c r="AJ127" s="8">
        <f t="shared" si="182"/>
        <v>7.0715950727462769</v>
      </c>
      <c r="AK127" s="96" t="str">
        <f t="shared" si="183"/>
        <v/>
      </c>
    </row>
    <row r="128" spans="2:39" x14ac:dyDescent="0.2">
      <c r="B128" s="126" t="s">
        <v>619</v>
      </c>
      <c r="C128" s="9" t="s">
        <v>608</v>
      </c>
      <c r="D128" s="198">
        <v>58.8</v>
      </c>
      <c r="E128" s="8">
        <v>9</v>
      </c>
      <c r="F128" s="127">
        <f t="shared" si="158"/>
        <v>98.144263644170991</v>
      </c>
      <c r="G128" s="37" t="str">
        <f t="shared" si="184"/>
        <v>8;2189354E2</v>
      </c>
      <c r="H128" s="37"/>
      <c r="I128" s="285"/>
      <c r="J128" s="38">
        <v>1</v>
      </c>
      <c r="K128" s="128">
        <f t="shared" si="185"/>
        <v>8.1786886370142593</v>
      </c>
      <c r="L128" s="39" t="str">
        <f>INDEX(powers!$H$2:$H$75,33+J128)</f>
        <v>dozen</v>
      </c>
      <c r="M128" s="97" t="str">
        <f t="shared" si="159"/>
        <v>8</v>
      </c>
      <c r="N128" s="8">
        <f t="shared" si="160"/>
        <v>2.1442636441711116</v>
      </c>
      <c r="O128" s="96" t="str">
        <f t="shared" si="161"/>
        <v>2</v>
      </c>
      <c r="P128" s="8">
        <f t="shared" si="162"/>
        <v>1.7311637300533391</v>
      </c>
      <c r="Q128" s="96" t="str">
        <f t="shared" si="163"/>
        <v>1</v>
      </c>
      <c r="R128" s="8">
        <f t="shared" si="164"/>
        <v>8.7739647606400695</v>
      </c>
      <c r="S128" s="96" t="str">
        <f t="shared" si="165"/>
        <v>8</v>
      </c>
      <c r="T128" s="8">
        <f t="shared" si="166"/>
        <v>9.2875771276808337</v>
      </c>
      <c r="U128" s="96" t="str">
        <f t="shared" si="167"/>
        <v>9</v>
      </c>
      <c r="V128" s="8">
        <f t="shared" si="168"/>
        <v>3.4509255321700039</v>
      </c>
      <c r="W128" s="96" t="str">
        <f t="shared" si="169"/>
        <v>3</v>
      </c>
      <c r="X128" s="8">
        <f t="shared" si="170"/>
        <v>5.4111063860400463</v>
      </c>
      <c r="Y128" s="96" t="str">
        <f t="shared" si="171"/>
        <v>5</v>
      </c>
      <c r="Z128" s="8">
        <f t="shared" si="172"/>
        <v>4.9332766324805561</v>
      </c>
      <c r="AA128" s="96" t="str">
        <f t="shared" si="173"/>
        <v>4</v>
      </c>
      <c r="AB128" s="8">
        <f t="shared" si="174"/>
        <v>11.199319589766674</v>
      </c>
      <c r="AC128" s="96" t="str">
        <f t="shared" si="175"/>
        <v>E</v>
      </c>
      <c r="AD128" s="8">
        <f t="shared" si="176"/>
        <v>2.3918350772000849</v>
      </c>
      <c r="AE128" s="96" t="str">
        <f t="shared" si="177"/>
        <v>2</v>
      </c>
      <c r="AF128" s="8">
        <f t="shared" si="178"/>
        <v>4.7020209264010191</v>
      </c>
      <c r="AG128" s="96" t="str">
        <f t="shared" si="179"/>
        <v/>
      </c>
      <c r="AH128" s="8">
        <f t="shared" si="180"/>
        <v>8.4242511168122292</v>
      </c>
      <c r="AI128" s="96" t="str">
        <f t="shared" si="181"/>
        <v/>
      </c>
      <c r="AJ128" s="8">
        <f t="shared" si="182"/>
        <v>5.0910134017467499</v>
      </c>
      <c r="AK128" s="96" t="str">
        <f t="shared" si="183"/>
        <v/>
      </c>
    </row>
    <row r="129" spans="2:39" x14ac:dyDescent="0.2">
      <c r="B129" s="126"/>
      <c r="C129" s="9" t="s">
        <v>609</v>
      </c>
      <c r="D129" s="198">
        <v>60</v>
      </c>
      <c r="E129" s="8">
        <v>9</v>
      </c>
      <c r="F129" s="127">
        <f t="shared" si="158"/>
        <v>99.092605068534453</v>
      </c>
      <c r="G129" s="37" t="str">
        <f t="shared" si="184"/>
        <v>8;311403130</v>
      </c>
      <c r="H129" s="37"/>
      <c r="I129" s="285"/>
      <c r="J129" s="38">
        <v>1</v>
      </c>
      <c r="K129" s="128">
        <f t="shared" si="185"/>
        <v>8.257717089044549</v>
      </c>
      <c r="L129" s="39" t="str">
        <f>INDEX(powers!$H$2:$H$75,33+J129)</f>
        <v>dozen</v>
      </c>
      <c r="M129" s="97" t="str">
        <f t="shared" si="159"/>
        <v>8</v>
      </c>
      <c r="N129" s="8">
        <f t="shared" si="160"/>
        <v>3.0926050685345885</v>
      </c>
      <c r="O129" s="96" t="str">
        <f t="shared" si="161"/>
        <v>3</v>
      </c>
      <c r="P129" s="8">
        <f t="shared" si="162"/>
        <v>1.111260822415062</v>
      </c>
      <c r="Q129" s="96" t="str">
        <f t="shared" si="163"/>
        <v>1</v>
      </c>
      <c r="R129" s="8">
        <f t="shared" si="164"/>
        <v>1.3351298689807436</v>
      </c>
      <c r="S129" s="96" t="str">
        <f t="shared" si="165"/>
        <v>1</v>
      </c>
      <c r="T129" s="8">
        <f t="shared" si="166"/>
        <v>4.0215584277689231</v>
      </c>
      <c r="U129" s="96" t="str">
        <f t="shared" si="167"/>
        <v>4</v>
      </c>
      <c r="V129" s="8">
        <f t="shared" si="168"/>
        <v>0.25870113322707766</v>
      </c>
      <c r="W129" s="96" t="str">
        <f t="shared" si="169"/>
        <v>0</v>
      </c>
      <c r="X129" s="8">
        <f t="shared" si="170"/>
        <v>3.1044135987249319</v>
      </c>
      <c r="Y129" s="96" t="str">
        <f t="shared" si="171"/>
        <v>3</v>
      </c>
      <c r="Z129" s="8">
        <f t="shared" si="172"/>
        <v>1.2529631846991833</v>
      </c>
      <c r="AA129" s="96" t="str">
        <f t="shared" si="173"/>
        <v>1</v>
      </c>
      <c r="AB129" s="8">
        <f t="shared" si="174"/>
        <v>3.0355582163902</v>
      </c>
      <c r="AC129" s="96" t="str">
        <f t="shared" si="175"/>
        <v>3</v>
      </c>
      <c r="AD129" s="8">
        <f t="shared" si="176"/>
        <v>0.42669859668239951</v>
      </c>
      <c r="AE129" s="96" t="str">
        <f t="shared" si="177"/>
        <v>0</v>
      </c>
      <c r="AF129" s="8">
        <f t="shared" si="178"/>
        <v>5.1203831601887941</v>
      </c>
      <c r="AG129" s="96" t="str">
        <f t="shared" si="179"/>
        <v/>
      </c>
      <c r="AH129" s="8">
        <f t="shared" si="180"/>
        <v>1.4445979222655296</v>
      </c>
      <c r="AI129" s="96" t="str">
        <f t="shared" si="181"/>
        <v/>
      </c>
      <c r="AJ129" s="8">
        <f t="shared" si="182"/>
        <v>5.3351750671863556</v>
      </c>
      <c r="AK129" s="96" t="str">
        <f t="shared" si="183"/>
        <v/>
      </c>
    </row>
    <row r="130" spans="2:39" x14ac:dyDescent="0.2">
      <c r="B130" s="126"/>
      <c r="C130" s="9" t="s">
        <v>610</v>
      </c>
      <c r="D130" s="198">
        <v>83</v>
      </c>
      <c r="E130" s="8">
        <v>9</v>
      </c>
      <c r="F130" s="127">
        <f t="shared" si="158"/>
        <v>117.26914903550072</v>
      </c>
      <c r="G130" s="37" t="str">
        <f t="shared" si="184"/>
        <v>9;932910X87</v>
      </c>
      <c r="H130" s="37"/>
      <c r="I130" s="285"/>
      <c r="J130" s="38">
        <v>1</v>
      </c>
      <c r="K130" s="128">
        <f t="shared" si="185"/>
        <v>9.7724290862917371</v>
      </c>
      <c r="L130" s="39" t="str">
        <f>INDEX(powers!$H$2:$H$75,33+J130)</f>
        <v>dozen</v>
      </c>
      <c r="M130" s="97" t="str">
        <f t="shared" si="159"/>
        <v>9</v>
      </c>
      <c r="N130" s="8">
        <f t="shared" si="160"/>
        <v>9.2691490355008455</v>
      </c>
      <c r="O130" s="96" t="str">
        <f t="shared" si="161"/>
        <v>9</v>
      </c>
      <c r="P130" s="8">
        <f t="shared" si="162"/>
        <v>3.2297884260101455</v>
      </c>
      <c r="Q130" s="96" t="str">
        <f t="shared" si="163"/>
        <v>3</v>
      </c>
      <c r="R130" s="8">
        <f t="shared" si="164"/>
        <v>2.7574611121217458</v>
      </c>
      <c r="S130" s="96" t="str">
        <f t="shared" si="165"/>
        <v>2</v>
      </c>
      <c r="T130" s="8">
        <f t="shared" si="166"/>
        <v>9.0895333454609499</v>
      </c>
      <c r="U130" s="96" t="str">
        <f t="shared" si="167"/>
        <v>9</v>
      </c>
      <c r="V130" s="8">
        <f t="shared" si="168"/>
        <v>1.0744001455313992</v>
      </c>
      <c r="W130" s="96" t="str">
        <f t="shared" si="169"/>
        <v>1</v>
      </c>
      <c r="X130" s="8">
        <f t="shared" si="170"/>
        <v>0.89280174637679011</v>
      </c>
      <c r="Y130" s="96" t="str">
        <f t="shared" si="171"/>
        <v>0</v>
      </c>
      <c r="Z130" s="8">
        <f t="shared" si="172"/>
        <v>10.713620956521481</v>
      </c>
      <c r="AA130" s="96" t="str">
        <f t="shared" si="173"/>
        <v>X</v>
      </c>
      <c r="AB130" s="8">
        <f t="shared" si="174"/>
        <v>8.5634514782577753</v>
      </c>
      <c r="AC130" s="96" t="str">
        <f t="shared" si="175"/>
        <v>8</v>
      </c>
      <c r="AD130" s="8">
        <f t="shared" si="176"/>
        <v>6.7614177390933037</v>
      </c>
      <c r="AE130" s="96" t="str">
        <f t="shared" si="177"/>
        <v>7</v>
      </c>
      <c r="AF130" s="8">
        <f t="shared" si="178"/>
        <v>9.1370128691196442</v>
      </c>
      <c r="AG130" s="96" t="str">
        <f t="shared" si="179"/>
        <v/>
      </c>
      <c r="AH130" s="8">
        <f t="shared" si="180"/>
        <v>1.64415442943573</v>
      </c>
      <c r="AI130" s="96" t="str">
        <f t="shared" si="181"/>
        <v/>
      </c>
      <c r="AJ130" s="8">
        <f t="shared" si="182"/>
        <v>7.7298531532287598</v>
      </c>
      <c r="AK130" s="96" t="str">
        <f t="shared" si="183"/>
        <v/>
      </c>
    </row>
    <row r="131" spans="2:39" x14ac:dyDescent="0.2">
      <c r="B131" s="91" t="s">
        <v>622</v>
      </c>
      <c r="C131" s="9" t="s">
        <v>613</v>
      </c>
      <c r="D131" s="198">
        <v>99.974000000000004</v>
      </c>
      <c r="E131" s="8">
        <v>9</v>
      </c>
      <c r="F131" s="127">
        <f t="shared" si="158"/>
        <v>130.68343848312182</v>
      </c>
      <c r="G131" s="37" t="str">
        <f t="shared" si="184"/>
        <v>0;XX824E945</v>
      </c>
      <c r="H131" s="37"/>
      <c r="I131" s="285"/>
      <c r="J131" s="38">
        <v>2</v>
      </c>
      <c r="K131" s="128">
        <f t="shared" si="185"/>
        <v>0.90752387835502257</v>
      </c>
      <c r="L131" s="39" t="str">
        <f>INDEX(powers!$H$2:$H$75,33+J131)</f>
        <v>gross</v>
      </c>
      <c r="M131" s="97" t="str">
        <f t="shared" si="159"/>
        <v>0</v>
      </c>
      <c r="N131" s="8">
        <f t="shared" si="160"/>
        <v>10.89028654026027</v>
      </c>
      <c r="O131" s="96" t="str">
        <f t="shared" si="161"/>
        <v>X</v>
      </c>
      <c r="P131" s="8">
        <f t="shared" si="162"/>
        <v>10.68343848312324</v>
      </c>
      <c r="Q131" s="96" t="str">
        <f t="shared" si="163"/>
        <v>X</v>
      </c>
      <c r="R131" s="8">
        <f t="shared" si="164"/>
        <v>8.2012617974788782</v>
      </c>
      <c r="S131" s="96" t="str">
        <f t="shared" si="165"/>
        <v>8</v>
      </c>
      <c r="T131" s="8">
        <f t="shared" si="166"/>
        <v>2.4151415697465382</v>
      </c>
      <c r="U131" s="96" t="str">
        <f t="shared" si="167"/>
        <v>2</v>
      </c>
      <c r="V131" s="8">
        <f t="shared" si="168"/>
        <v>4.9816988369584578</v>
      </c>
      <c r="W131" s="96" t="str">
        <f t="shared" si="169"/>
        <v>4</v>
      </c>
      <c r="X131" s="8">
        <f t="shared" si="170"/>
        <v>11.780386043501494</v>
      </c>
      <c r="Y131" s="96" t="str">
        <f t="shared" si="171"/>
        <v>E</v>
      </c>
      <c r="Z131" s="8">
        <f t="shared" si="172"/>
        <v>9.3646325220179278</v>
      </c>
      <c r="AA131" s="96" t="str">
        <f t="shared" si="173"/>
        <v>9</v>
      </c>
      <c r="AB131" s="8">
        <f t="shared" si="174"/>
        <v>4.3755902642151341</v>
      </c>
      <c r="AC131" s="96" t="str">
        <f t="shared" si="175"/>
        <v>4</v>
      </c>
      <c r="AD131" s="8">
        <f t="shared" si="176"/>
        <v>4.507083170581609</v>
      </c>
      <c r="AE131" s="96" t="str">
        <f t="shared" si="177"/>
        <v>5</v>
      </c>
      <c r="AF131" s="8">
        <f t="shared" si="178"/>
        <v>6.0849980469793081</v>
      </c>
      <c r="AG131" s="96" t="str">
        <f t="shared" si="179"/>
        <v/>
      </c>
      <c r="AH131" s="8">
        <f t="shared" si="180"/>
        <v>1.0199765637516975</v>
      </c>
      <c r="AI131" s="96" t="str">
        <f t="shared" si="181"/>
        <v/>
      </c>
      <c r="AJ131" s="8">
        <f t="shared" si="182"/>
        <v>0.23971876502037048</v>
      </c>
      <c r="AK131" s="96" t="str">
        <f t="shared" si="183"/>
        <v/>
      </c>
      <c r="AL131" s="238">
        <f>144</f>
        <v>144</v>
      </c>
      <c r="AM131" s="238">
        <f t="shared" ref="AM131:AM133" si="189">-AL131*F$6*20736+D131</f>
        <v>-82.238856636507521</v>
      </c>
    </row>
    <row r="132" spans="2:39" x14ac:dyDescent="0.2">
      <c r="B132" s="91" t="s">
        <v>623</v>
      </c>
      <c r="C132" s="9" t="s">
        <v>621</v>
      </c>
      <c r="D132" s="198">
        <v>99.983900000000006</v>
      </c>
      <c r="E132" s="8">
        <v>9</v>
      </c>
      <c r="F132" s="127">
        <f t="shared" si="158"/>
        <v>130.69126229987282</v>
      </c>
      <c r="G132" s="37" t="str">
        <f t="shared" si="184"/>
        <v>0;XX8366022</v>
      </c>
      <c r="H132" s="37"/>
      <c r="I132" s="285"/>
      <c r="J132" s="38">
        <v>2</v>
      </c>
      <c r="K132" s="128">
        <f t="shared" si="185"/>
        <v>0.90757821041579345</v>
      </c>
      <c r="L132" s="39" t="str">
        <f>INDEX(powers!$H$2:$H$75,33+J132)</f>
        <v>gross</v>
      </c>
      <c r="M132" s="97" t="str">
        <f t="shared" si="159"/>
        <v>0</v>
      </c>
      <c r="N132" s="8">
        <f t="shared" si="160"/>
        <v>10.890938524989522</v>
      </c>
      <c r="O132" s="96" t="str">
        <f t="shared" si="161"/>
        <v>X</v>
      </c>
      <c r="P132" s="8">
        <f t="shared" si="162"/>
        <v>10.691262299874268</v>
      </c>
      <c r="Q132" s="96" t="str">
        <f t="shared" si="163"/>
        <v>X</v>
      </c>
      <c r="R132" s="8">
        <f t="shared" si="164"/>
        <v>8.2951475984912122</v>
      </c>
      <c r="S132" s="96" t="str">
        <f t="shared" si="165"/>
        <v>8</v>
      </c>
      <c r="T132" s="8">
        <f t="shared" si="166"/>
        <v>3.5417711818945463</v>
      </c>
      <c r="U132" s="96" t="str">
        <f t="shared" si="167"/>
        <v>3</v>
      </c>
      <c r="V132" s="8">
        <f t="shared" si="168"/>
        <v>6.5012541827345558</v>
      </c>
      <c r="W132" s="96" t="str">
        <f t="shared" si="169"/>
        <v>6</v>
      </c>
      <c r="X132" s="8">
        <f t="shared" si="170"/>
        <v>6.0150501928146696</v>
      </c>
      <c r="Y132" s="96" t="str">
        <f t="shared" si="171"/>
        <v>6</v>
      </c>
      <c r="Z132" s="8">
        <f t="shared" si="172"/>
        <v>0.18060231377603486</v>
      </c>
      <c r="AA132" s="96" t="str">
        <f t="shared" si="173"/>
        <v>0</v>
      </c>
      <c r="AB132" s="8">
        <f t="shared" si="174"/>
        <v>2.1672277653124183</v>
      </c>
      <c r="AC132" s="96" t="str">
        <f t="shared" si="175"/>
        <v>2</v>
      </c>
      <c r="AD132" s="8">
        <f t="shared" si="176"/>
        <v>2.0067331837490201</v>
      </c>
      <c r="AE132" s="96" t="str">
        <f t="shared" si="177"/>
        <v>2</v>
      </c>
      <c r="AF132" s="8">
        <f t="shared" si="178"/>
        <v>8.0798204988241196E-2</v>
      </c>
      <c r="AG132" s="96" t="str">
        <f t="shared" si="179"/>
        <v/>
      </c>
      <c r="AH132" s="8">
        <f t="shared" si="180"/>
        <v>0.96957845985889435</v>
      </c>
      <c r="AI132" s="96" t="str">
        <f t="shared" si="181"/>
        <v/>
      </c>
      <c r="AJ132" s="8">
        <f t="shared" si="182"/>
        <v>11.634941518306732</v>
      </c>
      <c r="AK132" s="96" t="str">
        <f t="shared" si="183"/>
        <v/>
      </c>
      <c r="AL132" s="238">
        <f>144</f>
        <v>144</v>
      </c>
      <c r="AM132" s="238">
        <f t="shared" si="189"/>
        <v>-82.228956636507519</v>
      </c>
    </row>
    <row r="133" spans="2:39" ht="12" thickBot="1" x14ac:dyDescent="0.25">
      <c r="B133" s="129"/>
      <c r="C133" s="241" t="s">
        <v>611</v>
      </c>
      <c r="D133" s="199">
        <v>100</v>
      </c>
      <c r="E133" s="33">
        <v>9</v>
      </c>
      <c r="F133" s="130">
        <f t="shared" si="158"/>
        <v>130.7039858806497</v>
      </c>
      <c r="G133" s="47" t="str">
        <f t="shared" si="184"/>
        <v>0;XX8545X27</v>
      </c>
      <c r="H133" s="47"/>
      <c r="I133" s="287"/>
      <c r="J133" s="48">
        <v>2</v>
      </c>
      <c r="K133" s="106">
        <f t="shared" si="185"/>
        <v>0.90766656861563288</v>
      </c>
      <c r="L133" s="49" t="str">
        <f>INDEX(powers!$H$2:$H$75,33+J133)</f>
        <v>gross</v>
      </c>
      <c r="M133" s="97" t="str">
        <f t="shared" si="159"/>
        <v>0</v>
      </c>
      <c r="N133" s="8">
        <f t="shared" si="160"/>
        <v>10.891998823387596</v>
      </c>
      <c r="O133" s="96" t="str">
        <f t="shared" si="161"/>
        <v>X</v>
      </c>
      <c r="P133" s="8">
        <f t="shared" si="162"/>
        <v>10.703985880651146</v>
      </c>
      <c r="Q133" s="96" t="str">
        <f t="shared" si="163"/>
        <v>X</v>
      </c>
      <c r="R133" s="8">
        <f t="shared" si="164"/>
        <v>8.4478305678137531</v>
      </c>
      <c r="S133" s="96" t="str">
        <f t="shared" si="165"/>
        <v>8</v>
      </c>
      <c r="T133" s="8">
        <f t="shared" si="166"/>
        <v>5.3739668137650369</v>
      </c>
      <c r="U133" s="96" t="str">
        <f t="shared" si="167"/>
        <v>5</v>
      </c>
      <c r="V133" s="8">
        <f t="shared" si="168"/>
        <v>4.4876017651804432</v>
      </c>
      <c r="W133" s="96" t="str">
        <f t="shared" si="169"/>
        <v>4</v>
      </c>
      <c r="X133" s="8">
        <f t="shared" si="170"/>
        <v>5.8512211821653182</v>
      </c>
      <c r="Y133" s="96" t="str">
        <f t="shared" si="171"/>
        <v>5</v>
      </c>
      <c r="Z133" s="8">
        <f t="shared" si="172"/>
        <v>10.214654185983818</v>
      </c>
      <c r="AA133" s="96" t="str">
        <f t="shared" si="173"/>
        <v>X</v>
      </c>
      <c r="AB133" s="8">
        <f t="shared" si="174"/>
        <v>2.5758502318058163</v>
      </c>
      <c r="AC133" s="96" t="str">
        <f t="shared" si="175"/>
        <v>2</v>
      </c>
      <c r="AD133" s="8">
        <f t="shared" si="176"/>
        <v>6.9102027816697955</v>
      </c>
      <c r="AE133" s="96" t="str">
        <f t="shared" si="177"/>
        <v>7</v>
      </c>
      <c r="AF133" s="8">
        <f t="shared" si="178"/>
        <v>10.922433380037546</v>
      </c>
      <c r="AG133" s="96" t="str">
        <f t="shared" si="179"/>
        <v/>
      </c>
      <c r="AH133" s="8">
        <f t="shared" si="180"/>
        <v>11.069200560450554</v>
      </c>
      <c r="AI133" s="96" t="str">
        <f t="shared" si="181"/>
        <v/>
      </c>
      <c r="AJ133" s="8">
        <f t="shared" si="182"/>
        <v>0.83040672540664673</v>
      </c>
      <c r="AK133" s="96" t="str">
        <f t="shared" si="183"/>
        <v/>
      </c>
      <c r="AL133" s="238">
        <f>144</f>
        <v>144</v>
      </c>
      <c r="AM133" s="238">
        <f t="shared" si="189"/>
        <v>-82.212856636507524</v>
      </c>
    </row>
    <row r="134" spans="2:39" x14ac:dyDescent="0.2">
      <c r="B134" s="55"/>
      <c r="D134" s="243">
        <f>D110+144*F6*20736-D132</f>
        <v>16.84043829559829</v>
      </c>
      <c r="F134" s="233"/>
      <c r="G134" s="234"/>
      <c r="H134" s="234"/>
      <c r="I134" s="292"/>
      <c r="J134" s="235"/>
      <c r="K134" s="236"/>
      <c r="L134" s="236"/>
      <c r="M134" s="237"/>
      <c r="O134" s="237"/>
      <c r="Q134" s="237"/>
      <c r="S134" s="237"/>
      <c r="U134" s="237"/>
      <c r="W134" s="237"/>
      <c r="Y134" s="237"/>
      <c r="AA134" s="237"/>
      <c r="AC134" s="237"/>
      <c r="AE134" s="237"/>
      <c r="AG134" s="237"/>
      <c r="AI134" s="237"/>
      <c r="AK134" s="237"/>
    </row>
    <row r="135" spans="2:39" x14ac:dyDescent="0.2">
      <c r="B135" s="138" t="s">
        <v>639</v>
      </c>
      <c r="C135" s="54"/>
      <c r="D135" s="238">
        <f>D$110+F$6*F135*20736</f>
        <v>26.983277037320278</v>
      </c>
      <c r="F135" s="233">
        <f>12*6+1</f>
        <v>73</v>
      </c>
    </row>
    <row r="136" spans="2:39" x14ac:dyDescent="0.2">
      <c r="B136" s="138" t="s">
        <v>640</v>
      </c>
      <c r="C136" s="54"/>
      <c r="D136" s="238">
        <f>D$110+F$6*F136*20736</f>
        <v>51.025251176859484</v>
      </c>
      <c r="F136" s="233">
        <f>12*7+8</f>
        <v>92</v>
      </c>
    </row>
    <row r="137" spans="2:39" x14ac:dyDescent="0.2">
      <c r="B137" s="138" t="s">
        <v>641</v>
      </c>
      <c r="C137" s="54"/>
      <c r="D137" s="238">
        <f>D$110+F$6*F137*20736</f>
        <v>116.8243382955983</v>
      </c>
      <c r="F137" s="233">
        <v>144</v>
      </c>
    </row>
    <row r="138" spans="2:39" ht="13.5" x14ac:dyDescent="0.2">
      <c r="B138" s="138" t="s">
        <v>1175</v>
      </c>
      <c r="D138" s="442">
        <f>F6*POWER(12,7)*3-273.15</f>
        <v>6286.5128389142719</v>
      </c>
      <c r="E138" s="14" t="s">
        <v>1176</v>
      </c>
    </row>
  </sheetData>
  <mergeCells count="7">
    <mergeCell ref="A71:A88"/>
    <mergeCell ref="A1:A30"/>
    <mergeCell ref="M1:R1"/>
    <mergeCell ref="M2:N2"/>
    <mergeCell ref="R24:W26"/>
    <mergeCell ref="A31:A70"/>
    <mergeCell ref="J31:K31"/>
  </mergeCells>
  <phoneticPr fontId="1"/>
  <printOptions horizontalCentered="1"/>
  <pageMargins left="0.70866141732283472" right="0.70866141732283472" top="0.74803149606299213" bottom="0.74803149606299213" header="0.31496062992125984" footer="0.31496062992125984"/>
  <pageSetup paperSize="9" scale="72" fitToHeight="2" orientation="portrait" r:id="rId1"/>
  <headerFooter>
    <oddHeader>&amp;A</oddHeader>
  </headerFooter>
  <rowBreaks count="1" manualBreakCount="1">
    <brk id="70"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126"/>
  <sheetViews>
    <sheetView workbookViewId="0">
      <selection activeCell="D16" sqref="D16"/>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4.6328125" style="14" customWidth="1"/>
    <col min="7" max="7" width="13.6328125" style="14" customWidth="1"/>
    <col min="8" max="8" width="7" style="14" customWidth="1"/>
    <col min="9" max="9" width="2.7265625" style="288" customWidth="1"/>
    <col min="10" max="10" width="3.6328125" style="14" customWidth="1"/>
    <col min="11" max="11" width="9.6328125" style="14" customWidth="1"/>
    <col min="12" max="12" width="15.7265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38" width="10.26953125" style="14" customWidth="1"/>
    <col min="39" max="39" width="10.1796875" style="14" customWidth="1"/>
    <col min="40" max="16384" width="9" style="14"/>
  </cols>
  <sheetData>
    <row r="1" spans="1:37" ht="11.25" customHeight="1" x14ac:dyDescent="0.2">
      <c r="A1" s="580" t="s">
        <v>26</v>
      </c>
      <c r="B1" s="17" t="s">
        <v>42</v>
      </c>
      <c r="C1" s="18" t="str">
        <f>Rydberg!C1</f>
        <v>Unit Symbol</v>
      </c>
      <c r="D1" s="17" t="s">
        <v>43</v>
      </c>
      <c r="E1" s="18" t="s">
        <v>44</v>
      </c>
      <c r="F1" s="17" t="s">
        <v>55</v>
      </c>
      <c r="G1" s="17" t="s">
        <v>203</v>
      </c>
      <c r="H1" s="18" t="str">
        <f>Rydberg!H$1</f>
        <v>difference</v>
      </c>
      <c r="I1" s="293" t="s">
        <v>724</v>
      </c>
      <c r="J1" s="19"/>
      <c r="K1" s="56" t="s">
        <v>46</v>
      </c>
      <c r="L1" s="20"/>
      <c r="M1" s="591" t="s">
        <v>116</v>
      </c>
      <c r="N1" s="592"/>
      <c r="O1" s="592"/>
      <c r="P1" s="592"/>
      <c r="Q1" s="592"/>
      <c r="R1" s="592"/>
    </row>
    <row r="2" spans="1:37" ht="13.5" customHeight="1" x14ac:dyDescent="0.2">
      <c r="A2" s="581"/>
      <c r="B2" s="2" t="str">
        <f>Rydberg!B2</f>
        <v>Local Time</v>
      </c>
      <c r="C2" s="2" t="str">
        <f>Rydberg!C2</f>
        <v>s</v>
      </c>
      <c r="D2" s="21"/>
      <c r="E2" s="8"/>
      <c r="F2" s="8"/>
      <c r="G2" s="8"/>
      <c r="H2" s="8"/>
      <c r="I2" s="278"/>
      <c r="J2" s="8"/>
      <c r="K2" s="57"/>
      <c r="L2" s="22"/>
      <c r="M2" s="589">
        <f>365.2421896698-(0.00000615359)*P2-(0.000000000729)*P2*P2+(0.000000000264)*P2*P2*P2</f>
        <v>365.24218750000171</v>
      </c>
      <c r="N2" s="590"/>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5">
        <f>(1+(12+7)/(12*12*12*12))/D$34</f>
        <v>9.1210202714325912E-8</v>
      </c>
      <c r="E3" s="8">
        <v>-2</v>
      </c>
      <c r="F3" s="21">
        <f t="shared" ref="F3:F30" si="0">D3*POWER(12,E3)</f>
        <v>6.3340418551615216E-10</v>
      </c>
      <c r="G3" s="26" t="s">
        <v>79</v>
      </c>
      <c r="H3" s="26"/>
      <c r="I3" s="279"/>
      <c r="J3" s="305">
        <f>FLOOR(LOG10(F3)/3,1)*3</f>
        <v>-12</v>
      </c>
      <c r="K3" s="58">
        <f>F3/POWER(10,J3)</f>
        <v>633.40418551615221</v>
      </c>
      <c r="L3" s="118" t="s">
        <v>745</v>
      </c>
      <c r="M3" s="23"/>
      <c r="N3" s="82">
        <f>-LOG(F3)/(LOG(12)-LOG(10))</f>
        <v>116.16789997996536</v>
      </c>
      <c r="O3" s="24"/>
      <c r="P3" s="83">
        <f>POWER(12,N3)*F3/POWER(10,N3)</f>
        <v>0.99999999999994726</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8">
        <f>D$3/D$35</f>
        <v>3.0424448741244154E-16</v>
      </c>
      <c r="E4" s="8">
        <v>-2</v>
      </c>
      <c r="F4" s="21">
        <f t="shared" si="0"/>
        <v>2.1128089403641773E-18</v>
      </c>
      <c r="G4" s="125">
        <f>(F4*POWER(12,16)-Clock!F4)*(365+31/128)*128*12*12*12</f>
        <v>9.3005408034706605</v>
      </c>
      <c r="H4" s="253"/>
      <c r="I4" s="280"/>
      <c r="J4" s="8">
        <f t="shared" ref="J4:J30" si="1">FLOOR(LOG10(F4)/3,1)*3</f>
        <v>-18</v>
      </c>
      <c r="K4" s="58">
        <f t="shared" ref="K4:K30" si="2">F4/POWER(10,J4)</f>
        <v>2.112808940364177</v>
      </c>
      <c r="L4" s="118" t="s">
        <v>746</v>
      </c>
      <c r="M4" s="23"/>
      <c r="N4" s="82">
        <f t="shared" ref="N4:N30" si="3">-LOG(F4)/(LOG(12)-LOG(10))</f>
        <v>223.22381443007896</v>
      </c>
      <c r="O4" s="24"/>
      <c r="P4" s="83">
        <f t="shared" ref="P4:P30" si="4">POWER(12,N4)*F4/POWER(10,N4)</f>
        <v>0.99999999999988909</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D$36/D$4</f>
        <v>3.4661986043367556E-19</v>
      </c>
      <c r="E5" s="8">
        <v>8</v>
      </c>
      <c r="F5" s="21">
        <f t="shared" si="0"/>
        <v>1.490401954565551E-10</v>
      </c>
      <c r="G5" s="21"/>
      <c r="H5" s="21"/>
      <c r="I5" s="278"/>
      <c r="J5" s="8">
        <f t="shared" si="1"/>
        <v>-12</v>
      </c>
      <c r="K5" s="58">
        <f t="shared" si="2"/>
        <v>149.0401954565551</v>
      </c>
      <c r="L5" s="118" t="s">
        <v>747</v>
      </c>
      <c r="M5" s="23"/>
      <c r="N5" s="82">
        <f t="shared" si="3"/>
        <v>124.10383871266623</v>
      </c>
      <c r="O5" s="24"/>
      <c r="P5" s="83">
        <f t="shared" si="4"/>
        <v>0.99999999999996225</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25105.574293949841</v>
      </c>
      <c r="E6" s="132">
        <v>8</v>
      </c>
      <c r="F6" s="135">
        <f t="shared" si="0"/>
        <v>10794937413966.555</v>
      </c>
      <c r="G6" s="21"/>
      <c r="H6" s="21"/>
      <c r="I6" s="278"/>
      <c r="J6" s="132">
        <f t="shared" si="1"/>
        <v>12</v>
      </c>
      <c r="K6" s="136">
        <f t="shared" si="2"/>
        <v>10.794937413966554</v>
      </c>
      <c r="L6" s="133" t="s">
        <v>759</v>
      </c>
      <c r="M6" s="23"/>
      <c r="N6" s="82">
        <f t="shared" si="3"/>
        <v>-164.59983619000312</v>
      </c>
      <c r="O6" s="24"/>
      <c r="P6" s="83">
        <f t="shared" si="4"/>
        <v>1.0000000000000562</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0</v>
      </c>
      <c r="F7" s="21">
        <f t="shared" si="0"/>
        <v>1.6605390671738466E-24</v>
      </c>
      <c r="G7" s="21"/>
      <c r="H7" s="21"/>
      <c r="I7" s="278"/>
      <c r="J7" s="8">
        <f t="shared" si="1"/>
        <v>-24</v>
      </c>
      <c r="K7" s="58">
        <f t="shared" si="2"/>
        <v>1.6605390671738465</v>
      </c>
      <c r="L7" s="118" t="str">
        <f>Rydberg!L7</f>
        <v>mol</v>
      </c>
      <c r="M7" s="23"/>
      <c r="N7" s="82">
        <f t="shared" si="3"/>
        <v>300.32049366945279</v>
      </c>
      <c r="O7" s="24"/>
      <c r="P7" s="83"/>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3.8566660714082653E-36</v>
      </c>
      <c r="E8" s="8">
        <v>8</v>
      </c>
      <c r="F8" s="21">
        <f t="shared" si="0"/>
        <v>1.658295818289783E-27</v>
      </c>
      <c r="G8" s="21"/>
      <c r="H8" s="21"/>
      <c r="I8" s="278"/>
      <c r="J8" s="8">
        <f t="shared" si="1"/>
        <v>-27</v>
      </c>
      <c r="K8" s="58">
        <f t="shared" si="2"/>
        <v>1.6582958182897829</v>
      </c>
      <c r="L8" s="118" t="str">
        <f>Rydberg!L8</f>
        <v>g</v>
      </c>
      <c r="M8" s="23"/>
      <c r="N8" s="82">
        <f t="shared" si="3"/>
        <v>338.21566761289353</v>
      </c>
      <c r="O8" s="24"/>
      <c r="P8" s="83"/>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1.1392806600429505E-3</v>
      </c>
      <c r="E9" s="8">
        <v>10</v>
      </c>
      <c r="F9" s="21">
        <f t="shared" si="0"/>
        <v>70541255.581238493</v>
      </c>
      <c r="G9" s="21"/>
      <c r="H9" s="21"/>
      <c r="I9" s="278"/>
      <c r="J9" s="8">
        <f t="shared" si="1"/>
        <v>6</v>
      </c>
      <c r="K9" s="58">
        <f t="shared" si="2"/>
        <v>70.541255581238488</v>
      </c>
      <c r="L9" s="118" t="s">
        <v>748</v>
      </c>
      <c r="M9" s="23"/>
      <c r="N9" s="82">
        <f t="shared" si="3"/>
        <v>-99.119975717412743</v>
      </c>
      <c r="O9" s="24"/>
      <c r="P9" s="83">
        <f t="shared" si="4"/>
        <v>1.0000000000000167</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3.8002312254398026E-12</v>
      </c>
      <c r="E10" s="8">
        <v>10</v>
      </c>
      <c r="F10" s="21">
        <f t="shared" si="0"/>
        <v>0.23530030092097412</v>
      </c>
      <c r="G10" s="21"/>
      <c r="H10" s="21"/>
      <c r="I10" s="278"/>
      <c r="J10" s="8">
        <f t="shared" si="1"/>
        <v>-3</v>
      </c>
      <c r="K10" s="58">
        <f t="shared" si="2"/>
        <v>235.30030092097411</v>
      </c>
      <c r="L10" s="118" t="str">
        <f>Rydberg!L10</f>
        <v>mN</v>
      </c>
      <c r="M10" s="23"/>
      <c r="N10" s="82">
        <f t="shared" si="3"/>
        <v>7.9359387327008859</v>
      </c>
      <c r="O10" s="24"/>
      <c r="P10" s="83">
        <f t="shared" si="4"/>
        <v>0.99999999999999745</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456.79693393312402</v>
      </c>
      <c r="E11" s="8">
        <v>2</v>
      </c>
      <c r="F11" s="21">
        <f t="shared" si="0"/>
        <v>65778.758486369858</v>
      </c>
      <c r="G11" s="21"/>
      <c r="H11" s="21"/>
      <c r="I11" s="278"/>
      <c r="J11" s="8">
        <f t="shared" si="1"/>
        <v>3</v>
      </c>
      <c r="K11" s="58">
        <f t="shared" si="2"/>
        <v>65.778758486369853</v>
      </c>
      <c r="L11" s="118" t="str">
        <f>Rydberg!L11</f>
        <v>Pa</v>
      </c>
      <c r="M11" s="23"/>
      <c r="N11" s="82">
        <f t="shared" si="3"/>
        <v>-60.848823589069902</v>
      </c>
      <c r="O11" s="24"/>
      <c r="P11" s="83">
        <f t="shared" si="4"/>
        <v>1.0000000000000238</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SQRT(D$36/29.9792458)</f>
        <v>1.8755460382902114E-18</v>
      </c>
      <c r="E12" s="8">
        <v>-1</v>
      </c>
      <c r="F12" s="21">
        <f t="shared" si="0"/>
        <v>1.5629550319085095E-19</v>
      </c>
      <c r="G12" s="21"/>
      <c r="H12" s="21"/>
      <c r="I12" s="278"/>
      <c r="J12" s="8">
        <f t="shared" si="1"/>
        <v>-21</v>
      </c>
      <c r="K12" s="58">
        <f t="shared" si="2"/>
        <v>156.29550319085095</v>
      </c>
      <c r="L12" s="118" t="str">
        <f>Rydberg!L12</f>
        <v>mC</v>
      </c>
      <c r="M12" s="23"/>
      <c r="N12" s="82">
        <f t="shared" si="3"/>
        <v>237.50641036468608</v>
      </c>
      <c r="O12" s="24"/>
      <c r="P12" s="83">
        <f t="shared" si="4"/>
        <v>0.9999999999999637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6.164601548713268E-3</v>
      </c>
      <c r="E13" s="8">
        <v>1</v>
      </c>
      <c r="F13" s="21">
        <f t="shared" si="0"/>
        <v>7.3975218584559216E-2</v>
      </c>
      <c r="G13" s="21"/>
      <c r="H13" s="21"/>
      <c r="I13" s="278"/>
      <c r="J13" s="8">
        <f t="shared" si="1"/>
        <v>-3</v>
      </c>
      <c r="K13" s="58">
        <f t="shared" si="2"/>
        <v>73.975218584559215</v>
      </c>
      <c r="L13" s="118" t="str">
        <f>Rydberg!L13</f>
        <v>mA</v>
      </c>
      <c r="M13" s="23"/>
      <c r="N13" s="82">
        <f t="shared" si="3"/>
        <v>14.282595934607103</v>
      </c>
      <c r="O13" s="24"/>
      <c r="P13" s="83">
        <f t="shared" si="4"/>
        <v>0.99999999999999678</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67586.754170704487</v>
      </c>
      <c r="E14" s="8">
        <v>3</v>
      </c>
      <c r="F14" s="21">
        <f t="shared" si="0"/>
        <v>116789911.20697735</v>
      </c>
      <c r="G14" s="21"/>
      <c r="H14" s="21"/>
      <c r="I14" s="278"/>
      <c r="J14" s="8">
        <f t="shared" si="1"/>
        <v>6</v>
      </c>
      <c r="K14" s="58">
        <f t="shared" si="2"/>
        <v>116.78991120697735</v>
      </c>
      <c r="L14" s="118" t="s">
        <v>749</v>
      </c>
      <c r="M14" s="23"/>
      <c r="N14" s="82">
        <f t="shared" si="3"/>
        <v>-101.88530404535824</v>
      </c>
      <c r="O14" s="24"/>
      <c r="P14" s="83">
        <f t="shared" si="4"/>
        <v>1.0000000000000424</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2.2544514502330967E-4</v>
      </c>
      <c r="E15" s="8">
        <v>3</v>
      </c>
      <c r="F15" s="21">
        <f t="shared" si="0"/>
        <v>0.3895692106002791</v>
      </c>
      <c r="G15" s="21"/>
      <c r="H15" s="21"/>
      <c r="I15" s="278"/>
      <c r="J15" s="8">
        <f t="shared" si="1"/>
        <v>-3</v>
      </c>
      <c r="K15" s="58">
        <f t="shared" si="2"/>
        <v>389.56921060027912</v>
      </c>
      <c r="L15" s="118" t="str">
        <f>Rydberg!L15</f>
        <v>mC/m^2</v>
      </c>
      <c r="M15" s="23"/>
      <c r="N15" s="82">
        <f t="shared" si="3"/>
        <v>5.1706104047553847</v>
      </c>
      <c r="O15" s="24"/>
      <c r="P15" s="83">
        <f t="shared" si="4"/>
        <v>0.99999999999999845</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
        <v>108</v>
      </c>
      <c r="D16" s="21">
        <f>Rydberg!D16</f>
        <v>29.979245795870352</v>
      </c>
      <c r="E16" s="8">
        <v>0</v>
      </c>
      <c r="F16" s="21">
        <f t="shared" si="0"/>
        <v>29.979245795870352</v>
      </c>
      <c r="G16" s="21"/>
      <c r="H16" s="21"/>
      <c r="I16" s="278"/>
      <c r="J16" s="8">
        <f t="shared" si="1"/>
        <v>0</v>
      </c>
      <c r="K16" s="58">
        <f t="shared" si="2"/>
        <v>29.979245795870352</v>
      </c>
      <c r="L16" s="118" t="str">
        <f>Rydberg!L16</f>
        <v>Ω</v>
      </c>
      <c r="M16" s="23"/>
      <c r="N16" s="82">
        <f t="shared" si="3"/>
        <v>-18.651142493764809</v>
      </c>
      <c r="O16" s="24"/>
      <c r="P16" s="83">
        <f t="shared" si="4"/>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0.18481010506247811</v>
      </c>
      <c r="E17" s="8">
        <v>1</v>
      </c>
      <c r="F17" s="21">
        <f t="shared" si="0"/>
        <v>2.2177212607497374</v>
      </c>
      <c r="G17" s="21"/>
      <c r="H17" s="21"/>
      <c r="I17" s="278"/>
      <c r="J17" s="8">
        <f t="shared" si="1"/>
        <v>0</v>
      </c>
      <c r="K17" s="58">
        <f t="shared" si="2"/>
        <v>2.2177212607497374</v>
      </c>
      <c r="L17" s="118" t="str">
        <f>Rydberg!L17</f>
        <v>V</v>
      </c>
      <c r="M17" s="23"/>
      <c r="N17" s="82">
        <f t="shared" si="3"/>
        <v>-4.3685465591577062</v>
      </c>
      <c r="O17" s="24"/>
      <c r="P17" s="83">
        <f t="shared" si="4"/>
        <v>1.0000000000000018</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1.0148503717673621E-17</v>
      </c>
      <c r="E18" s="8">
        <v>-2</v>
      </c>
      <c r="F18" s="21">
        <f t="shared" si="0"/>
        <v>7.0475720261622357E-20</v>
      </c>
      <c r="G18" s="21"/>
      <c r="H18" s="21"/>
      <c r="I18" s="278"/>
      <c r="J18" s="8">
        <f t="shared" si="1"/>
        <v>-21</v>
      </c>
      <c r="K18" s="58">
        <f t="shared" si="2"/>
        <v>70.475720261622357</v>
      </c>
      <c r="L18" s="118" t="str">
        <f>Rydberg!L18</f>
        <v>mF</v>
      </c>
      <c r="M18" s="115"/>
      <c r="N18" s="116">
        <f t="shared" si="3"/>
        <v>241.8749569238438</v>
      </c>
      <c r="O18" s="76"/>
      <c r="P18" s="117">
        <f t="shared" si="4"/>
        <v>1.0000000000000298</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-1</v>
      </c>
      <c r="F19" s="21">
        <f t="shared" si="0"/>
        <v>4.6856213069477593E-18</v>
      </c>
      <c r="G19" s="21"/>
      <c r="H19" s="21"/>
      <c r="I19" s="278"/>
      <c r="J19" s="8">
        <f t="shared" si="1"/>
        <v>-18</v>
      </c>
      <c r="K19" s="58">
        <f t="shared" si="2"/>
        <v>4.685621306947759</v>
      </c>
      <c r="L19" s="118" t="s">
        <v>750</v>
      </c>
      <c r="M19" s="115"/>
      <c r="N19" s="116">
        <f t="shared" si="3"/>
        <v>218.85526787092127</v>
      </c>
      <c r="O19" s="76"/>
      <c r="P19" s="117">
        <f t="shared" si="4"/>
        <v>0.99999999999987965</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6.7586754161394376E-3</v>
      </c>
      <c r="E20" s="8">
        <v>3</v>
      </c>
      <c r="F20" s="21">
        <f t="shared" si="0"/>
        <v>11.678991119088948</v>
      </c>
      <c r="G20" s="21"/>
      <c r="H20" s="21"/>
      <c r="I20" s="278"/>
      <c r="J20" s="8">
        <f t="shared" si="1"/>
        <v>0</v>
      </c>
      <c r="K20" s="58">
        <f t="shared" si="2"/>
        <v>11.678991119088948</v>
      </c>
      <c r="L20" s="118" t="str">
        <f>Rydberg!L20</f>
        <v>T</v>
      </c>
      <c r="M20" s="115"/>
      <c r="N20" s="116">
        <f t="shared" si="3"/>
        <v>-13.480532089009426</v>
      </c>
      <c r="O20" s="76"/>
      <c r="P20" s="117">
        <f t="shared" si="4"/>
        <v>1.0000000000000064</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9.1210202701761676E-15</v>
      </c>
      <c r="E21" s="30">
        <v>-2</v>
      </c>
      <c r="F21" s="29">
        <f t="shared" si="0"/>
        <v>6.334041854289005E-17</v>
      </c>
      <c r="G21" s="29"/>
      <c r="H21" s="29"/>
      <c r="I21" s="281"/>
      <c r="J21" s="30">
        <f t="shared" si="1"/>
        <v>-18</v>
      </c>
      <c r="K21" s="59">
        <f t="shared" si="2"/>
        <v>63.340418542890049</v>
      </c>
      <c r="L21" s="119" t="s">
        <v>751</v>
      </c>
      <c r="M21" s="115"/>
      <c r="N21" s="116">
        <f t="shared" si="3"/>
        <v>204.57267193631415</v>
      </c>
      <c r="O21" s="76"/>
      <c r="P21" s="117">
        <f t="shared" si="4"/>
        <v>0.99999999999991818</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3286830300541730.5</v>
      </c>
      <c r="E22" s="30">
        <v>2</v>
      </c>
      <c r="F22" s="29">
        <f t="shared" si="0"/>
        <v>4.7330356327800922E+17</v>
      </c>
      <c r="G22" s="21"/>
      <c r="H22" s="21"/>
      <c r="I22" s="278"/>
      <c r="J22" s="8">
        <f t="shared" si="1"/>
        <v>15</v>
      </c>
      <c r="K22" s="58">
        <f t="shared" si="2"/>
        <v>473.30356327800922</v>
      </c>
      <c r="L22" s="118" t="s">
        <v>752</v>
      </c>
      <c r="M22" s="23"/>
      <c r="N22" s="82">
        <f t="shared" si="3"/>
        <v>-223.22381443007896</v>
      </c>
      <c r="O22" s="24"/>
      <c r="P22" s="83">
        <f t="shared" si="4"/>
        <v>1.0000000000001108</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0.80324452663297929</v>
      </c>
      <c r="E23" s="8">
        <f>E9</f>
        <v>10</v>
      </c>
      <c r="F23" s="21">
        <f t="shared" si="0"/>
        <v>49734783916.468651</v>
      </c>
      <c r="G23" s="21"/>
      <c r="H23" s="21"/>
      <c r="I23" s="278"/>
      <c r="J23" s="8">
        <f t="shared" si="1"/>
        <v>9</v>
      </c>
      <c r="K23" s="58">
        <f t="shared" si="2"/>
        <v>49.73478391646865</v>
      </c>
      <c r="L23" s="118" t="s">
        <v>753</v>
      </c>
      <c r="M23" s="23"/>
      <c r="N23" s="82">
        <f t="shared" si="3"/>
        <v>-135.09082982808582</v>
      </c>
      <c r="O23" s="24"/>
      <c r="P23" s="83">
        <f t="shared" si="4"/>
        <v>1.0000000000000167</v>
      </c>
      <c r="Q23" s="24"/>
      <c r="R23" s="258">
        <f>1/K57</f>
        <v>0.96873201747303028</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0.80324452663297929</v>
      </c>
      <c r="E24" s="8">
        <f>E9</f>
        <v>10</v>
      </c>
      <c r="F24" s="21">
        <f t="shared" si="0"/>
        <v>49734783916.468651</v>
      </c>
      <c r="G24" s="21"/>
      <c r="H24" s="21"/>
      <c r="I24" s="278"/>
      <c r="J24" s="8">
        <f t="shared" si="1"/>
        <v>9</v>
      </c>
      <c r="K24" s="58">
        <f t="shared" si="2"/>
        <v>49.73478391646865</v>
      </c>
      <c r="L24" s="118" t="s">
        <v>754</v>
      </c>
      <c r="M24" s="23"/>
      <c r="N24" s="82">
        <f t="shared" si="3"/>
        <v>-135.09082982808582</v>
      </c>
      <c r="O24" s="24"/>
      <c r="P24" s="83">
        <f t="shared" si="4"/>
        <v>1.0000000000000167</v>
      </c>
      <c r="Q24" s="24"/>
      <c r="R24" s="593" t="s">
        <v>1530</v>
      </c>
      <c r="S24" s="594"/>
      <c r="T24" s="594"/>
      <c r="U24" s="594"/>
      <c r="V24" s="594"/>
      <c r="W24" s="595"/>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6.3920168462574117E-2</v>
      </c>
      <c r="E25" s="8">
        <f>E9</f>
        <v>10</v>
      </c>
      <c r="F25" s="21">
        <f t="shared" si="0"/>
        <v>3957768351.9566398</v>
      </c>
      <c r="G25" s="21"/>
      <c r="H25" s="21"/>
      <c r="I25" s="278"/>
      <c r="J25" s="8">
        <f t="shared" si="1"/>
        <v>9</v>
      </c>
      <c r="K25" s="58">
        <f t="shared" si="2"/>
        <v>3.9577683519566396</v>
      </c>
      <c r="L25" s="118" t="s">
        <v>754</v>
      </c>
      <c r="M25" s="23"/>
      <c r="N25" s="82">
        <f t="shared" si="3"/>
        <v>-121.20863020519836</v>
      </c>
      <c r="O25" s="24"/>
      <c r="P25" s="83">
        <f t="shared" si="4"/>
        <v>1.0000000000000917</v>
      </c>
      <c r="Q25" s="24"/>
      <c r="R25" s="596"/>
      <c r="S25" s="597"/>
      <c r="T25" s="597"/>
      <c r="U25" s="597"/>
      <c r="V25" s="597"/>
      <c r="W25" s="598"/>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96551924132470.313</v>
      </c>
      <c r="E26" s="8">
        <v>14</v>
      </c>
      <c r="F26" s="21">
        <f t="shared" si="0"/>
        <v>1.2396479818139969E+29</v>
      </c>
      <c r="G26" s="21"/>
      <c r="H26" s="21"/>
      <c r="I26" s="278"/>
      <c r="J26" s="8">
        <f t="shared" si="1"/>
        <v>27</v>
      </c>
      <c r="K26" s="58">
        <f t="shared" si="2"/>
        <v>123.96479818139969</v>
      </c>
      <c r="L26" s="118" t="s">
        <v>663</v>
      </c>
      <c r="M26" s="23"/>
      <c r="N26" s="82">
        <f t="shared" si="3"/>
        <v>-367.4266297880165</v>
      </c>
      <c r="O26" s="24"/>
      <c r="P26" s="83"/>
      <c r="Q26" s="24"/>
      <c r="R26" s="599"/>
      <c r="S26" s="600"/>
      <c r="T26" s="600"/>
      <c r="U26" s="600"/>
      <c r="V26" s="600"/>
      <c r="W26" s="601"/>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5.457910121220299E-9</v>
      </c>
      <c r="E27" s="8">
        <v>2</v>
      </c>
      <c r="F27" s="21">
        <f t="shared" si="0"/>
        <v>7.8593905745572308E-7</v>
      </c>
      <c r="G27" s="21"/>
      <c r="H27" s="21"/>
      <c r="I27" s="278"/>
      <c r="J27" s="8">
        <f t="shared" si="1"/>
        <v>-9</v>
      </c>
      <c r="K27" s="58">
        <f t="shared" si="2"/>
        <v>785.93905745572306</v>
      </c>
      <c r="L27" s="118" t="s">
        <v>755</v>
      </c>
      <c r="M27" s="23"/>
      <c r="N27" s="82">
        <f t="shared" si="3"/>
        <v>77.096679239373842</v>
      </c>
      <c r="O27" s="24"/>
      <c r="P27" s="83">
        <f t="shared" si="4"/>
        <v>0.99999999999996259</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3286830300541730.5</v>
      </c>
      <c r="E28" s="8">
        <v>2</v>
      </c>
      <c r="F28" s="21">
        <f t="shared" si="0"/>
        <v>4.7330356327800922E+17</v>
      </c>
      <c r="G28" s="21"/>
      <c r="H28" s="21"/>
      <c r="I28" s="278"/>
      <c r="J28" s="8">
        <f t="shared" si="1"/>
        <v>15</v>
      </c>
      <c r="K28" s="58">
        <f t="shared" si="2"/>
        <v>473.30356327800922</v>
      </c>
      <c r="L28" s="118" t="s">
        <v>756</v>
      </c>
      <c r="M28" s="23"/>
      <c r="N28" s="82">
        <f t="shared" si="3"/>
        <v>-223.22381443007896</v>
      </c>
      <c r="O28" s="24"/>
      <c r="P28" s="83">
        <f t="shared" si="4"/>
        <v>1.0000000000001108</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0</v>
      </c>
      <c r="F29" s="21">
        <f t="shared" si="0"/>
        <v>8.987551787368176E+16</v>
      </c>
      <c r="G29" s="21"/>
      <c r="H29" s="21"/>
      <c r="I29" s="278"/>
      <c r="J29" s="8">
        <f t="shared" si="1"/>
        <v>15</v>
      </c>
      <c r="K29" s="58">
        <f t="shared" si="2"/>
        <v>89.875517873681758</v>
      </c>
      <c r="L29" s="118" t="s">
        <v>757</v>
      </c>
      <c r="M29" s="23"/>
      <c r="N29" s="82">
        <f t="shared" si="3"/>
        <v>-214.11182890022724</v>
      </c>
      <c r="O29" s="24"/>
      <c r="P29" s="83">
        <f t="shared" si="4"/>
        <v>1.0000000000001164</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0</v>
      </c>
      <c r="F30" s="32">
        <f t="shared" si="0"/>
        <v>8.987551787368176E+16</v>
      </c>
      <c r="G30" s="32"/>
      <c r="H30" s="32"/>
      <c r="I30" s="282"/>
      <c r="J30" s="33">
        <f t="shared" si="1"/>
        <v>15</v>
      </c>
      <c r="K30" s="60">
        <f t="shared" si="2"/>
        <v>89.875517873681758</v>
      </c>
      <c r="L30" s="124" t="s">
        <v>758</v>
      </c>
      <c r="M30" s="111"/>
      <c r="N30" s="112">
        <f t="shared" si="3"/>
        <v>-214.11182890022724</v>
      </c>
      <c r="O30" s="113"/>
      <c r="P30" s="114">
        <f t="shared" si="4"/>
        <v>1.0000000000001164</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34" t="s">
        <v>42</v>
      </c>
      <c r="C31" s="52" t="str">
        <f>Rydberg!C31</f>
        <v>Unit Symbol</v>
      </c>
      <c r="D31" s="34" t="s">
        <v>43</v>
      </c>
      <c r="E31" s="52" t="s">
        <v>54</v>
      </c>
      <c r="F31" s="34" t="s">
        <v>47</v>
      </c>
      <c r="G31" s="34" t="s">
        <v>92</v>
      </c>
      <c r="H31" s="52" t="str">
        <f>Rydberg!H$1</f>
        <v>difference</v>
      </c>
      <c r="I31" s="283"/>
      <c r="J31" s="583" t="str">
        <f>Rydberg!J31</f>
        <v>0123456789XE</v>
      </c>
      <c r="K31" s="584">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f>FLOOR(LOG(F32,12),1)</f>
        <v>-2</v>
      </c>
      <c r="K32" s="61">
        <f>F32/POWER(12,J32)</f>
        <v>1.0508187692592001</v>
      </c>
      <c r="L32" s="39" t="str">
        <f>INDEX(powers!$H$2:$H$75,33+J32)</f>
        <v>dino</v>
      </c>
      <c r="M32" s="40" t="str">
        <f t="shared" ref="M32:M69" si="5">IF($E32&gt;=M$31,MID($J$31,IF($E32&gt;M$31,INT(K32),ROUND(K32,0))+1,1),"")</f>
        <v>1</v>
      </c>
      <c r="N32" s="24">
        <f>(K32-INT(K32))*12</f>
        <v>0.60982523111040177</v>
      </c>
      <c r="O32" s="41" t="str">
        <f t="shared" ref="O32:O69" si="6">IF($E32&gt;=O$31,MID($J$31,IF($E32&gt;O$31,INT(N32),ROUND(N32,0))+1,1),"")</f>
        <v>0</v>
      </c>
      <c r="P32" s="24">
        <f>(N32-INT(N32))*12</f>
        <v>7.3179027733248212</v>
      </c>
      <c r="Q32" s="41" t="str">
        <f t="shared" ref="Q32:Q69" si="7">IF($E32&gt;=Q$31,MID($J$31,IF($E32&gt;Q$31,INT(P32),ROUND(P32,0))+1,1),"")</f>
        <v>7</v>
      </c>
      <c r="R32" s="24">
        <f>(P32-INT(P32))*12</f>
        <v>3.8148332798978544</v>
      </c>
      <c r="S32" s="41" t="str">
        <f t="shared" ref="S32:S69" si="8">IF($E32&gt;=S$31,MID($J$31,IF($E32&gt;S$31,INT(R32),ROUND(R32,0))+1,1),"")</f>
        <v>3</v>
      </c>
      <c r="T32" s="24">
        <f>(R32-INT(R32))*12</f>
        <v>9.7779993587742524</v>
      </c>
      <c r="U32" s="41" t="str">
        <f t="shared" ref="U32:U69" si="9">IF($E32&gt;=U$31,MID($J$31,IF($E32&gt;U$31,INT(T32),ROUND(T32,0))+1,1),"")</f>
        <v>9</v>
      </c>
      <c r="V32" s="24">
        <f>(T32-INT(T32))*12</f>
        <v>9.335992305291029</v>
      </c>
      <c r="W32" s="41" t="str">
        <f t="shared" ref="W32:W69" si="10">IF($E32&gt;=W$31,MID($J$31,IF($E32&gt;W$31,INT(V32),ROUND(V32,0))+1,1),"")</f>
        <v>9</v>
      </c>
      <c r="X32" s="24">
        <f>(V32-INT(V32))*12</f>
        <v>4.0319076634923476</v>
      </c>
      <c r="Y32" s="41" t="str">
        <f t="shared" ref="Y32:Y69" si="11">IF($E32&gt;=Y$31,MID($J$31,IF($E32&gt;Y$31,INT(X32),ROUND(X32,0))+1,1),"")</f>
        <v>4</v>
      </c>
      <c r="Z32" s="24">
        <f>(X32-INT(X32))*12</f>
        <v>0.38289196190817165</v>
      </c>
      <c r="AA32" s="41" t="str">
        <f t="shared" ref="AA32:AA69" si="12">IF($E32&gt;=AA$31,MID($J$31,IF($E32&gt;AA$31,INT(Z32),ROUND(Z32,0))+1,1),"")</f>
        <v>0</v>
      </c>
      <c r="AB32" s="24">
        <f>(Z32-INT(Z32))*12</f>
        <v>4.5947035428980598</v>
      </c>
      <c r="AC32" s="41" t="str">
        <f t="shared" ref="AC32:AC69" si="13">IF($E32&gt;=AC$31,MID($J$31,IF($E32&gt;AC$31,INT(AB32),ROUND(AB32,0))+1,1),"")</f>
        <v>4</v>
      </c>
      <c r="AD32" s="24">
        <f>(AB32-INT(AB32))*12</f>
        <v>7.1364425147767179</v>
      </c>
      <c r="AE32" s="41" t="str">
        <f t="shared" ref="AE32:AE69" si="14">IF($E32&gt;=AE$31,MID($J$31,IF($E32&gt;AE$31,INT(AD32),ROUND(AD32,0))+1,1),"")</f>
        <v>7</v>
      </c>
      <c r="AF32" s="24">
        <f>(AD32-INT(AD32))*12</f>
        <v>1.6373101773206145</v>
      </c>
      <c r="AG32" s="41" t="str">
        <f t="shared" ref="AG32:AG69" si="15">IF($E32&gt;=AG$31,MID($J$31,IF($E32&gt;AG$31,INT(AF32),ROUND(AF32,0))+1,1),"")</f>
        <v>2</v>
      </c>
      <c r="AH32" s="24">
        <f>(AF32-INT(AF32))*12</f>
        <v>7.6477221278473735</v>
      </c>
      <c r="AI32" s="41" t="str">
        <f t="shared" ref="AI32:AI69" si="16">IF($E32&gt;=AI$31,MID($J$31,IF($E32&gt;AI$31,INT(AH32),ROUND(AH32,0))+1,1),"")</f>
        <v/>
      </c>
      <c r="AJ32" s="24">
        <f>(AH32-INT(AH32))*12</f>
        <v>7.7726655341684818</v>
      </c>
      <c r="AK32" s="41" t="str">
        <f t="shared" ref="AK32:AK69" si="17">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0.99999999999999989</v>
      </c>
      <c r="G33" s="37" t="str">
        <f t="shared" ref="G33:G69" si="18">M33&amp;";"&amp;O33&amp;Q33&amp;S33&amp;U33&amp;W33&amp;Y33&amp;AA33&amp;AC33&amp;AE33&amp;AG33&amp;AI33&amp;AK33</f>
        <v>1;0000000000</v>
      </c>
      <c r="H33" s="275">
        <f t="shared" ref="H33:H49" si="19">K33*POWER(12,I33)/ROUND(K33*POWER(12,I33),0)-1</f>
        <v>9.9986685597741598E-13</v>
      </c>
      <c r="I33" s="278"/>
      <c r="J33" s="38">
        <v>0</v>
      </c>
      <c r="K33" s="61">
        <f>F33/POWER(12,J33)+0.000000000001</f>
        <v>1.0000000000009999</v>
      </c>
      <c r="L33" s="39" t="str">
        <f>INDEX(powers!$H$2:$H$75,33+J33)</f>
        <v xml:space="preserve"> </v>
      </c>
      <c r="M33" s="40" t="str">
        <f t="shared" si="5"/>
        <v>1</v>
      </c>
      <c r="N33" s="24">
        <f t="shared" ref="N33:N69" si="20">(K33-INT(K33))*12</f>
        <v>1.1998402271728992E-11</v>
      </c>
      <c r="O33" s="41" t="str">
        <f t="shared" si="6"/>
        <v>0</v>
      </c>
      <c r="P33" s="24">
        <f t="shared" ref="P33:P69" si="21">(N33-INT(N33))*12</f>
        <v>1.439808272607479E-10</v>
      </c>
      <c r="Q33" s="41" t="str">
        <f t="shared" si="7"/>
        <v>0</v>
      </c>
      <c r="R33" s="24">
        <f t="shared" ref="R33:R69" si="22">(P33-INT(P33))*12</f>
        <v>1.7277699271289748E-9</v>
      </c>
      <c r="S33" s="41" t="str">
        <f t="shared" si="8"/>
        <v>0</v>
      </c>
      <c r="T33" s="24">
        <f t="shared" ref="T33:T69" si="23">(R33-INT(R33))*12</f>
        <v>2.0733239125547698E-8</v>
      </c>
      <c r="U33" s="41" t="str">
        <f t="shared" si="9"/>
        <v>0</v>
      </c>
      <c r="V33" s="24">
        <f t="shared" ref="V33:V69" si="24">(T33-INT(T33))*12</f>
        <v>2.4879886950657237E-7</v>
      </c>
      <c r="W33" s="41" t="str">
        <f t="shared" si="10"/>
        <v>0</v>
      </c>
      <c r="X33" s="24">
        <f t="shared" ref="X33:X69" si="25">(V33-INT(V33))*12</f>
        <v>2.9855864340788685E-6</v>
      </c>
      <c r="Y33" s="41" t="str">
        <f t="shared" si="11"/>
        <v>0</v>
      </c>
      <c r="Z33" s="24">
        <f t="shared" ref="Z33:Z69" si="26">(X33-INT(X33))*12</f>
        <v>3.5827037208946422E-5</v>
      </c>
      <c r="AA33" s="41" t="str">
        <f t="shared" si="12"/>
        <v>0</v>
      </c>
      <c r="AB33" s="24">
        <f t="shared" ref="AB33:AB69" si="27">(Z33-INT(Z33))*12</f>
        <v>4.2992444650735706E-4</v>
      </c>
      <c r="AC33" s="41" t="str">
        <f t="shared" si="13"/>
        <v>0</v>
      </c>
      <c r="AD33" s="24">
        <f t="shared" ref="AD33:AD69" si="28">(AB33-INT(AB33))*12</f>
        <v>5.1590933580882847E-3</v>
      </c>
      <c r="AE33" s="41" t="str">
        <f t="shared" si="14"/>
        <v>0</v>
      </c>
      <c r="AF33" s="24">
        <f t="shared" ref="AF33:AF69" si="29">(AD33-INT(AD33))*12</f>
        <v>6.1909120297059417E-2</v>
      </c>
      <c r="AG33" s="41" t="str">
        <f t="shared" si="15"/>
        <v>0</v>
      </c>
      <c r="AH33" s="24">
        <f t="shared" ref="AH33:AH69" si="30">(AF33-INT(AF33))*12</f>
        <v>0.742909443564713</v>
      </c>
      <c r="AI33" s="41" t="str">
        <f t="shared" si="16"/>
        <v/>
      </c>
      <c r="AJ33" s="24">
        <f t="shared" ref="AJ33:AJ69" si="31">(AH33-INT(AH33))*12</f>
        <v>8.914913322776556</v>
      </c>
      <c r="AK33" s="41" t="str">
        <f t="shared" si="17"/>
        <v/>
      </c>
    </row>
    <row r="34" spans="1:37" ht="15" customHeight="1" x14ac:dyDescent="0.2">
      <c r="A34" s="581"/>
      <c r="B34" s="3" t="str">
        <f>Rydberg!B34</f>
        <v>Rydberg constant</v>
      </c>
      <c r="C34" s="3" t="str">
        <f>Rydberg!C34</f>
        <v>Ω_1/m</v>
      </c>
      <c r="D34" s="21">
        <f>Rydberg!D34</f>
        <v>10973731.568157</v>
      </c>
      <c r="E34" s="8">
        <v>12</v>
      </c>
      <c r="F34" s="21">
        <f>D34/(1/F$3)</f>
        <v>6.9508075060013726E-3</v>
      </c>
      <c r="G34" s="42" t="str">
        <f t="shared" si="18"/>
        <v>1;001700000000</v>
      </c>
      <c r="H34" s="275">
        <f t="shared" si="19"/>
        <v>9.1628086419781596E-4</v>
      </c>
      <c r="I34" s="278"/>
      <c r="J34" s="38">
        <f t="shared" ref="J34:J69" si="32">FLOOR(LOG(F34,12),1)</f>
        <v>-2</v>
      </c>
      <c r="K34" s="61">
        <f>F34/POWER(12,J34)</f>
        <v>1.0009162808641978</v>
      </c>
      <c r="L34" s="39" t="str">
        <f>INDEX(powers!$H$2:$H$75,33+J34)</f>
        <v>dino</v>
      </c>
      <c r="M34" s="40" t="str">
        <f t="shared" si="5"/>
        <v>1</v>
      </c>
      <c r="N34" s="24">
        <f t="shared" si="20"/>
        <v>1.0995370370373792E-2</v>
      </c>
      <c r="O34" s="41" t="str">
        <f t="shared" si="6"/>
        <v>0</v>
      </c>
      <c r="P34" s="24">
        <f t="shared" si="21"/>
        <v>0.1319444444444855</v>
      </c>
      <c r="Q34" s="41" t="str">
        <f t="shared" si="7"/>
        <v>0</v>
      </c>
      <c r="R34" s="24">
        <f t="shared" si="22"/>
        <v>1.583333333333826</v>
      </c>
      <c r="S34" s="41" t="str">
        <f t="shared" si="8"/>
        <v>1</v>
      </c>
      <c r="T34" s="24">
        <f t="shared" si="23"/>
        <v>7.0000000000059117</v>
      </c>
      <c r="U34" s="41" t="str">
        <f t="shared" si="9"/>
        <v>7</v>
      </c>
      <c r="V34" s="24">
        <f t="shared" si="24"/>
        <v>7.0940586738288403E-11</v>
      </c>
      <c r="W34" s="41" t="str">
        <f t="shared" si="10"/>
        <v>0</v>
      </c>
      <c r="X34" s="24">
        <f t="shared" si="25"/>
        <v>8.5128704085946083E-10</v>
      </c>
      <c r="Y34" s="41" t="str">
        <f t="shared" si="11"/>
        <v>0</v>
      </c>
      <c r="Z34" s="24">
        <f t="shared" si="26"/>
        <v>1.021544449031353E-8</v>
      </c>
      <c r="AA34" s="41" t="str">
        <f t="shared" si="12"/>
        <v>0</v>
      </c>
      <c r="AB34" s="24">
        <f t="shared" si="27"/>
        <v>1.2258533388376236E-7</v>
      </c>
      <c r="AC34" s="41" t="str">
        <f t="shared" si="13"/>
        <v>0</v>
      </c>
      <c r="AD34" s="24">
        <f t="shared" si="28"/>
        <v>1.4710240066051483E-6</v>
      </c>
      <c r="AE34" s="41" t="str">
        <f t="shared" si="14"/>
        <v>0</v>
      </c>
      <c r="AF34" s="24">
        <f t="shared" si="29"/>
        <v>1.765228807926178E-5</v>
      </c>
      <c r="AG34" s="41" t="str">
        <f t="shared" si="15"/>
        <v>0</v>
      </c>
      <c r="AH34" s="24">
        <f t="shared" si="30"/>
        <v>2.1182745695114136E-4</v>
      </c>
      <c r="AI34" s="41" t="str">
        <f t="shared" si="16"/>
        <v>0</v>
      </c>
      <c r="AJ34" s="24">
        <f t="shared" si="31"/>
        <v>2.5419294834136963E-3</v>
      </c>
      <c r="AK34" s="41" t="str">
        <f t="shared" si="17"/>
        <v>0</v>
      </c>
    </row>
    <row r="35" spans="1:37" ht="15" customHeight="1" x14ac:dyDescent="0.2">
      <c r="A35" s="581"/>
      <c r="B35" s="3" t="str">
        <f>Rydberg!B35</f>
        <v>Speed of light in vacuum</v>
      </c>
      <c r="C35" s="3" t="str">
        <f>Rydberg!C35</f>
        <v>m/s</v>
      </c>
      <c r="D35" s="21">
        <f>Rydberg!D35</f>
        <v>299792458</v>
      </c>
      <c r="E35" s="8">
        <v>12</v>
      </c>
      <c r="F35" s="21">
        <f>D35/(F$3/F$4)</f>
        <v>1</v>
      </c>
      <c r="G35" s="37" t="str">
        <f t="shared" si="18"/>
        <v>1;000000000000</v>
      </c>
      <c r="H35" s="275">
        <f t="shared" si="19"/>
        <v>0</v>
      </c>
      <c r="I35" s="278"/>
      <c r="J35" s="38">
        <f t="shared" si="32"/>
        <v>0</v>
      </c>
      <c r="K35" s="61">
        <f>F35/POWER(12,J35)</f>
        <v>1</v>
      </c>
      <c r="L35" s="39" t="str">
        <f>INDEX(powers!$H$2:$H$75,33+J35)</f>
        <v xml:space="preserve"> </v>
      </c>
      <c r="M35" s="40" t="str">
        <f t="shared" si="5"/>
        <v>1</v>
      </c>
      <c r="N35" s="24">
        <f t="shared" si="20"/>
        <v>0</v>
      </c>
      <c r="O35" s="41" t="str">
        <f t="shared" si="6"/>
        <v>0</v>
      </c>
      <c r="P35" s="24">
        <f t="shared" si="21"/>
        <v>0</v>
      </c>
      <c r="Q35" s="41" t="str">
        <f t="shared" si="7"/>
        <v>0</v>
      </c>
      <c r="R35" s="24">
        <f t="shared" si="22"/>
        <v>0</v>
      </c>
      <c r="S35" s="41" t="str">
        <f t="shared" si="8"/>
        <v>0</v>
      </c>
      <c r="T35" s="24">
        <f t="shared" si="23"/>
        <v>0</v>
      </c>
      <c r="U35" s="41" t="str">
        <f t="shared" si="9"/>
        <v>0</v>
      </c>
      <c r="V35" s="24">
        <f t="shared" si="24"/>
        <v>0</v>
      </c>
      <c r="W35" s="41" t="str">
        <f t="shared" si="10"/>
        <v>0</v>
      </c>
      <c r="X35" s="24">
        <f t="shared" si="25"/>
        <v>0</v>
      </c>
      <c r="Y35" s="41" t="str">
        <f t="shared" si="11"/>
        <v>0</v>
      </c>
      <c r="Z35" s="24">
        <f t="shared" si="26"/>
        <v>0</v>
      </c>
      <c r="AA35" s="41" t="str">
        <f t="shared" si="12"/>
        <v>0</v>
      </c>
      <c r="AB35" s="24">
        <f t="shared" si="27"/>
        <v>0</v>
      </c>
      <c r="AC35" s="41" t="str">
        <f t="shared" si="13"/>
        <v>0</v>
      </c>
      <c r="AD35" s="24">
        <f t="shared" si="28"/>
        <v>0</v>
      </c>
      <c r="AE35" s="41" t="str">
        <f t="shared" si="14"/>
        <v>0</v>
      </c>
      <c r="AF35" s="24">
        <f t="shared" si="29"/>
        <v>0</v>
      </c>
      <c r="AG35" s="41" t="str">
        <f t="shared" si="15"/>
        <v>0</v>
      </c>
      <c r="AH35" s="24">
        <f t="shared" si="30"/>
        <v>0</v>
      </c>
      <c r="AI35" s="41" t="str">
        <f t="shared" si="16"/>
        <v>0</v>
      </c>
      <c r="AJ35" s="24">
        <f t="shared" si="31"/>
        <v>0</v>
      </c>
      <c r="AK35" s="41" t="str">
        <f t="shared" si="17"/>
        <v>0</v>
      </c>
    </row>
    <row r="36" spans="1:37" ht="15" customHeight="1" x14ac:dyDescent="0.2">
      <c r="A36" s="581"/>
      <c r="B36" s="3" t="str">
        <f>Rydberg!B36</f>
        <v>Quantum of action</v>
      </c>
      <c r="C36" s="3" t="str">
        <f>Rydberg!C36</f>
        <v>Js</v>
      </c>
      <c r="D36" s="21">
        <f>Rydberg!D36</f>
        <v>1.0545718176461565E-34</v>
      </c>
      <c r="E36" s="8">
        <v>10</v>
      </c>
      <c r="F36" s="21">
        <f>D36/(F$5*F$4)</f>
        <v>3.3489797668038412E-7</v>
      </c>
      <c r="G36" s="37" t="str">
        <f t="shared" si="18"/>
        <v>1;0000000000</v>
      </c>
      <c r="H36" s="275">
        <f t="shared" si="19"/>
        <v>1.000310945187266E-12</v>
      </c>
      <c r="I36" s="278"/>
      <c r="J36" s="38">
        <f t="shared" si="32"/>
        <v>-6</v>
      </c>
      <c r="K36" s="61">
        <f>F36/POWER(12,J36)+0.000000000001</f>
        <v>1.0000000000010003</v>
      </c>
      <c r="L36" s="39" t="str">
        <f>INDEX(powers!$H$2:$H$75,33+J36)</f>
        <v>gross atomic</v>
      </c>
      <c r="M36" s="40" t="str">
        <f t="shared" si="5"/>
        <v>1</v>
      </c>
      <c r="N36" s="24">
        <f t="shared" si="20"/>
        <v>1.2003731342247193E-11</v>
      </c>
      <c r="O36" s="41" t="str">
        <f t="shared" si="6"/>
        <v>0</v>
      </c>
      <c r="P36" s="24">
        <f t="shared" si="21"/>
        <v>1.4404477610696631E-10</v>
      </c>
      <c r="Q36" s="41" t="str">
        <f t="shared" si="7"/>
        <v>0</v>
      </c>
      <c r="R36" s="24">
        <f t="shared" si="22"/>
        <v>1.7285373132835957E-9</v>
      </c>
      <c r="S36" s="41" t="str">
        <f t="shared" si="8"/>
        <v>0</v>
      </c>
      <c r="T36" s="24">
        <f t="shared" si="23"/>
        <v>2.0742447759403149E-8</v>
      </c>
      <c r="U36" s="41" t="str">
        <f t="shared" si="9"/>
        <v>0</v>
      </c>
      <c r="V36" s="24">
        <f t="shared" si="24"/>
        <v>2.4890937311283778E-7</v>
      </c>
      <c r="W36" s="41" t="str">
        <f t="shared" si="10"/>
        <v>0</v>
      </c>
      <c r="X36" s="24">
        <f t="shared" si="25"/>
        <v>2.9869124773540534E-6</v>
      </c>
      <c r="Y36" s="41" t="str">
        <f t="shared" si="11"/>
        <v>0</v>
      </c>
      <c r="Z36" s="24">
        <f t="shared" si="26"/>
        <v>3.5842949728248641E-5</v>
      </c>
      <c r="AA36" s="41" t="str">
        <f t="shared" si="12"/>
        <v>0</v>
      </c>
      <c r="AB36" s="24">
        <f t="shared" si="27"/>
        <v>4.3011539673898369E-4</v>
      </c>
      <c r="AC36" s="41" t="str">
        <f t="shared" si="13"/>
        <v>0</v>
      </c>
      <c r="AD36" s="24">
        <f t="shared" si="28"/>
        <v>5.1613847608678043E-3</v>
      </c>
      <c r="AE36" s="41" t="str">
        <f t="shared" si="14"/>
        <v>0</v>
      </c>
      <c r="AF36" s="24">
        <f t="shared" si="29"/>
        <v>6.1936617130413651E-2</v>
      </c>
      <c r="AG36" s="41" t="str">
        <f t="shared" si="15"/>
        <v>0</v>
      </c>
      <c r="AH36" s="24">
        <f t="shared" si="30"/>
        <v>0.74323940556496382</v>
      </c>
      <c r="AI36" s="41" t="str">
        <f t="shared" si="16"/>
        <v/>
      </c>
      <c r="AJ36" s="24">
        <f t="shared" si="31"/>
        <v>8.9188728667795658</v>
      </c>
      <c r="AK36" s="41" t="str">
        <f t="shared" si="17"/>
        <v/>
      </c>
    </row>
    <row r="37" spans="1:37" ht="15" customHeight="1" x14ac:dyDescent="0.2">
      <c r="A37" s="581"/>
      <c r="B37" s="3" t="str">
        <f>Rydberg!B37</f>
        <v>Boltzmann constant</v>
      </c>
      <c r="C37" s="3" t="str">
        <f>Rydberg!C37</f>
        <v>J/K</v>
      </c>
      <c r="D37" s="21">
        <f>Rydberg!D37</f>
        <v>1.3806490000000001E-23</v>
      </c>
      <c r="E37" s="8">
        <v>10</v>
      </c>
      <c r="F37" s="21">
        <f>D37/(F$5/F$6)</f>
        <v>1</v>
      </c>
      <c r="G37" s="37" t="str">
        <f t="shared" si="18"/>
        <v>1;0000000000</v>
      </c>
      <c r="H37" s="275">
        <f t="shared" si="19"/>
        <v>0</v>
      </c>
      <c r="I37" s="278"/>
      <c r="J37" s="131">
        <f t="shared" si="32"/>
        <v>0</v>
      </c>
      <c r="K37" s="61">
        <f t="shared" ref="K37:K69" si="33">F37/POWER(12,J37)</f>
        <v>1</v>
      </c>
      <c r="L37" s="134" t="str">
        <f>INDEX(powers!$H$2:$H$75,33+J37)</f>
        <v xml:space="preserve"> </v>
      </c>
      <c r="M37" s="40" t="str">
        <f t="shared" si="5"/>
        <v>1</v>
      </c>
      <c r="N37" s="24">
        <f t="shared" si="20"/>
        <v>0</v>
      </c>
      <c r="O37" s="41" t="str">
        <f t="shared" si="6"/>
        <v>0</v>
      </c>
      <c r="P37" s="24">
        <f t="shared" si="21"/>
        <v>0</v>
      </c>
      <c r="Q37" s="41" t="str">
        <f t="shared" si="7"/>
        <v>0</v>
      </c>
      <c r="R37" s="24">
        <f t="shared" si="22"/>
        <v>0</v>
      </c>
      <c r="S37" s="41" t="str">
        <f t="shared" si="8"/>
        <v>0</v>
      </c>
      <c r="T37" s="24">
        <f t="shared" si="23"/>
        <v>0</v>
      </c>
      <c r="U37" s="41" t="str">
        <f t="shared" si="9"/>
        <v>0</v>
      </c>
      <c r="V37" s="24">
        <f t="shared" si="24"/>
        <v>0</v>
      </c>
      <c r="W37" s="41" t="str">
        <f t="shared" si="10"/>
        <v>0</v>
      </c>
      <c r="X37" s="24">
        <f t="shared" si="25"/>
        <v>0</v>
      </c>
      <c r="Y37" s="41" t="str">
        <f t="shared" si="11"/>
        <v>0</v>
      </c>
      <c r="Z37" s="24">
        <f t="shared" si="26"/>
        <v>0</v>
      </c>
      <c r="AA37" s="41" t="str">
        <f t="shared" si="12"/>
        <v>0</v>
      </c>
      <c r="AB37" s="24">
        <f t="shared" si="27"/>
        <v>0</v>
      </c>
      <c r="AC37" s="41" t="str">
        <f t="shared" si="13"/>
        <v>0</v>
      </c>
      <c r="AD37" s="24">
        <f t="shared" si="28"/>
        <v>0</v>
      </c>
      <c r="AE37" s="41" t="str">
        <f t="shared" si="14"/>
        <v>0</v>
      </c>
      <c r="AF37" s="24">
        <f t="shared" si="29"/>
        <v>0</v>
      </c>
      <c r="AG37" s="41" t="str">
        <f t="shared" si="15"/>
        <v>0</v>
      </c>
      <c r="AH37" s="24">
        <f t="shared" si="30"/>
        <v>0</v>
      </c>
      <c r="AI37" s="41" t="str">
        <f t="shared" si="16"/>
        <v/>
      </c>
      <c r="AJ37" s="24">
        <f t="shared" si="31"/>
        <v>0</v>
      </c>
      <c r="AK37" s="41" t="str">
        <f t="shared" si="17"/>
        <v/>
      </c>
    </row>
    <row r="38" spans="1:37" ht="15" customHeight="1" x14ac:dyDescent="0.2">
      <c r="A38" s="581"/>
      <c r="B38" s="3" t="str">
        <f>Rydberg!B38</f>
        <v>Gas constant</v>
      </c>
      <c r="C38" s="3" t="str">
        <f>Rydberg!C38</f>
        <v>J/(mol K)</v>
      </c>
      <c r="D38" s="21">
        <f>Rydberg!D38</f>
        <v>8.3144626181532395</v>
      </c>
      <c r="E38" s="8">
        <v>10</v>
      </c>
      <c r="F38" s="21">
        <f>ROUND(D38/(F$5/F$6/F$7),0)</f>
        <v>1</v>
      </c>
      <c r="G38" s="37" t="str">
        <f t="shared" si="18"/>
        <v>1;0000000000</v>
      </c>
      <c r="H38" s="275">
        <f t="shared" si="19"/>
        <v>0</v>
      </c>
      <c r="I38" s="278"/>
      <c r="J38" s="131">
        <f t="shared" si="32"/>
        <v>0</v>
      </c>
      <c r="K38" s="61">
        <f t="shared" si="33"/>
        <v>1</v>
      </c>
      <c r="L38" s="134" t="str">
        <f>INDEX(powers!$H$2:$H$75,33+J38)</f>
        <v xml:space="preserve"> </v>
      </c>
      <c r="M38" s="40" t="str">
        <f t="shared" si="5"/>
        <v>1</v>
      </c>
      <c r="N38" s="24">
        <f t="shared" si="20"/>
        <v>0</v>
      </c>
      <c r="O38" s="41" t="str">
        <f t="shared" si="6"/>
        <v>0</v>
      </c>
      <c r="P38" s="24">
        <f t="shared" si="21"/>
        <v>0</v>
      </c>
      <c r="Q38" s="41" t="str">
        <f t="shared" si="7"/>
        <v>0</v>
      </c>
      <c r="R38" s="24">
        <f t="shared" si="22"/>
        <v>0</v>
      </c>
      <c r="S38" s="41" t="str">
        <f t="shared" si="8"/>
        <v>0</v>
      </c>
      <c r="T38" s="24">
        <f t="shared" si="23"/>
        <v>0</v>
      </c>
      <c r="U38" s="41" t="str">
        <f t="shared" si="9"/>
        <v>0</v>
      </c>
      <c r="V38" s="24">
        <f t="shared" si="24"/>
        <v>0</v>
      </c>
      <c r="W38" s="41" t="str">
        <f t="shared" si="10"/>
        <v>0</v>
      </c>
      <c r="X38" s="24">
        <f t="shared" si="25"/>
        <v>0</v>
      </c>
      <c r="Y38" s="41" t="str">
        <f t="shared" si="11"/>
        <v>0</v>
      </c>
      <c r="Z38" s="24">
        <f t="shared" si="26"/>
        <v>0</v>
      </c>
      <c r="AA38" s="41" t="str">
        <f t="shared" si="12"/>
        <v>0</v>
      </c>
      <c r="AB38" s="24">
        <f t="shared" si="27"/>
        <v>0</v>
      </c>
      <c r="AC38" s="41" t="str">
        <f t="shared" si="13"/>
        <v>0</v>
      </c>
      <c r="AD38" s="24">
        <f t="shared" si="28"/>
        <v>0</v>
      </c>
      <c r="AE38" s="41" t="str">
        <f t="shared" si="14"/>
        <v>0</v>
      </c>
      <c r="AF38" s="24">
        <f t="shared" si="29"/>
        <v>0</v>
      </c>
      <c r="AG38" s="41" t="str">
        <f t="shared" si="15"/>
        <v>0</v>
      </c>
      <c r="AH38" s="24">
        <f t="shared" si="30"/>
        <v>0</v>
      </c>
      <c r="AI38" s="41" t="str">
        <f t="shared" si="16"/>
        <v/>
      </c>
      <c r="AJ38" s="24">
        <f t="shared" si="31"/>
        <v>0</v>
      </c>
      <c r="AK38" s="41" t="str">
        <f t="shared" si="17"/>
        <v/>
      </c>
    </row>
    <row r="39" spans="1:37" ht="15" customHeight="1" x14ac:dyDescent="0.2">
      <c r="A39" s="581"/>
      <c r="B39" s="3" t="str">
        <f>Rydberg!B39</f>
        <v>Unified atomic mass unit</v>
      </c>
      <c r="C39" s="3" t="str">
        <f>Rydberg!C39</f>
        <v>kg</v>
      </c>
      <c r="D39" s="21">
        <f>Rydberg!D39</f>
        <v>1.6605390689199999E-27</v>
      </c>
      <c r="E39" s="8">
        <v>10</v>
      </c>
      <c r="F39" s="21">
        <f>D39/F$8</f>
        <v>1.0013527445498418</v>
      </c>
      <c r="G39" s="37" t="str">
        <f t="shared" si="18"/>
        <v>1;0024073349</v>
      </c>
      <c r="H39" s="275">
        <f t="shared" si="19"/>
        <v>1.3527445498418E-3</v>
      </c>
      <c r="I39" s="278"/>
      <c r="J39" s="38">
        <f t="shared" si="32"/>
        <v>0</v>
      </c>
      <c r="K39" s="61">
        <f t="shared" si="33"/>
        <v>1.0013527445498418</v>
      </c>
      <c r="L39" s="39" t="str">
        <f>INDEX(powers!$H$2:$H$75,33+J39)</f>
        <v xml:space="preserve"> </v>
      </c>
      <c r="M39" s="40" t="str">
        <f t="shared" si="5"/>
        <v>1</v>
      </c>
      <c r="N39" s="24">
        <f t="shared" si="20"/>
        <v>1.62329345981016E-2</v>
      </c>
      <c r="O39" s="41" t="str">
        <f t="shared" si="6"/>
        <v>0</v>
      </c>
      <c r="P39" s="24">
        <f t="shared" si="21"/>
        <v>0.19479521517721921</v>
      </c>
      <c r="Q39" s="41" t="str">
        <f t="shared" si="7"/>
        <v>0</v>
      </c>
      <c r="R39" s="24">
        <f t="shared" si="22"/>
        <v>2.3375425821266305</v>
      </c>
      <c r="S39" s="41" t="str">
        <f t="shared" si="8"/>
        <v>2</v>
      </c>
      <c r="T39" s="24">
        <f t="shared" si="23"/>
        <v>4.0505109855195656</v>
      </c>
      <c r="U39" s="41" t="str">
        <f t="shared" si="9"/>
        <v>4</v>
      </c>
      <c r="V39" s="24">
        <f t="shared" si="24"/>
        <v>0.60613182623478679</v>
      </c>
      <c r="W39" s="41" t="str">
        <f t="shared" si="10"/>
        <v>0</v>
      </c>
      <c r="X39" s="24">
        <f t="shared" si="25"/>
        <v>7.2735819148174414</v>
      </c>
      <c r="Y39" s="41" t="str">
        <f t="shared" si="11"/>
        <v>7</v>
      </c>
      <c r="Z39" s="24">
        <f t="shared" si="26"/>
        <v>3.2829829778092972</v>
      </c>
      <c r="AA39" s="41" t="str">
        <f t="shared" si="12"/>
        <v>3</v>
      </c>
      <c r="AB39" s="24">
        <f t="shared" si="27"/>
        <v>3.3957957337115658</v>
      </c>
      <c r="AC39" s="41" t="str">
        <f t="shared" si="13"/>
        <v>3</v>
      </c>
      <c r="AD39" s="24">
        <f t="shared" si="28"/>
        <v>4.7495488045387901</v>
      </c>
      <c r="AE39" s="41" t="str">
        <f t="shared" si="14"/>
        <v>4</v>
      </c>
      <c r="AF39" s="24">
        <f t="shared" si="29"/>
        <v>8.9945856544654816</v>
      </c>
      <c r="AG39" s="41" t="str">
        <f t="shared" si="15"/>
        <v>9</v>
      </c>
      <c r="AH39" s="24">
        <f t="shared" si="30"/>
        <v>11.93502785358578</v>
      </c>
      <c r="AI39" s="41" t="str">
        <f t="shared" si="16"/>
        <v/>
      </c>
      <c r="AJ39" s="24">
        <f t="shared" si="31"/>
        <v>11.220334243029356</v>
      </c>
      <c r="AK39" s="41" t="str">
        <f t="shared" si="17"/>
        <v/>
      </c>
    </row>
    <row r="40" spans="1:37" ht="15" customHeight="1" x14ac:dyDescent="0.2">
      <c r="A40" s="581"/>
      <c r="B40" s="3" t="str">
        <f>Rydberg!B40</f>
        <v>Bohr Radius</v>
      </c>
      <c r="C40" s="3" t="str">
        <f>Rydberg!C40</f>
        <v>m</v>
      </c>
      <c r="D40" s="21">
        <f>Rydberg!D40</f>
        <v>5.2917721054102549E-11</v>
      </c>
      <c r="E40" s="8">
        <v>10</v>
      </c>
      <c r="F40" s="21">
        <f>D40/F$3</f>
        <v>8.3544950071620772E-2</v>
      </c>
      <c r="G40" s="37" t="str">
        <f t="shared" si="18"/>
        <v>1;00447X73X8</v>
      </c>
      <c r="H40" s="275">
        <f t="shared" si="19"/>
        <v>2.539400859449259E-3</v>
      </c>
      <c r="I40" s="278"/>
      <c r="J40" s="38">
        <f t="shared" si="32"/>
        <v>-1</v>
      </c>
      <c r="K40" s="61">
        <f t="shared" si="33"/>
        <v>1.0025394008594493</v>
      </c>
      <c r="L40" s="39" t="str">
        <f>INDEX(powers!$H$2:$H$75,33+J40)</f>
        <v>unino</v>
      </c>
      <c r="M40" s="40" t="str">
        <f t="shared" si="5"/>
        <v>1</v>
      </c>
      <c r="N40" s="24">
        <f t="shared" si="20"/>
        <v>3.0472810313391108E-2</v>
      </c>
      <c r="O40" s="41" t="str">
        <f t="shared" si="6"/>
        <v>0</v>
      </c>
      <c r="P40" s="24">
        <f t="shared" si="21"/>
        <v>0.36567372376069329</v>
      </c>
      <c r="Q40" s="41" t="str">
        <f t="shared" si="7"/>
        <v>0</v>
      </c>
      <c r="R40" s="24">
        <f t="shared" si="22"/>
        <v>4.3880846851283195</v>
      </c>
      <c r="S40" s="41" t="str">
        <f t="shared" si="8"/>
        <v>4</v>
      </c>
      <c r="T40" s="24">
        <f t="shared" si="23"/>
        <v>4.6570162215398341</v>
      </c>
      <c r="U40" s="41" t="str">
        <f t="shared" si="9"/>
        <v>4</v>
      </c>
      <c r="V40" s="24">
        <f t="shared" si="24"/>
        <v>7.8841946584780089</v>
      </c>
      <c r="W40" s="41" t="str">
        <f t="shared" si="10"/>
        <v>7</v>
      </c>
      <c r="X40" s="24">
        <f t="shared" si="25"/>
        <v>10.610335901736107</v>
      </c>
      <c r="Y40" s="41" t="str">
        <f t="shared" si="11"/>
        <v>X</v>
      </c>
      <c r="Z40" s="24">
        <f t="shared" si="26"/>
        <v>7.3240308208332863</v>
      </c>
      <c r="AA40" s="41" t="str">
        <f t="shared" si="12"/>
        <v>7</v>
      </c>
      <c r="AB40" s="24">
        <f t="shared" si="27"/>
        <v>3.8883698499994352</v>
      </c>
      <c r="AC40" s="41" t="str">
        <f t="shared" si="13"/>
        <v>3</v>
      </c>
      <c r="AD40" s="24">
        <f t="shared" si="28"/>
        <v>10.660438199993223</v>
      </c>
      <c r="AE40" s="41" t="str">
        <f t="shared" si="14"/>
        <v>X</v>
      </c>
      <c r="AF40" s="24">
        <f t="shared" si="29"/>
        <v>7.9252583999186754</v>
      </c>
      <c r="AG40" s="41" t="str">
        <f t="shared" si="15"/>
        <v>8</v>
      </c>
      <c r="AH40" s="24">
        <f t="shared" si="30"/>
        <v>11.103100799024105</v>
      </c>
      <c r="AI40" s="41" t="str">
        <f t="shared" si="16"/>
        <v/>
      </c>
      <c r="AJ40" s="24">
        <f t="shared" si="31"/>
        <v>1.2372095882892609</v>
      </c>
      <c r="AK40" s="41" t="str">
        <f t="shared" si="17"/>
        <v/>
      </c>
    </row>
    <row r="41" spans="1:37" ht="15" customHeight="1" x14ac:dyDescent="0.2">
      <c r="A41" s="581"/>
      <c r="B41" s="3" t="str">
        <f>Rydberg!B41</f>
        <v>Elementary electric charge</v>
      </c>
      <c r="C41" s="3" t="str">
        <f>Rydberg!C41</f>
        <v>C</v>
      </c>
      <c r="D41" s="21">
        <f>Rydberg!D41</f>
        <v>1.6021766339999999E-19</v>
      </c>
      <c r="E41" s="8">
        <v>10</v>
      </c>
      <c r="F41" s="21">
        <f>D41/F$12</f>
        <v>1.0250945173026491</v>
      </c>
      <c r="G41" s="37" t="str">
        <f t="shared" si="18"/>
        <v>1;0374439E14</v>
      </c>
      <c r="H41" s="275">
        <f t="shared" si="19"/>
        <v>2.5094517302649111E-2</v>
      </c>
      <c r="I41" s="278"/>
      <c r="J41" s="38">
        <f t="shared" si="32"/>
        <v>0</v>
      </c>
      <c r="K41" s="61">
        <f t="shared" si="33"/>
        <v>1.0250945173026491</v>
      </c>
      <c r="L41" s="39" t="str">
        <f>INDEX(powers!$H$2:$H$75,33+J41)</f>
        <v xml:space="preserve"> </v>
      </c>
      <c r="M41" s="40" t="str">
        <f t="shared" si="5"/>
        <v>1</v>
      </c>
      <c r="N41" s="24">
        <f t="shared" si="20"/>
        <v>0.30113420763178933</v>
      </c>
      <c r="O41" s="41" t="str">
        <f t="shared" si="6"/>
        <v>0</v>
      </c>
      <c r="P41" s="24">
        <f t="shared" si="21"/>
        <v>3.613610491581472</v>
      </c>
      <c r="Q41" s="41" t="str">
        <f t="shared" si="7"/>
        <v>3</v>
      </c>
      <c r="R41" s="24">
        <f t="shared" si="22"/>
        <v>7.3633258989776635</v>
      </c>
      <c r="S41" s="41" t="str">
        <f t="shared" si="8"/>
        <v>7</v>
      </c>
      <c r="T41" s="24">
        <f t="shared" si="23"/>
        <v>4.3599107877319625</v>
      </c>
      <c r="U41" s="41" t="str">
        <f t="shared" si="9"/>
        <v>4</v>
      </c>
      <c r="V41" s="24">
        <f t="shared" si="24"/>
        <v>4.31892945278355</v>
      </c>
      <c r="W41" s="41" t="str">
        <f t="shared" si="10"/>
        <v>4</v>
      </c>
      <c r="X41" s="24">
        <f t="shared" si="25"/>
        <v>3.8271534334026001</v>
      </c>
      <c r="Y41" s="41" t="str">
        <f t="shared" si="11"/>
        <v>3</v>
      </c>
      <c r="Z41" s="24">
        <f t="shared" si="26"/>
        <v>9.9258412008312007</v>
      </c>
      <c r="AA41" s="41" t="str">
        <f t="shared" si="12"/>
        <v>9</v>
      </c>
      <c r="AB41" s="24">
        <f t="shared" si="27"/>
        <v>11.110094409974408</v>
      </c>
      <c r="AC41" s="41" t="str">
        <f t="shared" si="13"/>
        <v>E</v>
      </c>
      <c r="AD41" s="24">
        <f t="shared" si="28"/>
        <v>1.3211329196929</v>
      </c>
      <c r="AE41" s="41" t="str">
        <f t="shared" si="14"/>
        <v>1</v>
      </c>
      <c r="AF41" s="24">
        <f t="shared" si="29"/>
        <v>3.8535950363148004</v>
      </c>
      <c r="AG41" s="41" t="str">
        <f t="shared" si="15"/>
        <v>4</v>
      </c>
      <c r="AH41" s="24">
        <f t="shared" si="30"/>
        <v>10.243140435777605</v>
      </c>
      <c r="AI41" s="41" t="str">
        <f t="shared" si="16"/>
        <v/>
      </c>
      <c r="AJ41" s="24">
        <f t="shared" si="31"/>
        <v>2.917685229331255</v>
      </c>
      <c r="AK41" s="41" t="str">
        <f t="shared" si="17"/>
        <v/>
      </c>
    </row>
    <row r="42" spans="1:37" ht="15" customHeight="1" x14ac:dyDescent="0.2">
      <c r="A42" s="581"/>
      <c r="B42" s="3" t="str">
        <f>Rydberg!B42</f>
        <v>Electron mass</v>
      </c>
      <c r="C42" s="3" t="str">
        <f>Rydberg!C42</f>
        <v>kg</v>
      </c>
      <c r="D42" s="21">
        <f>Rydberg!D42</f>
        <v>9.1093837139983745E-31</v>
      </c>
      <c r="E42" s="8">
        <v>10</v>
      </c>
      <c r="F42" s="21">
        <f>D42/F$8</f>
        <v>5.4932199753075252E-4</v>
      </c>
      <c r="G42" s="37" t="str">
        <f t="shared" si="18"/>
        <v>0;E48324X245</v>
      </c>
      <c r="H42" s="275">
        <f t="shared" si="19"/>
        <v>-5.0771588266859569E-2</v>
      </c>
      <c r="I42" s="278"/>
      <c r="J42" s="38">
        <v>-3</v>
      </c>
      <c r="K42" s="61">
        <f t="shared" si="33"/>
        <v>0.94922841173314043</v>
      </c>
      <c r="L42" s="39" t="str">
        <f>INDEX(powers!$H$2:$H$75,33+J42)</f>
        <v>terno</v>
      </c>
      <c r="M42" s="40" t="str">
        <f t="shared" si="5"/>
        <v>0</v>
      </c>
      <c r="N42" s="24">
        <f t="shared" si="20"/>
        <v>11.390740940797684</v>
      </c>
      <c r="O42" s="41" t="str">
        <f t="shared" si="6"/>
        <v>E</v>
      </c>
      <c r="P42" s="24">
        <f t="shared" si="21"/>
        <v>4.6888912895722115</v>
      </c>
      <c r="Q42" s="41" t="str">
        <f t="shared" si="7"/>
        <v>4</v>
      </c>
      <c r="R42" s="24">
        <f t="shared" si="22"/>
        <v>8.2666954748665376</v>
      </c>
      <c r="S42" s="41" t="str">
        <f t="shared" si="8"/>
        <v>8</v>
      </c>
      <c r="T42" s="24">
        <f t="shared" si="23"/>
        <v>3.2003456983984506</v>
      </c>
      <c r="U42" s="41" t="str">
        <f t="shared" si="9"/>
        <v>3</v>
      </c>
      <c r="V42" s="24">
        <f t="shared" si="24"/>
        <v>2.4041483807814075</v>
      </c>
      <c r="W42" s="41" t="str">
        <f t="shared" si="10"/>
        <v>2</v>
      </c>
      <c r="X42" s="24">
        <f t="shared" si="25"/>
        <v>4.8497805693768896</v>
      </c>
      <c r="Y42" s="41" t="str">
        <f t="shared" si="11"/>
        <v>4</v>
      </c>
      <c r="Z42" s="24">
        <f t="shared" si="26"/>
        <v>10.197366832522675</v>
      </c>
      <c r="AA42" s="41" t="str">
        <f t="shared" si="12"/>
        <v>X</v>
      </c>
      <c r="AB42" s="24">
        <f t="shared" si="27"/>
        <v>2.3684019902721047</v>
      </c>
      <c r="AC42" s="41" t="str">
        <f t="shared" si="13"/>
        <v>2</v>
      </c>
      <c r="AD42" s="24">
        <f t="shared" si="28"/>
        <v>4.4208238832652569</v>
      </c>
      <c r="AE42" s="41" t="str">
        <f t="shared" si="14"/>
        <v>4</v>
      </c>
      <c r="AF42" s="24">
        <f t="shared" si="29"/>
        <v>5.0498865991830826</v>
      </c>
      <c r="AG42" s="41" t="str">
        <f t="shared" si="15"/>
        <v>5</v>
      </c>
      <c r="AH42" s="24">
        <f t="shared" si="30"/>
        <v>0.59863919019699097</v>
      </c>
      <c r="AI42" s="41" t="str">
        <f t="shared" si="16"/>
        <v/>
      </c>
      <c r="AJ42" s="24">
        <f t="shared" si="31"/>
        <v>7.1836702823638916</v>
      </c>
      <c r="AK42" s="41" t="str">
        <f t="shared" si="17"/>
        <v/>
      </c>
    </row>
    <row r="43" spans="1:37" ht="15" customHeight="1" x14ac:dyDescent="0.2">
      <c r="A43" s="581"/>
      <c r="B43" s="3" t="str">
        <f>Rydberg!B44</f>
        <v>Newtonian constant of gravitation</v>
      </c>
      <c r="C43" s="3" t="str">
        <f>Rydberg!C44</f>
        <v>(m/s)^4/N</v>
      </c>
      <c r="D43" s="21">
        <f>Rydberg!D44</f>
        <v>6.6742999999999994E-11</v>
      </c>
      <c r="E43" s="8">
        <v>10</v>
      </c>
      <c r="F43" s="21">
        <f>D43/(POWER(F$3/F$4,4)/F$10)</f>
        <v>1.9442199470459892E-45</v>
      </c>
      <c r="G43" s="37" t="str">
        <f t="shared" si="18"/>
        <v>4;1466316199</v>
      </c>
      <c r="H43" s="275">
        <f t="shared" si="19"/>
        <v>2.8721312016760869E-2</v>
      </c>
      <c r="I43" s="278"/>
      <c r="J43" s="38">
        <f t="shared" si="32"/>
        <v>-42</v>
      </c>
      <c r="K43" s="61">
        <f t="shared" si="33"/>
        <v>4.1148852480670435</v>
      </c>
      <c r="L43" s="39"/>
      <c r="M43" s="40" t="str">
        <f t="shared" si="5"/>
        <v>4</v>
      </c>
      <c r="N43" s="24">
        <f t="shared" si="20"/>
        <v>1.3786229768045217</v>
      </c>
      <c r="O43" s="41" t="str">
        <f t="shared" si="6"/>
        <v>1</v>
      </c>
      <c r="P43" s="24">
        <f t="shared" si="21"/>
        <v>4.5434757216542607</v>
      </c>
      <c r="Q43" s="41" t="str">
        <f t="shared" si="7"/>
        <v>4</v>
      </c>
      <c r="R43" s="24">
        <f t="shared" si="22"/>
        <v>6.5217086598511287</v>
      </c>
      <c r="S43" s="41" t="str">
        <f t="shared" si="8"/>
        <v>6</v>
      </c>
      <c r="T43" s="24">
        <f t="shared" si="23"/>
        <v>6.2605039182135442</v>
      </c>
      <c r="U43" s="41" t="str">
        <f t="shared" si="9"/>
        <v>6</v>
      </c>
      <c r="V43" s="24">
        <f t="shared" si="24"/>
        <v>3.1260470185625309</v>
      </c>
      <c r="W43" s="41" t="str">
        <f t="shared" si="10"/>
        <v>3</v>
      </c>
      <c r="X43" s="24">
        <f t="shared" si="25"/>
        <v>1.5125642227503704</v>
      </c>
      <c r="Y43" s="41" t="str">
        <f t="shared" si="11"/>
        <v>1</v>
      </c>
      <c r="Z43" s="24">
        <f t="shared" si="26"/>
        <v>6.1507706730044447</v>
      </c>
      <c r="AA43" s="41" t="str">
        <f t="shared" si="12"/>
        <v>6</v>
      </c>
      <c r="AB43" s="24">
        <f t="shared" si="27"/>
        <v>1.8092480760533363</v>
      </c>
      <c r="AC43" s="41" t="str">
        <f t="shared" si="13"/>
        <v>1</v>
      </c>
      <c r="AD43" s="24">
        <f t="shared" si="28"/>
        <v>9.7109769126400352</v>
      </c>
      <c r="AE43" s="41" t="str">
        <f t="shared" si="14"/>
        <v>9</v>
      </c>
      <c r="AF43" s="24">
        <f t="shared" si="29"/>
        <v>8.5317229516804218</v>
      </c>
      <c r="AG43" s="41" t="str">
        <f t="shared" si="15"/>
        <v>9</v>
      </c>
      <c r="AH43" s="24">
        <f t="shared" si="30"/>
        <v>6.380675420165062</v>
      </c>
      <c r="AI43" s="41" t="str">
        <f t="shared" si="16"/>
        <v/>
      </c>
      <c r="AJ43" s="24">
        <f t="shared" si="31"/>
        <v>4.5681050419807434</v>
      </c>
      <c r="AK43" s="41" t="str">
        <f t="shared" si="17"/>
        <v/>
      </c>
    </row>
    <row r="44" spans="1:37" ht="15" customHeight="1" x14ac:dyDescent="0.2">
      <c r="A44" s="581"/>
      <c r="B44" s="3" t="str">
        <f>Rydberg!B45</f>
        <v>Planck force</v>
      </c>
      <c r="C44" s="3" t="str">
        <f>Rydberg!C45</f>
        <v>N</v>
      </c>
      <c r="D44" s="21">
        <f>Rydberg!D45</f>
        <v>1.2102555643382063E+44</v>
      </c>
      <c r="E44" s="8">
        <v>5</v>
      </c>
      <c r="F44" s="21">
        <f>D44/F$10</f>
        <v>5.1434509841305813E+44</v>
      </c>
      <c r="G44" s="37" t="str">
        <f t="shared" si="18"/>
        <v>2;XEE32</v>
      </c>
      <c r="H44" s="276">
        <f t="shared" si="19"/>
        <v>-1.4569878506587308E-4</v>
      </c>
      <c r="I44" s="284">
        <v>1</v>
      </c>
      <c r="J44" s="38">
        <f t="shared" si="32"/>
        <v>41</v>
      </c>
      <c r="K44" s="61">
        <f t="shared" si="33"/>
        <v>2.9162417118768911</v>
      </c>
      <c r="L44" s="39" t="str">
        <f>INDEX(powers!$H$2:$H$75,33+J44)</f>
        <v>dozen penta-cosmic</v>
      </c>
      <c r="M44" s="40" t="str">
        <f t="shared" si="5"/>
        <v>2</v>
      </c>
      <c r="N44" s="24">
        <f t="shared" si="20"/>
        <v>10.994900542522693</v>
      </c>
      <c r="O44" s="41" t="str">
        <f t="shared" si="6"/>
        <v>X</v>
      </c>
      <c r="P44" s="24">
        <f t="shared" si="21"/>
        <v>11.938806510272315</v>
      </c>
      <c r="Q44" s="41" t="str">
        <f t="shared" si="7"/>
        <v>E</v>
      </c>
      <c r="R44" s="24">
        <f t="shared" si="22"/>
        <v>11.265678123267776</v>
      </c>
      <c r="S44" s="41" t="str">
        <f t="shared" si="8"/>
        <v>E</v>
      </c>
      <c r="T44" s="24">
        <f t="shared" si="23"/>
        <v>3.1881374792133101</v>
      </c>
      <c r="U44" s="41" t="str">
        <f t="shared" si="9"/>
        <v>3</v>
      </c>
      <c r="V44" s="24">
        <f t="shared" si="24"/>
        <v>2.2576497505597217</v>
      </c>
      <c r="W44" s="41" t="str">
        <f t="shared" si="10"/>
        <v>2</v>
      </c>
      <c r="X44" s="24">
        <f t="shared" si="25"/>
        <v>3.0917970067166607</v>
      </c>
      <c r="Y44" s="41" t="str">
        <f t="shared" si="11"/>
        <v/>
      </c>
      <c r="Z44" s="24">
        <f t="shared" si="26"/>
        <v>1.1015640805999283</v>
      </c>
      <c r="AA44" s="41" t="str">
        <f t="shared" si="12"/>
        <v/>
      </c>
      <c r="AB44" s="24">
        <f t="shared" si="27"/>
        <v>1.2187689671991393</v>
      </c>
      <c r="AC44" s="41" t="str">
        <f t="shared" si="13"/>
        <v/>
      </c>
      <c r="AD44" s="24">
        <f t="shared" si="28"/>
        <v>2.6252276063896716</v>
      </c>
      <c r="AE44" s="41" t="str">
        <f t="shared" si="14"/>
        <v/>
      </c>
      <c r="AF44" s="24">
        <f t="shared" si="29"/>
        <v>7.5027312766760588</v>
      </c>
      <c r="AG44" s="41" t="str">
        <f t="shared" si="15"/>
        <v/>
      </c>
      <c r="AH44" s="24">
        <f t="shared" si="30"/>
        <v>6.0327753201127052</v>
      </c>
      <c r="AI44" s="41" t="str">
        <f t="shared" si="16"/>
        <v/>
      </c>
      <c r="AJ44" s="24">
        <f t="shared" si="31"/>
        <v>0.39330384135246277</v>
      </c>
      <c r="AK44" s="41" t="str">
        <f t="shared" si="17"/>
        <v/>
      </c>
    </row>
    <row r="45" spans="1:37" ht="15" customHeight="1" x14ac:dyDescent="0.2">
      <c r="A45" s="581"/>
      <c r="B45" s="3" t="str">
        <f>Rydberg!B46</f>
        <v>Gravitic meter</v>
      </c>
      <c r="C45" s="3" t="str">
        <f>Rydberg!C46</f>
        <v>m</v>
      </c>
      <c r="D45" s="21">
        <f>Rydberg!D46</f>
        <v>9.5618936743262592E-35</v>
      </c>
      <c r="E45" s="8">
        <v>5</v>
      </c>
      <c r="F45" s="21">
        <f>D45/F$3</f>
        <v>1.50960380322312E-25</v>
      </c>
      <c r="G45" s="37" t="str">
        <f t="shared" si="18"/>
        <v>1;00016</v>
      </c>
      <c r="H45" s="275">
        <f t="shared" si="19"/>
        <v>7.2857354050492873E-5</v>
      </c>
      <c r="I45" s="278"/>
      <c r="J45" s="38">
        <f t="shared" si="32"/>
        <v>-23</v>
      </c>
      <c r="K45" s="61">
        <f t="shared" si="33"/>
        <v>1.0000728573540505</v>
      </c>
      <c r="L45" s="39" t="str">
        <f>INDEX(powers!$H$2:$H$75,33+J45)</f>
        <v>dozen ter-atomic</v>
      </c>
      <c r="M45" s="40" t="str">
        <f t="shared" si="5"/>
        <v>1</v>
      </c>
      <c r="N45" s="24">
        <f t="shared" si="20"/>
        <v>8.7428824860591448E-4</v>
      </c>
      <c r="O45" s="41" t="str">
        <f t="shared" si="6"/>
        <v>0</v>
      </c>
      <c r="P45" s="24">
        <f t="shared" si="21"/>
        <v>1.0491458983270974E-2</v>
      </c>
      <c r="Q45" s="41" t="str">
        <f t="shared" si="7"/>
        <v>0</v>
      </c>
      <c r="R45" s="24">
        <f t="shared" si="22"/>
        <v>0.12589750779925168</v>
      </c>
      <c r="S45" s="41" t="str">
        <f t="shared" si="8"/>
        <v>0</v>
      </c>
      <c r="T45" s="24">
        <f t="shared" si="23"/>
        <v>1.5107700935910202</v>
      </c>
      <c r="U45" s="41" t="str">
        <f t="shared" si="9"/>
        <v>1</v>
      </c>
      <c r="V45" s="24">
        <f t="shared" si="24"/>
        <v>6.1292411230922426</v>
      </c>
      <c r="W45" s="41" t="str">
        <f t="shared" si="10"/>
        <v>6</v>
      </c>
      <c r="X45" s="24">
        <f t="shared" si="25"/>
        <v>1.5508934771069107</v>
      </c>
      <c r="Y45" s="41" t="str">
        <f t="shared" si="11"/>
        <v/>
      </c>
      <c r="Z45" s="24">
        <f t="shared" si="26"/>
        <v>6.6107217252829287</v>
      </c>
      <c r="AA45" s="41" t="str">
        <f t="shared" si="12"/>
        <v/>
      </c>
      <c r="AB45" s="24">
        <f t="shared" si="27"/>
        <v>7.3286607033951441</v>
      </c>
      <c r="AC45" s="41" t="str">
        <f t="shared" si="13"/>
        <v/>
      </c>
      <c r="AD45" s="24">
        <f t="shared" si="28"/>
        <v>3.943928440741729</v>
      </c>
      <c r="AE45" s="41" t="str">
        <f t="shared" si="14"/>
        <v/>
      </c>
      <c r="AF45" s="24">
        <f t="shared" si="29"/>
        <v>11.327141288900748</v>
      </c>
      <c r="AG45" s="41" t="str">
        <f t="shared" si="15"/>
        <v/>
      </c>
      <c r="AH45" s="24">
        <f t="shared" si="30"/>
        <v>3.9256954668089747</v>
      </c>
      <c r="AI45" s="41" t="str">
        <f t="shared" si="16"/>
        <v/>
      </c>
      <c r="AJ45" s="24">
        <f t="shared" si="31"/>
        <v>11.108345601707697</v>
      </c>
      <c r="AK45" s="41" t="str">
        <f t="shared" si="17"/>
        <v/>
      </c>
    </row>
    <row r="46" spans="1:37" ht="15" customHeight="1" x14ac:dyDescent="0.2">
      <c r="A46" s="581"/>
      <c r="B46" s="3" t="str">
        <f>Rydberg!B47</f>
        <v>Planck length</v>
      </c>
      <c r="C46" s="3" t="str">
        <f>Rydberg!C47</f>
        <v>m</v>
      </c>
      <c r="D46" s="21">
        <f>Rydberg!D47</f>
        <v>1.6162550244237053E-35</v>
      </c>
      <c r="E46" s="8">
        <v>5</v>
      </c>
      <c r="F46" s="21">
        <f>D46/F$3</f>
        <v>2.5516961544967402E-26</v>
      </c>
      <c r="G46" s="37" t="str">
        <f t="shared" si="18"/>
        <v>2;04134</v>
      </c>
      <c r="H46" s="275">
        <f t="shared" si="19"/>
        <v>1.4258996517536815E-2</v>
      </c>
      <c r="I46" s="278"/>
      <c r="J46" s="38">
        <f t="shared" si="32"/>
        <v>-24</v>
      </c>
      <c r="K46" s="61">
        <f t="shared" si="33"/>
        <v>2.0285179930350736</v>
      </c>
      <c r="L46" s="39" t="str">
        <f>INDEX(powers!$H$2:$H$75,33+J46)</f>
        <v>ter-atomic</v>
      </c>
      <c r="M46" s="40" t="str">
        <f t="shared" si="5"/>
        <v>2</v>
      </c>
      <c r="N46" s="24">
        <f t="shared" si="20"/>
        <v>0.34221591642088356</v>
      </c>
      <c r="O46" s="41" t="str">
        <f t="shared" si="6"/>
        <v>0</v>
      </c>
      <c r="P46" s="24">
        <f t="shared" si="21"/>
        <v>4.1065909970506027</v>
      </c>
      <c r="Q46" s="41" t="str">
        <f t="shared" si="7"/>
        <v>4</v>
      </c>
      <c r="R46" s="24">
        <f t="shared" si="22"/>
        <v>1.2790919646072325</v>
      </c>
      <c r="S46" s="41" t="str">
        <f t="shared" si="8"/>
        <v>1</v>
      </c>
      <c r="T46" s="24">
        <f t="shared" si="23"/>
        <v>3.3491035752867901</v>
      </c>
      <c r="U46" s="41" t="str">
        <f t="shared" si="9"/>
        <v>3</v>
      </c>
      <c r="V46" s="24">
        <f t="shared" si="24"/>
        <v>4.1892429034414818</v>
      </c>
      <c r="W46" s="41" t="str">
        <f t="shared" si="10"/>
        <v>4</v>
      </c>
      <c r="X46" s="24">
        <f t="shared" si="25"/>
        <v>2.2709148412977811</v>
      </c>
      <c r="Y46" s="41" t="str">
        <f t="shared" si="11"/>
        <v/>
      </c>
      <c r="Z46" s="24">
        <f t="shared" si="26"/>
        <v>3.2509780955733731</v>
      </c>
      <c r="AA46" s="41" t="str">
        <f t="shared" si="12"/>
        <v/>
      </c>
      <c r="AB46" s="24">
        <f t="shared" si="27"/>
        <v>3.0117371468804777</v>
      </c>
      <c r="AC46" s="41" t="str">
        <f t="shared" si="13"/>
        <v/>
      </c>
      <c r="AD46" s="24">
        <f t="shared" si="28"/>
        <v>0.140845762565732</v>
      </c>
      <c r="AE46" s="41" t="str">
        <f t="shared" si="14"/>
        <v/>
      </c>
      <c r="AF46" s="24">
        <f t="shared" si="29"/>
        <v>1.690149150788784</v>
      </c>
      <c r="AG46" s="41" t="str">
        <f t="shared" si="15"/>
        <v/>
      </c>
      <c r="AH46" s="24">
        <f t="shared" si="30"/>
        <v>8.2817898094654083</v>
      </c>
      <c r="AI46" s="41" t="str">
        <f t="shared" si="16"/>
        <v/>
      </c>
      <c r="AJ46" s="24">
        <f t="shared" si="31"/>
        <v>3.3814777135848999</v>
      </c>
      <c r="AK46" s="41" t="str">
        <f t="shared" si="17"/>
        <v/>
      </c>
    </row>
    <row r="47" spans="1:37" ht="15" customHeight="1" x14ac:dyDescent="0.2">
      <c r="A47" s="581"/>
      <c r="B47" s="3" t="str">
        <f>Rydberg!B48</f>
        <v>Adjusted Planck length</v>
      </c>
      <c r="C47" s="3" t="str">
        <f>Rydberg!C48</f>
        <v>m</v>
      </c>
      <c r="D47" s="21">
        <f>Rydberg!D48</f>
        <v>1.8920265367777891E-34</v>
      </c>
      <c r="E47" s="8">
        <v>5</v>
      </c>
      <c r="F47" s="21">
        <f>D47/F$3</f>
        <v>2.9870761514403369E-25</v>
      </c>
      <c r="G47" s="37" t="str">
        <f t="shared" si="18"/>
        <v>1;E8E58</v>
      </c>
      <c r="H47" s="275">
        <f t="shared" si="19"/>
        <v>-1.0570265016894953E-2</v>
      </c>
      <c r="I47" s="278"/>
      <c r="J47" s="38">
        <f t="shared" si="32"/>
        <v>-23</v>
      </c>
      <c r="K47" s="61">
        <f t="shared" si="33"/>
        <v>1.9788594699662101</v>
      </c>
      <c r="L47" s="39" t="str">
        <f>INDEX(powers!$H$2:$H$75,33+J47)</f>
        <v>dozen ter-atomic</v>
      </c>
      <c r="M47" s="40" t="str">
        <f t="shared" si="5"/>
        <v>1</v>
      </c>
      <c r="N47" s="24">
        <f t="shared" si="20"/>
        <v>11.746313639594522</v>
      </c>
      <c r="O47" s="41" t="str">
        <f t="shared" si="6"/>
        <v>E</v>
      </c>
      <c r="P47" s="24">
        <f t="shared" si="21"/>
        <v>8.9557636751342642</v>
      </c>
      <c r="Q47" s="41" t="str">
        <f t="shared" si="7"/>
        <v>8</v>
      </c>
      <c r="R47" s="24">
        <f t="shared" si="22"/>
        <v>11.46916410161117</v>
      </c>
      <c r="S47" s="41" t="str">
        <f t="shared" si="8"/>
        <v>E</v>
      </c>
      <c r="T47" s="24">
        <f t="shared" si="23"/>
        <v>5.6299692193340434</v>
      </c>
      <c r="U47" s="41" t="str">
        <f t="shared" si="9"/>
        <v>5</v>
      </c>
      <c r="V47" s="24">
        <f t="shared" si="24"/>
        <v>7.5596306320085205</v>
      </c>
      <c r="W47" s="41" t="str">
        <f t="shared" si="10"/>
        <v>8</v>
      </c>
      <c r="X47" s="24">
        <f t="shared" si="25"/>
        <v>6.7155675841022457</v>
      </c>
      <c r="Y47" s="41" t="str">
        <f t="shared" si="11"/>
        <v/>
      </c>
      <c r="Z47" s="24">
        <f t="shared" si="26"/>
        <v>8.586811009226949</v>
      </c>
      <c r="AA47" s="41" t="str">
        <f t="shared" si="12"/>
        <v/>
      </c>
      <c r="AB47" s="24">
        <f t="shared" si="27"/>
        <v>7.0417321107233874</v>
      </c>
      <c r="AC47" s="41" t="str">
        <f t="shared" si="13"/>
        <v/>
      </c>
      <c r="AD47" s="24">
        <f t="shared" si="28"/>
        <v>0.5007853286806494</v>
      </c>
      <c r="AE47" s="41" t="str">
        <f t="shared" si="14"/>
        <v/>
      </c>
      <c r="AF47" s="24">
        <f t="shared" si="29"/>
        <v>6.0094239441677928</v>
      </c>
      <c r="AG47" s="41" t="str">
        <f t="shared" si="15"/>
        <v/>
      </c>
      <c r="AH47" s="24">
        <f t="shared" si="30"/>
        <v>0.11308733001351357</v>
      </c>
      <c r="AI47" s="41" t="str">
        <f t="shared" si="16"/>
        <v/>
      </c>
      <c r="AJ47" s="24">
        <f t="shared" si="31"/>
        <v>1.3570479601621628</v>
      </c>
      <c r="AK47" s="41" t="str">
        <f t="shared" si="17"/>
        <v/>
      </c>
    </row>
    <row r="48" spans="1:37" ht="15" customHeight="1" x14ac:dyDescent="0.2">
      <c r="A48" s="581"/>
      <c r="B48" s="3" t="str">
        <f>Rydberg!B49</f>
        <v>Stefan-Boltzmann constant</v>
      </c>
      <c r="C48" s="64" t="str">
        <f>Rydberg!C49</f>
        <v>W/m^2/K^4</v>
      </c>
      <c r="D48" s="21">
        <f>Rydberg!D49</f>
        <v>5.6703744191844301E-8</v>
      </c>
      <c r="E48" s="8">
        <v>5</v>
      </c>
      <c r="F48" s="21">
        <f>D48/(F$9*POWER(F$3,-2)*POWER(F$6,-4))</f>
        <v>4.37936278867823E+18</v>
      </c>
      <c r="G48" s="37" t="str">
        <f t="shared" si="18"/>
        <v>1;E82E3</v>
      </c>
      <c r="H48" s="275">
        <f t="shared" si="19"/>
        <v>-1.303955989106409E-2</v>
      </c>
      <c r="I48" s="278"/>
      <c r="J48" s="131">
        <f t="shared" si="32"/>
        <v>17</v>
      </c>
      <c r="K48" s="61">
        <f t="shared" si="33"/>
        <v>1.9739208802178718</v>
      </c>
      <c r="L48" s="134" t="str">
        <f>INDEX(powers!$H$2:$H$75,33+J48)</f>
        <v>dozen di-cosmic</v>
      </c>
      <c r="M48" s="40" t="str">
        <f t="shared" si="5"/>
        <v>1</v>
      </c>
      <c r="N48" s="24">
        <f t="shared" si="20"/>
        <v>11.687050562614463</v>
      </c>
      <c r="O48" s="41" t="str">
        <f t="shared" si="6"/>
        <v>E</v>
      </c>
      <c r="P48" s="24">
        <f t="shared" si="21"/>
        <v>8.2446067513735528</v>
      </c>
      <c r="Q48" s="41" t="str">
        <f t="shared" si="7"/>
        <v>8</v>
      </c>
      <c r="R48" s="24">
        <f t="shared" si="22"/>
        <v>2.9352810164826337</v>
      </c>
      <c r="S48" s="41" t="str">
        <f t="shared" si="8"/>
        <v>2</v>
      </c>
      <c r="T48" s="24">
        <f t="shared" si="23"/>
        <v>11.223372197791605</v>
      </c>
      <c r="U48" s="41" t="str">
        <f t="shared" si="9"/>
        <v>E</v>
      </c>
      <c r="V48" s="24">
        <f t="shared" si="24"/>
        <v>2.6804663734992573</v>
      </c>
      <c r="W48" s="41" t="str">
        <f t="shared" si="10"/>
        <v>3</v>
      </c>
      <c r="X48" s="24">
        <f t="shared" si="25"/>
        <v>8.1655964819910878</v>
      </c>
      <c r="Y48" s="41" t="str">
        <f t="shared" si="11"/>
        <v/>
      </c>
      <c r="Z48" s="24">
        <f t="shared" si="26"/>
        <v>1.9871577838930534</v>
      </c>
      <c r="AA48" s="41" t="str">
        <f t="shared" si="12"/>
        <v/>
      </c>
      <c r="AB48" s="24">
        <f t="shared" si="27"/>
        <v>11.845893406716641</v>
      </c>
      <c r="AC48" s="41" t="str">
        <f t="shared" si="13"/>
        <v/>
      </c>
      <c r="AD48" s="24">
        <f t="shared" si="28"/>
        <v>10.150720880599692</v>
      </c>
      <c r="AE48" s="41" t="str">
        <f t="shared" si="14"/>
        <v/>
      </c>
      <c r="AF48" s="24">
        <f t="shared" si="29"/>
        <v>1.8086505671963096</v>
      </c>
      <c r="AG48" s="41" t="str">
        <f t="shared" si="15"/>
        <v/>
      </c>
      <c r="AH48" s="24">
        <f t="shared" si="30"/>
        <v>9.7038068063557148</v>
      </c>
      <c r="AI48" s="41" t="str">
        <f t="shared" si="16"/>
        <v/>
      </c>
      <c r="AJ48" s="24">
        <f t="shared" si="31"/>
        <v>8.4456816762685776</v>
      </c>
      <c r="AK48" s="41" t="str">
        <f t="shared" si="17"/>
        <v/>
      </c>
    </row>
    <row r="49" spans="1:37" ht="15" customHeight="1" x14ac:dyDescent="0.2">
      <c r="A49" s="581"/>
      <c r="B49" s="3" t="str">
        <f>Rydberg!B50</f>
        <v>Black-body radiation at the ice point</v>
      </c>
      <c r="C49" s="3" t="str">
        <f>Rydberg!C50</f>
        <v>W/m^2</v>
      </c>
      <c r="D49" s="21">
        <f>Rydberg!D50</f>
        <v>315.65782231107141</v>
      </c>
      <c r="E49" s="8">
        <v>10</v>
      </c>
      <c r="F49" s="21">
        <f>D49/(F$9*POWER(F$3,-2))</f>
        <v>1.7952925481288525E-24</v>
      </c>
      <c r="G49" s="37" t="str">
        <f t="shared" si="18"/>
        <v>E;X8783E3325</v>
      </c>
      <c r="H49" s="275">
        <f t="shared" si="19"/>
        <v>-8.8882126112111992E-3</v>
      </c>
      <c r="I49" s="278"/>
      <c r="J49" s="38">
        <f t="shared" si="32"/>
        <v>-23</v>
      </c>
      <c r="K49" s="61">
        <f t="shared" si="33"/>
        <v>11.893341448665465</v>
      </c>
      <c r="L49" s="39" t="str">
        <f>INDEX(powers!$H$2:$H$75,33+J49)</f>
        <v>dozen ter-atomic</v>
      </c>
      <c r="M49" s="40" t="str">
        <f t="shared" si="5"/>
        <v>E</v>
      </c>
      <c r="N49" s="24">
        <f t="shared" si="20"/>
        <v>10.720097383985582</v>
      </c>
      <c r="O49" s="41" t="str">
        <f t="shared" si="6"/>
        <v>X</v>
      </c>
      <c r="P49" s="24">
        <f t="shared" si="21"/>
        <v>8.6411686078269838</v>
      </c>
      <c r="Q49" s="41" t="str">
        <f t="shared" si="7"/>
        <v>8</v>
      </c>
      <c r="R49" s="24">
        <f t="shared" si="22"/>
        <v>7.6940232939238058</v>
      </c>
      <c r="S49" s="41" t="str">
        <f t="shared" si="8"/>
        <v>7</v>
      </c>
      <c r="T49" s="24">
        <f t="shared" si="23"/>
        <v>8.3282795270856695</v>
      </c>
      <c r="U49" s="41" t="str">
        <f t="shared" si="9"/>
        <v>8</v>
      </c>
      <c r="V49" s="24">
        <f t="shared" si="24"/>
        <v>3.9393543250280345</v>
      </c>
      <c r="W49" s="41" t="str">
        <f t="shared" si="10"/>
        <v>3</v>
      </c>
      <c r="X49" s="24">
        <f t="shared" si="25"/>
        <v>11.272251900336414</v>
      </c>
      <c r="Y49" s="41" t="str">
        <f t="shared" si="11"/>
        <v>E</v>
      </c>
      <c r="Z49" s="24">
        <f t="shared" si="26"/>
        <v>3.2670228040369693</v>
      </c>
      <c r="AA49" s="41" t="str">
        <f t="shared" si="12"/>
        <v>3</v>
      </c>
      <c r="AB49" s="24">
        <f t="shared" si="27"/>
        <v>3.2042736484436318</v>
      </c>
      <c r="AC49" s="41" t="str">
        <f t="shared" si="13"/>
        <v>3</v>
      </c>
      <c r="AD49" s="24">
        <f t="shared" si="28"/>
        <v>2.4512837813235819</v>
      </c>
      <c r="AE49" s="41" t="str">
        <f t="shared" si="14"/>
        <v>2</v>
      </c>
      <c r="AF49" s="24">
        <f t="shared" si="29"/>
        <v>5.4154053758829832</v>
      </c>
      <c r="AG49" s="41" t="str">
        <f t="shared" si="15"/>
        <v>5</v>
      </c>
      <c r="AH49" s="24">
        <f t="shared" si="30"/>
        <v>4.9848645105957985</v>
      </c>
      <c r="AI49" s="41" t="str">
        <f t="shared" si="16"/>
        <v/>
      </c>
      <c r="AJ49" s="24">
        <f t="shared" si="31"/>
        <v>11.818374127149582</v>
      </c>
      <c r="AK49" s="41" t="str">
        <f t="shared" si="17"/>
        <v/>
      </c>
    </row>
    <row r="50" spans="1:37" ht="15" customHeight="1" x14ac:dyDescent="0.2">
      <c r="A50" s="581"/>
      <c r="B50" s="3" t="str">
        <f>Rydberg!B51</f>
        <v>Temperature of the triple point of water</v>
      </c>
      <c r="C50" s="3" t="str">
        <f>Rydberg!C51</f>
        <v>K</v>
      </c>
      <c r="D50" s="21">
        <f>Rydberg!D51</f>
        <v>273.16000000000003</v>
      </c>
      <c r="E50" s="8">
        <v>6</v>
      </c>
      <c r="F50" s="21">
        <f>D50/F$6</f>
        <v>2.5304454257102405E-11</v>
      </c>
      <c r="G50" s="37" t="str">
        <f t="shared" si="18"/>
        <v>1;6974X3</v>
      </c>
      <c r="H50" s="275"/>
      <c r="I50" s="278"/>
      <c r="J50" s="131">
        <f t="shared" si="32"/>
        <v>-10</v>
      </c>
      <c r="K50" s="61">
        <f t="shared" si="33"/>
        <v>1.5667851107265571</v>
      </c>
      <c r="L50" s="134" t="str">
        <f>INDEX(powers!$H$2:$H$75,33+J50)</f>
        <v>dino atomic</v>
      </c>
      <c r="M50" s="40" t="str">
        <f t="shared" si="5"/>
        <v>1</v>
      </c>
      <c r="N50" s="24">
        <f t="shared" si="20"/>
        <v>6.8014213287186855</v>
      </c>
      <c r="O50" s="41" t="str">
        <f t="shared" si="6"/>
        <v>6</v>
      </c>
      <c r="P50" s="24">
        <f t="shared" si="21"/>
        <v>9.6170559446242265</v>
      </c>
      <c r="Q50" s="41" t="str">
        <f t="shared" si="7"/>
        <v>9</v>
      </c>
      <c r="R50" s="24">
        <f t="shared" si="22"/>
        <v>7.4046713354907183</v>
      </c>
      <c r="S50" s="41" t="str">
        <f t="shared" si="8"/>
        <v>7</v>
      </c>
      <c r="T50" s="24">
        <f t="shared" si="23"/>
        <v>4.8560560258886198</v>
      </c>
      <c r="U50" s="41" t="str">
        <f t="shared" si="9"/>
        <v>4</v>
      </c>
      <c r="V50" s="24">
        <f t="shared" si="24"/>
        <v>10.272672310663438</v>
      </c>
      <c r="W50" s="41" t="str">
        <f t="shared" si="10"/>
        <v>X</v>
      </c>
      <c r="X50" s="24">
        <f t="shared" si="25"/>
        <v>3.2720677279612573</v>
      </c>
      <c r="Y50" s="41" t="str">
        <f t="shared" si="11"/>
        <v>3</v>
      </c>
      <c r="Z50" s="24">
        <f t="shared" si="26"/>
        <v>3.264812735535088</v>
      </c>
      <c r="AA50" s="41" t="str">
        <f t="shared" si="12"/>
        <v/>
      </c>
      <c r="AB50" s="24">
        <f t="shared" si="27"/>
        <v>3.1777528264210559</v>
      </c>
      <c r="AC50" s="41" t="str">
        <f t="shared" si="13"/>
        <v/>
      </c>
      <c r="AD50" s="24">
        <f t="shared" si="28"/>
        <v>2.1330339170526713</v>
      </c>
      <c r="AE50" s="41" t="str">
        <f t="shared" si="14"/>
        <v/>
      </c>
      <c r="AF50" s="24">
        <f t="shared" si="29"/>
        <v>1.5964070046320558</v>
      </c>
      <c r="AG50" s="41" t="str">
        <f t="shared" si="15"/>
        <v/>
      </c>
      <c r="AH50" s="24">
        <f t="shared" si="30"/>
        <v>7.1568840555846691</v>
      </c>
      <c r="AI50" s="41" t="str">
        <f t="shared" si="16"/>
        <v/>
      </c>
      <c r="AJ50" s="24">
        <f t="shared" si="31"/>
        <v>1.8826086670160294</v>
      </c>
      <c r="AK50" s="41" t="str">
        <f t="shared" si="17"/>
        <v/>
      </c>
    </row>
    <row r="51" spans="1:37" ht="15" customHeight="1" x14ac:dyDescent="0.2">
      <c r="A51" s="581"/>
      <c r="B51" s="3" t="str">
        <f>Rydberg!B52</f>
        <v>Molar volume of an ideal gas</v>
      </c>
      <c r="C51" s="3" t="str">
        <f>Rydberg!C52</f>
        <v>m^3/mol</v>
      </c>
      <c r="D51" s="21">
        <f>Rydberg!D52</f>
        <v>2.2413969539999998E-2</v>
      </c>
      <c r="E51" s="8">
        <v>6</v>
      </c>
      <c r="F51" s="21">
        <f>D51/(POWER(F$3,3)/F$7)</f>
        <v>146.46204321813687</v>
      </c>
      <c r="G51" s="37" t="str">
        <f t="shared" si="18"/>
        <v>1;025665</v>
      </c>
      <c r="H51" s="275">
        <f>K51*POWER(12,I51)/ROUND(K51*POWER(12,I51),0)-1</f>
        <v>1.7097522348172633E-2</v>
      </c>
      <c r="I51" s="278"/>
      <c r="J51" s="38">
        <f t="shared" si="32"/>
        <v>2</v>
      </c>
      <c r="K51" s="61">
        <f t="shared" si="33"/>
        <v>1.0170975223481726</v>
      </c>
      <c r="L51" s="39" t="str">
        <f>INDEX(powers!$H$2:$H$75,33+J51)</f>
        <v>gross</v>
      </c>
      <c r="M51" s="40" t="str">
        <f t="shared" si="5"/>
        <v>1</v>
      </c>
      <c r="N51" s="24">
        <f t="shared" si="20"/>
        <v>0.2051702681780716</v>
      </c>
      <c r="O51" s="41" t="str">
        <f t="shared" si="6"/>
        <v>0</v>
      </c>
      <c r="P51" s="24">
        <f t="shared" si="21"/>
        <v>2.4620432181368592</v>
      </c>
      <c r="Q51" s="41" t="str">
        <f t="shared" si="7"/>
        <v>2</v>
      </c>
      <c r="R51" s="24">
        <f t="shared" si="22"/>
        <v>5.5445186176423107</v>
      </c>
      <c r="S51" s="41" t="str">
        <f t="shared" si="8"/>
        <v>5</v>
      </c>
      <c r="T51" s="24">
        <f t="shared" si="23"/>
        <v>6.5342234117077282</v>
      </c>
      <c r="U51" s="41" t="str">
        <f t="shared" si="9"/>
        <v>6</v>
      </c>
      <c r="V51" s="24">
        <f t="shared" si="24"/>
        <v>6.410680940492739</v>
      </c>
      <c r="W51" s="41" t="str">
        <f t="shared" si="10"/>
        <v>6</v>
      </c>
      <c r="X51" s="24">
        <f t="shared" si="25"/>
        <v>4.9281712859128675</v>
      </c>
      <c r="Y51" s="41" t="str">
        <f t="shared" si="11"/>
        <v>5</v>
      </c>
      <c r="Z51" s="24">
        <f t="shared" si="26"/>
        <v>11.13805543095441</v>
      </c>
      <c r="AA51" s="41" t="str">
        <f t="shared" si="12"/>
        <v/>
      </c>
      <c r="AB51" s="24">
        <f t="shared" si="27"/>
        <v>1.6566651714529144</v>
      </c>
      <c r="AC51" s="41" t="str">
        <f t="shared" si="13"/>
        <v/>
      </c>
      <c r="AD51" s="24">
        <f t="shared" si="28"/>
        <v>7.8799820574349724</v>
      </c>
      <c r="AE51" s="41" t="str">
        <f t="shared" si="14"/>
        <v/>
      </c>
      <c r="AF51" s="24">
        <f t="shared" si="29"/>
        <v>10.559784689219669</v>
      </c>
      <c r="AG51" s="41" t="str">
        <f t="shared" si="15"/>
        <v/>
      </c>
      <c r="AH51" s="24">
        <f t="shared" si="30"/>
        <v>6.7174162706360221</v>
      </c>
      <c r="AI51" s="41" t="str">
        <f t="shared" si="16"/>
        <v/>
      </c>
      <c r="AJ51" s="24">
        <f t="shared" si="31"/>
        <v>8.6089952476322651</v>
      </c>
      <c r="AK51" s="41" t="str">
        <f t="shared" si="17"/>
        <v/>
      </c>
    </row>
    <row r="52" spans="1:37" ht="15" customHeight="1" x14ac:dyDescent="0.2">
      <c r="A52" s="581"/>
      <c r="B52" s="67" t="str">
        <f>Rydberg!B53</f>
        <v>-log(Sqrt([H+][OH-])/(mol/m^3))</v>
      </c>
      <c r="C52" s="3" t="str">
        <f>Rydberg!C53</f>
        <v>log(12)</v>
      </c>
      <c r="D52" s="21">
        <f>Rydberg!D53</f>
        <v>1.0039920318408906E-4</v>
      </c>
      <c r="E52" s="8">
        <v>6</v>
      </c>
      <c r="F52" s="21">
        <f>-LOG(D$52/(F$7*POWER(F$3,-3)))/LOG(12)</f>
        <v>7.2401888687601046</v>
      </c>
      <c r="G52" s="37" t="str">
        <f t="shared" si="18"/>
        <v>7;2X7068</v>
      </c>
      <c r="H52" s="275"/>
      <c r="I52" s="278"/>
      <c r="J52" s="38">
        <f t="shared" si="32"/>
        <v>0</v>
      </c>
      <c r="K52" s="61">
        <f t="shared" si="33"/>
        <v>7.2401888687601046</v>
      </c>
      <c r="L52" s="39" t="str">
        <f>INDEX(powers!$H$2:$H$75,33+J52)</f>
        <v xml:space="preserve"> </v>
      </c>
      <c r="M52" s="40" t="str">
        <f t="shared" si="5"/>
        <v>7</v>
      </c>
      <c r="N52" s="24">
        <f t="shared" si="20"/>
        <v>2.8822664251212551</v>
      </c>
      <c r="O52" s="41" t="str">
        <f t="shared" si="6"/>
        <v>2</v>
      </c>
      <c r="P52" s="24">
        <f t="shared" si="21"/>
        <v>10.587197101455061</v>
      </c>
      <c r="Q52" s="41" t="str">
        <f t="shared" si="7"/>
        <v>X</v>
      </c>
      <c r="R52" s="24">
        <f t="shared" si="22"/>
        <v>7.0463652174607319</v>
      </c>
      <c r="S52" s="41" t="str">
        <f t="shared" si="8"/>
        <v>7</v>
      </c>
      <c r="T52" s="24">
        <f t="shared" si="23"/>
        <v>0.55638260952878227</v>
      </c>
      <c r="U52" s="41" t="str">
        <f t="shared" si="9"/>
        <v>0</v>
      </c>
      <c r="V52" s="24">
        <f t="shared" si="24"/>
        <v>6.6765913143453872</v>
      </c>
      <c r="W52" s="41" t="str">
        <f t="shared" si="10"/>
        <v>6</v>
      </c>
      <c r="X52" s="24">
        <f t="shared" si="25"/>
        <v>8.1190957721446466</v>
      </c>
      <c r="Y52" s="41" t="str">
        <f t="shared" si="11"/>
        <v>8</v>
      </c>
      <c r="Z52" s="24">
        <f t="shared" si="26"/>
        <v>1.4291492657357594</v>
      </c>
      <c r="AA52" s="41" t="str">
        <f t="shared" si="12"/>
        <v/>
      </c>
      <c r="AB52" s="24">
        <f t="shared" si="27"/>
        <v>5.1497911888291128</v>
      </c>
      <c r="AC52" s="41" t="str">
        <f t="shared" si="13"/>
        <v/>
      </c>
      <c r="AD52" s="24">
        <f t="shared" si="28"/>
        <v>1.7974942659493536</v>
      </c>
      <c r="AE52" s="41" t="str">
        <f t="shared" si="14"/>
        <v/>
      </c>
      <c r="AF52" s="24">
        <f t="shared" si="29"/>
        <v>9.5699311913922429</v>
      </c>
      <c r="AG52" s="41" t="str">
        <f t="shared" si="15"/>
        <v/>
      </c>
      <c r="AH52" s="24">
        <f t="shared" si="30"/>
        <v>6.8391742967069149</v>
      </c>
      <c r="AI52" s="41" t="str">
        <f t="shared" si="16"/>
        <v/>
      </c>
      <c r="AJ52" s="24">
        <f t="shared" si="31"/>
        <v>10.070091560482979</v>
      </c>
      <c r="AK52" s="41" t="str">
        <f t="shared" si="17"/>
        <v/>
      </c>
    </row>
    <row r="53" spans="1:37" ht="15" customHeight="1" x14ac:dyDescent="0.2">
      <c r="A53" s="581"/>
      <c r="B53" s="3" t="str">
        <f>Rydberg!B54</f>
        <v>Maximum density of water</v>
      </c>
      <c r="C53" s="3" t="str">
        <f>Rydberg!C54</f>
        <v>kg/m^3</v>
      </c>
      <c r="D53" s="21">
        <f>Rydberg!D54</f>
        <v>999.97199999999998</v>
      </c>
      <c r="E53" s="8">
        <v>4</v>
      </c>
      <c r="F53" s="21">
        <f>D53/(F$8*POWER(F$3,-3))</f>
        <v>153.23875700675626</v>
      </c>
      <c r="G53" s="37" t="str">
        <f t="shared" si="18"/>
        <v>1;092X</v>
      </c>
      <c r="H53" s="294">
        <f t="shared" ref="H53:H61" si="34">K53*POWER(12,I53)/ROUND(K53*POWER(12,I53),0)-1</f>
        <v>6.4158034769140615E-2</v>
      </c>
      <c r="I53" s="295"/>
      <c r="J53" s="38">
        <f t="shared" si="32"/>
        <v>2</v>
      </c>
      <c r="K53" s="61">
        <f t="shared" si="33"/>
        <v>1.0641580347691406</v>
      </c>
      <c r="L53" s="39" t="str">
        <f>INDEX(powers!$H$2:$H$75,33+J53)</f>
        <v>gross</v>
      </c>
      <c r="M53" s="40" t="str">
        <f t="shared" si="5"/>
        <v>1</v>
      </c>
      <c r="N53" s="24">
        <f t="shared" si="20"/>
        <v>0.76989641722968738</v>
      </c>
      <c r="O53" s="41" t="str">
        <f t="shared" si="6"/>
        <v>0</v>
      </c>
      <c r="P53" s="24">
        <f t="shared" si="21"/>
        <v>9.2387570067562486</v>
      </c>
      <c r="Q53" s="41" t="str">
        <f t="shared" si="7"/>
        <v>9</v>
      </c>
      <c r="R53" s="24">
        <f t="shared" si="22"/>
        <v>2.8650840810749827</v>
      </c>
      <c r="S53" s="41" t="str">
        <f t="shared" si="8"/>
        <v>2</v>
      </c>
      <c r="T53" s="24">
        <f t="shared" si="23"/>
        <v>10.381008972899792</v>
      </c>
      <c r="U53" s="41" t="str">
        <f t="shared" si="9"/>
        <v>X</v>
      </c>
      <c r="V53" s="24">
        <f t="shared" si="24"/>
        <v>4.5721076747975076</v>
      </c>
      <c r="W53" s="41" t="str">
        <f t="shared" si="10"/>
        <v/>
      </c>
      <c r="X53" s="24">
        <f t="shared" si="25"/>
        <v>6.8652920975700908</v>
      </c>
      <c r="Y53" s="41" t="str">
        <f t="shared" si="11"/>
        <v/>
      </c>
      <c r="Z53" s="24">
        <f t="shared" si="26"/>
        <v>10.38350517084109</v>
      </c>
      <c r="AA53" s="41" t="str">
        <f t="shared" si="12"/>
        <v/>
      </c>
      <c r="AB53" s="24">
        <f t="shared" si="27"/>
        <v>4.6020620500930818</v>
      </c>
      <c r="AC53" s="41" t="str">
        <f t="shared" si="13"/>
        <v/>
      </c>
      <c r="AD53" s="24">
        <f t="shared" si="28"/>
        <v>7.2247446011169814</v>
      </c>
      <c r="AE53" s="41" t="str">
        <f t="shared" si="14"/>
        <v/>
      </c>
      <c r="AF53" s="24">
        <f t="shared" si="29"/>
        <v>2.6969352134037763</v>
      </c>
      <c r="AG53" s="41" t="str">
        <f t="shared" si="15"/>
        <v/>
      </c>
      <c r="AH53" s="24">
        <f t="shared" si="30"/>
        <v>8.3632225608453155</v>
      </c>
      <c r="AI53" s="41" t="str">
        <f t="shared" si="16"/>
        <v/>
      </c>
      <c r="AJ53" s="24">
        <f t="shared" si="31"/>
        <v>4.3586707301437855</v>
      </c>
      <c r="AK53" s="41" t="str">
        <f t="shared" si="17"/>
        <v/>
      </c>
    </row>
    <row r="54" spans="1:37" ht="15" customHeight="1" x14ac:dyDescent="0.2">
      <c r="A54" s="581"/>
      <c r="B54" s="3" t="str">
        <f>Rydberg!B55</f>
        <v>Density of ice at the ice point</v>
      </c>
      <c r="C54" s="3" t="str">
        <f>Rydberg!C55</f>
        <v>kg/m^3</v>
      </c>
      <c r="D54" s="21">
        <f>Rydberg!D55</f>
        <v>916.8</v>
      </c>
      <c r="E54" s="8">
        <v>6</v>
      </c>
      <c r="F54" s="21">
        <f>D54/(F$8*POWER(F$3,-3))</f>
        <v>140.49322623412871</v>
      </c>
      <c r="G54" s="37" t="str">
        <f t="shared" si="18"/>
        <v>E;85E036</v>
      </c>
      <c r="H54" s="275">
        <f t="shared" si="34"/>
        <v>-2.4352595596328297E-2</v>
      </c>
      <c r="I54" s="278"/>
      <c r="J54" s="38">
        <f t="shared" si="32"/>
        <v>1</v>
      </c>
      <c r="K54" s="61">
        <f t="shared" si="33"/>
        <v>11.70776885284406</v>
      </c>
      <c r="L54" s="39" t="str">
        <f>INDEX(powers!$H$2:$H$75,33+J54)</f>
        <v>dozen</v>
      </c>
      <c r="M54" s="40" t="str">
        <f t="shared" si="5"/>
        <v>E</v>
      </c>
      <c r="N54" s="24">
        <f t="shared" si="20"/>
        <v>8.4932262341287199</v>
      </c>
      <c r="O54" s="41" t="str">
        <f t="shared" si="6"/>
        <v>8</v>
      </c>
      <c r="P54" s="24">
        <f t="shared" si="21"/>
        <v>5.9187148095446389</v>
      </c>
      <c r="Q54" s="41" t="str">
        <f t="shared" si="7"/>
        <v>5</v>
      </c>
      <c r="R54" s="24">
        <f t="shared" si="22"/>
        <v>11.024577714535667</v>
      </c>
      <c r="S54" s="41" t="str">
        <f t="shared" si="8"/>
        <v>E</v>
      </c>
      <c r="T54" s="24">
        <f t="shared" si="23"/>
        <v>0.29493257442800314</v>
      </c>
      <c r="U54" s="41" t="str">
        <f t="shared" si="9"/>
        <v>0</v>
      </c>
      <c r="V54" s="24">
        <f t="shared" si="24"/>
        <v>3.5391908931360376</v>
      </c>
      <c r="W54" s="41" t="str">
        <f t="shared" si="10"/>
        <v>3</v>
      </c>
      <c r="X54" s="24">
        <f t="shared" si="25"/>
        <v>6.4702907176324516</v>
      </c>
      <c r="Y54" s="41" t="str">
        <f t="shared" si="11"/>
        <v>6</v>
      </c>
      <c r="Z54" s="24">
        <f t="shared" si="26"/>
        <v>5.6434886115894187</v>
      </c>
      <c r="AA54" s="41" t="str">
        <f t="shared" si="12"/>
        <v/>
      </c>
      <c r="AB54" s="24">
        <f t="shared" si="27"/>
        <v>7.7218633390730247</v>
      </c>
      <c r="AC54" s="41" t="str">
        <f t="shared" si="13"/>
        <v/>
      </c>
      <c r="AD54" s="24">
        <f t="shared" si="28"/>
        <v>8.6623600688762963</v>
      </c>
      <c r="AE54" s="41" t="str">
        <f t="shared" si="14"/>
        <v/>
      </c>
      <c r="AF54" s="24">
        <f t="shared" si="29"/>
        <v>7.9483208265155554</v>
      </c>
      <c r="AG54" s="41" t="str">
        <f t="shared" si="15"/>
        <v/>
      </c>
      <c r="AH54" s="24">
        <f t="shared" si="30"/>
        <v>11.379849918186665</v>
      </c>
      <c r="AI54" s="41" t="str">
        <f t="shared" si="16"/>
        <v/>
      </c>
      <c r="AJ54" s="24">
        <f t="shared" si="31"/>
        <v>4.558199018239975</v>
      </c>
      <c r="AK54" s="41" t="str">
        <f t="shared" si="17"/>
        <v/>
      </c>
    </row>
    <row r="55" spans="1:37" ht="15" customHeight="1" x14ac:dyDescent="0.2">
      <c r="A55" s="581"/>
      <c r="B55" s="3" t="str">
        <f>Rydberg!B56</f>
        <v>Specific heat of water</v>
      </c>
      <c r="C55" s="3" t="str">
        <f>Rydberg!C56</f>
        <v>J/kg/K</v>
      </c>
      <c r="D55" s="21">
        <f>Rydberg!D56</f>
        <v>4184</v>
      </c>
      <c r="E55" s="8">
        <v>4</v>
      </c>
      <c r="F55" s="21">
        <f>D55/(F$5/F$8/F$6)</f>
        <v>0.5025397261522988</v>
      </c>
      <c r="G55" s="37" t="str">
        <f t="shared" si="18"/>
        <v>6;0448</v>
      </c>
      <c r="H55" s="294">
        <f t="shared" si="34"/>
        <v>5.0794523045976092E-3</v>
      </c>
      <c r="I55" s="295"/>
      <c r="J55" s="131">
        <f t="shared" si="32"/>
        <v>-1</v>
      </c>
      <c r="K55" s="61">
        <f t="shared" si="33"/>
        <v>6.0304767138275857</v>
      </c>
      <c r="L55" s="134" t="str">
        <f>INDEX(powers!$H$2:$H$75,33+J55)</f>
        <v>unino</v>
      </c>
      <c r="M55" s="40" t="str">
        <f t="shared" si="5"/>
        <v>6</v>
      </c>
      <c r="N55" s="24">
        <f t="shared" si="20"/>
        <v>0.36572056593102786</v>
      </c>
      <c r="O55" s="41" t="str">
        <f t="shared" si="6"/>
        <v>0</v>
      </c>
      <c r="P55" s="24">
        <f t="shared" si="21"/>
        <v>4.3886467911723344</v>
      </c>
      <c r="Q55" s="41" t="str">
        <f t="shared" si="7"/>
        <v>4</v>
      </c>
      <c r="R55" s="24">
        <f t="shared" si="22"/>
        <v>4.6637614940680123</v>
      </c>
      <c r="S55" s="41" t="str">
        <f t="shared" si="8"/>
        <v>4</v>
      </c>
      <c r="T55" s="24">
        <f t="shared" si="23"/>
        <v>7.9651379288161479</v>
      </c>
      <c r="U55" s="41" t="str">
        <f t="shared" si="9"/>
        <v>8</v>
      </c>
      <c r="V55" s="24">
        <f t="shared" si="24"/>
        <v>11.581655145793775</v>
      </c>
      <c r="W55" s="41" t="str">
        <f t="shared" si="10"/>
        <v/>
      </c>
      <c r="X55" s="24">
        <f t="shared" si="25"/>
        <v>6.9798617495252984</v>
      </c>
      <c r="Y55" s="41" t="str">
        <f t="shared" si="11"/>
        <v/>
      </c>
      <c r="Z55" s="24">
        <f t="shared" si="26"/>
        <v>11.75834099430358</v>
      </c>
      <c r="AA55" s="41" t="str">
        <f t="shared" si="12"/>
        <v/>
      </c>
      <c r="AB55" s="24">
        <f t="shared" si="27"/>
        <v>9.1000919316429645</v>
      </c>
      <c r="AC55" s="41" t="str">
        <f t="shared" si="13"/>
        <v/>
      </c>
      <c r="AD55" s="24">
        <f t="shared" si="28"/>
        <v>1.2011031797155738</v>
      </c>
      <c r="AE55" s="41" t="str">
        <f t="shared" si="14"/>
        <v/>
      </c>
      <c r="AF55" s="24">
        <f t="shared" si="29"/>
        <v>2.4132381565868855</v>
      </c>
      <c r="AG55" s="41" t="str">
        <f t="shared" si="15"/>
        <v/>
      </c>
      <c r="AH55" s="24">
        <f t="shared" si="30"/>
        <v>4.9588578790426254</v>
      </c>
      <c r="AI55" s="41" t="str">
        <f t="shared" si="16"/>
        <v/>
      </c>
      <c r="AJ55" s="24">
        <f t="shared" si="31"/>
        <v>11.506294548511505</v>
      </c>
      <c r="AK55" s="41" t="str">
        <f t="shared" si="17"/>
        <v/>
      </c>
    </row>
    <row r="56" spans="1:37" ht="15" customHeight="1" x14ac:dyDescent="0.2">
      <c r="A56" s="581"/>
      <c r="B56" s="3" t="str">
        <f>Rydberg!B57</f>
        <v>Surface tension of water at 25℃</v>
      </c>
      <c r="C56" s="3" t="str">
        <f>Rydberg!C57</f>
        <v>N/m</v>
      </c>
      <c r="D56" s="21">
        <f>Rydberg!D57</f>
        <v>7.1970000000000006E-2</v>
      </c>
      <c r="E56" s="8">
        <v>4</v>
      </c>
      <c r="F56" s="21">
        <f>D$56/(F$10/F$3)</f>
        <v>1.9373583056703195E-10</v>
      </c>
      <c r="G56" s="37" t="str">
        <f t="shared" si="18"/>
        <v>E;EE45</v>
      </c>
      <c r="H56" s="275">
        <f t="shared" si="34"/>
        <v>-3.6566796182746497E-4</v>
      </c>
      <c r="I56" s="278"/>
      <c r="J56" s="38">
        <f t="shared" si="32"/>
        <v>-10</v>
      </c>
      <c r="K56" s="61">
        <f t="shared" si="33"/>
        <v>11.995611984458071</v>
      </c>
      <c r="L56" s="39" t="str">
        <f>INDEX(powers!$H$2:$H$75,33+J56)</f>
        <v>dino atomic</v>
      </c>
      <c r="M56" s="40" t="str">
        <f t="shared" si="5"/>
        <v>E</v>
      </c>
      <c r="N56" s="24">
        <f t="shared" si="20"/>
        <v>11.94734381349685</v>
      </c>
      <c r="O56" s="41" t="str">
        <f t="shared" si="6"/>
        <v>E</v>
      </c>
      <c r="P56" s="24">
        <f t="shared" si="21"/>
        <v>11.368125761962204</v>
      </c>
      <c r="Q56" s="41" t="str">
        <f t="shared" si="7"/>
        <v>E</v>
      </c>
      <c r="R56" s="24">
        <f t="shared" si="22"/>
        <v>4.4175091435464537</v>
      </c>
      <c r="S56" s="41" t="str">
        <f t="shared" si="8"/>
        <v>4</v>
      </c>
      <c r="T56" s="24">
        <f t="shared" si="23"/>
        <v>5.0101097225574449</v>
      </c>
      <c r="U56" s="41" t="str">
        <f t="shared" si="9"/>
        <v>5</v>
      </c>
      <c r="V56" s="24">
        <f t="shared" si="24"/>
        <v>0.12131667068933893</v>
      </c>
      <c r="W56" s="41" t="str">
        <f t="shared" si="10"/>
        <v/>
      </c>
      <c r="X56" s="24">
        <f t="shared" si="25"/>
        <v>1.4558000482720672</v>
      </c>
      <c r="Y56" s="41" t="str">
        <f t="shared" si="11"/>
        <v/>
      </c>
      <c r="Z56" s="24">
        <f t="shared" si="26"/>
        <v>5.4696005792648066</v>
      </c>
      <c r="AA56" s="41" t="str">
        <f t="shared" si="12"/>
        <v/>
      </c>
      <c r="AB56" s="24">
        <f t="shared" si="27"/>
        <v>5.635206951177679</v>
      </c>
      <c r="AC56" s="41" t="str">
        <f t="shared" si="13"/>
        <v/>
      </c>
      <c r="AD56" s="24">
        <f t="shared" si="28"/>
        <v>7.622483414132148</v>
      </c>
      <c r="AE56" s="41" t="str">
        <f t="shared" si="14"/>
        <v/>
      </c>
      <c r="AF56" s="24">
        <f t="shared" si="29"/>
        <v>7.4698009695857763</v>
      </c>
      <c r="AG56" s="41" t="str">
        <f t="shared" si="15"/>
        <v/>
      </c>
      <c r="AH56" s="24">
        <f t="shared" si="30"/>
        <v>5.6376116350293159</v>
      </c>
      <c r="AI56" s="41" t="str">
        <f t="shared" si="16"/>
        <v/>
      </c>
      <c r="AJ56" s="24">
        <f t="shared" si="31"/>
        <v>7.6513396203517914</v>
      </c>
      <c r="AK56" s="41" t="str">
        <f t="shared" si="17"/>
        <v/>
      </c>
    </row>
    <row r="57" spans="1:37" ht="15" customHeight="1" x14ac:dyDescent="0.2">
      <c r="A57" s="581"/>
      <c r="B57" s="5" t="str">
        <f>Rydberg!B58</f>
        <v>photon energy at 540THz</v>
      </c>
      <c r="C57" s="3" t="str">
        <f>Rydberg!C58</f>
        <v>J</v>
      </c>
      <c r="D57" s="21">
        <f>D36*540000000000000*(2*PI())</f>
        <v>3.5780778809999999E-19</v>
      </c>
      <c r="E57" s="8">
        <v>4</v>
      </c>
      <c r="F57" s="21">
        <f>D57/F$5</f>
        <v>2.4007469059197539E-9</v>
      </c>
      <c r="G57" s="37" t="str">
        <f t="shared" si="18"/>
        <v>1;0479</v>
      </c>
      <c r="H57" s="275">
        <f t="shared" si="34"/>
        <v>3.2277226274128212E-2</v>
      </c>
      <c r="I57" s="278"/>
      <c r="J57" s="38">
        <f t="shared" si="32"/>
        <v>-8</v>
      </c>
      <c r="K57" s="61">
        <f t="shared" si="33"/>
        <v>1.0322772262741282</v>
      </c>
      <c r="L57" s="39" t="str">
        <f>INDEX(powers!$H$2:$H$75,33+J57)</f>
        <v>atomic</v>
      </c>
      <c r="M57" s="40" t="str">
        <f t="shared" si="5"/>
        <v>1</v>
      </c>
      <c r="N57" s="24">
        <f t="shared" si="20"/>
        <v>0.38732671528953855</v>
      </c>
      <c r="O57" s="41" t="str">
        <f t="shared" si="6"/>
        <v>0</v>
      </c>
      <c r="P57" s="24">
        <f t="shared" si="21"/>
        <v>4.6479205834744626</v>
      </c>
      <c r="Q57" s="41" t="str">
        <f t="shared" si="7"/>
        <v>4</v>
      </c>
      <c r="R57" s="24">
        <f t="shared" si="22"/>
        <v>7.7750470016935509</v>
      </c>
      <c r="S57" s="41" t="str">
        <f t="shared" si="8"/>
        <v>7</v>
      </c>
      <c r="T57" s="24">
        <f t="shared" si="23"/>
        <v>9.3005640203226108</v>
      </c>
      <c r="U57" s="41" t="str">
        <f t="shared" si="9"/>
        <v>9</v>
      </c>
      <c r="V57" s="24">
        <f t="shared" si="24"/>
        <v>3.6067682438713291</v>
      </c>
      <c r="W57" s="41" t="str">
        <f t="shared" si="10"/>
        <v/>
      </c>
      <c r="X57" s="24">
        <f t="shared" si="25"/>
        <v>7.2812189264559493</v>
      </c>
      <c r="Y57" s="41" t="str">
        <f t="shared" si="11"/>
        <v/>
      </c>
      <c r="Z57" s="24">
        <f t="shared" si="26"/>
        <v>3.3746271174713911</v>
      </c>
      <c r="AA57" s="41" t="str">
        <f t="shared" si="12"/>
        <v/>
      </c>
      <c r="AB57" s="24">
        <f t="shared" si="27"/>
        <v>4.4955254096566932</v>
      </c>
      <c r="AC57" s="41" t="str">
        <f t="shared" si="13"/>
        <v/>
      </c>
      <c r="AD57" s="24">
        <f t="shared" si="28"/>
        <v>5.9463049158803187</v>
      </c>
      <c r="AE57" s="41" t="str">
        <f t="shared" si="14"/>
        <v/>
      </c>
      <c r="AF57" s="24">
        <f t="shared" si="29"/>
        <v>11.355658990563825</v>
      </c>
      <c r="AG57" s="41" t="str">
        <f t="shared" si="15"/>
        <v/>
      </c>
      <c r="AH57" s="24">
        <f t="shared" si="30"/>
        <v>4.2679078867658973</v>
      </c>
      <c r="AI57" s="41" t="str">
        <f t="shared" si="16"/>
        <v/>
      </c>
      <c r="AJ57" s="24">
        <f t="shared" si="31"/>
        <v>3.2148946411907673</v>
      </c>
      <c r="AK57" s="41" t="str">
        <f t="shared" si="17"/>
        <v/>
      </c>
    </row>
    <row r="58" spans="1:37" ht="15" customHeight="1" x14ac:dyDescent="0.2">
      <c r="A58" s="581"/>
      <c r="B58" s="224" t="str">
        <f>Rydberg!B59</f>
        <v>(according to the definition of candela)</v>
      </c>
      <c r="C58" s="3" t="str">
        <f>Rydberg!C59</f>
        <v>eΩA</v>
      </c>
      <c r="D58" s="21">
        <f>D57/D41</f>
        <v>2.2332605563388839</v>
      </c>
      <c r="E58" s="8">
        <v>10</v>
      </c>
      <c r="F58" s="21">
        <f>D58/F$17</f>
        <v>1.0070068749685401</v>
      </c>
      <c r="G58" s="37" t="str">
        <f t="shared" si="18"/>
        <v>1;0101364EE9</v>
      </c>
      <c r="H58" s="275">
        <f t="shared" si="34"/>
        <v>7.0068749685401333E-3</v>
      </c>
      <c r="I58" s="278"/>
      <c r="J58" s="38">
        <f t="shared" si="32"/>
        <v>0</v>
      </c>
      <c r="K58" s="61">
        <f t="shared" si="33"/>
        <v>1.0070068749685401</v>
      </c>
      <c r="L58" s="254">
        <f>540/K58</f>
        <v>536.24261504358662</v>
      </c>
      <c r="M58" s="40" t="str">
        <f t="shared" si="5"/>
        <v>1</v>
      </c>
      <c r="N58" s="24">
        <f t="shared" si="20"/>
        <v>8.4082499622481599E-2</v>
      </c>
      <c r="O58" s="41" t="str">
        <f t="shared" si="6"/>
        <v>0</v>
      </c>
      <c r="P58" s="24">
        <f t="shared" si="21"/>
        <v>1.0089899954697792</v>
      </c>
      <c r="Q58" s="41" t="str">
        <f t="shared" si="7"/>
        <v>1</v>
      </c>
      <c r="R58" s="24">
        <f t="shared" si="22"/>
        <v>0.10787994563735026</v>
      </c>
      <c r="S58" s="41" t="str">
        <f t="shared" si="8"/>
        <v>0</v>
      </c>
      <c r="T58" s="24">
        <f t="shared" si="23"/>
        <v>1.2945593476482031</v>
      </c>
      <c r="U58" s="41" t="str">
        <f t="shared" si="9"/>
        <v>1</v>
      </c>
      <c r="V58" s="24">
        <f t="shared" si="24"/>
        <v>3.5347121717784376</v>
      </c>
      <c r="W58" s="41" t="str">
        <f t="shared" si="10"/>
        <v>3</v>
      </c>
      <c r="X58" s="24">
        <f t="shared" si="25"/>
        <v>6.4165460613412506</v>
      </c>
      <c r="Y58" s="41" t="str">
        <f t="shared" si="11"/>
        <v>6</v>
      </c>
      <c r="Z58" s="24">
        <f t="shared" si="26"/>
        <v>4.9985527360950073</v>
      </c>
      <c r="AA58" s="41" t="str">
        <f t="shared" si="12"/>
        <v>4</v>
      </c>
      <c r="AB58" s="24">
        <f t="shared" si="27"/>
        <v>11.982632833140087</v>
      </c>
      <c r="AC58" s="41" t="str">
        <f t="shared" si="13"/>
        <v>E</v>
      </c>
      <c r="AD58" s="24">
        <f t="shared" si="28"/>
        <v>11.791593997681048</v>
      </c>
      <c r="AE58" s="41" t="str">
        <f t="shared" si="14"/>
        <v>E</v>
      </c>
      <c r="AF58" s="24">
        <f t="shared" si="29"/>
        <v>9.4991279721725732</v>
      </c>
      <c r="AG58" s="41" t="str">
        <f t="shared" si="15"/>
        <v>9</v>
      </c>
      <c r="AH58" s="24">
        <f t="shared" si="30"/>
        <v>5.9895356660708785</v>
      </c>
      <c r="AI58" s="41" t="str">
        <f t="shared" si="16"/>
        <v/>
      </c>
      <c r="AJ58" s="24">
        <f t="shared" si="31"/>
        <v>11.874427992850542</v>
      </c>
      <c r="AK58" s="41" t="str">
        <f t="shared" si="17"/>
        <v/>
      </c>
    </row>
    <row r="59" spans="1:37" ht="15" customHeight="1" x14ac:dyDescent="0.2">
      <c r="A59" s="581"/>
      <c r="B59" s="267">
        <f>Rydberg!B60</f>
        <v>1.024</v>
      </c>
      <c r="C59" s="3" t="str">
        <f>Rydberg!C60</f>
        <v>P/m</v>
      </c>
      <c r="D59" s="21">
        <f>D53*D62*B59</f>
        <v>10041.728423731198</v>
      </c>
      <c r="E59" s="8">
        <v>10</v>
      </c>
      <c r="F59" s="21">
        <f>D59/(F11/F3)</f>
        <v>9.6694935565343934E-11</v>
      </c>
      <c r="G59" s="37" t="str">
        <f t="shared" si="18"/>
        <v>5;EX184E6017</v>
      </c>
      <c r="H59" s="275">
        <f t="shared" si="34"/>
        <v>-2.1507426640646754E-3</v>
      </c>
      <c r="I59" s="278"/>
      <c r="J59" s="38">
        <f t="shared" si="32"/>
        <v>-10</v>
      </c>
      <c r="K59" s="61">
        <f t="shared" si="33"/>
        <v>5.9870955440156122</v>
      </c>
      <c r="L59" s="39" t="str">
        <f>INDEX(powers!$H$2:$H$75,33+J59)</f>
        <v>dino atomic</v>
      </c>
      <c r="M59" s="40" t="str">
        <f t="shared" si="5"/>
        <v>5</v>
      </c>
      <c r="N59" s="24">
        <f t="shared" si="20"/>
        <v>11.845146528187346</v>
      </c>
      <c r="O59" s="41" t="str">
        <f t="shared" si="6"/>
        <v>E</v>
      </c>
      <c r="P59" s="24">
        <f t="shared" si="21"/>
        <v>10.141758338248152</v>
      </c>
      <c r="Q59" s="41" t="str">
        <f t="shared" si="7"/>
        <v>X</v>
      </c>
      <c r="R59" s="24">
        <f t="shared" si="22"/>
        <v>1.7011000589778291</v>
      </c>
      <c r="S59" s="41" t="str">
        <f t="shared" si="8"/>
        <v>1</v>
      </c>
      <c r="T59" s="24">
        <f t="shared" si="23"/>
        <v>8.4132007077339495</v>
      </c>
      <c r="U59" s="41" t="str">
        <f t="shared" si="9"/>
        <v>8</v>
      </c>
      <c r="V59" s="24">
        <f t="shared" si="24"/>
        <v>4.9584084928073935</v>
      </c>
      <c r="W59" s="41" t="str">
        <f t="shared" si="10"/>
        <v>4</v>
      </c>
      <c r="X59" s="24">
        <f t="shared" si="25"/>
        <v>11.500901913688722</v>
      </c>
      <c r="Y59" s="41" t="str">
        <f t="shared" si="11"/>
        <v>E</v>
      </c>
      <c r="Z59" s="24">
        <f t="shared" si="26"/>
        <v>6.010822964264662</v>
      </c>
      <c r="AA59" s="41" t="str">
        <f t="shared" si="12"/>
        <v>6</v>
      </c>
      <c r="AB59" s="24">
        <f t="shared" si="27"/>
        <v>0.12987557117594406</v>
      </c>
      <c r="AC59" s="41" t="str">
        <f t="shared" si="13"/>
        <v>0</v>
      </c>
      <c r="AD59" s="24">
        <f t="shared" si="28"/>
        <v>1.5585068541113287</v>
      </c>
      <c r="AE59" s="41" t="str">
        <f t="shared" si="14"/>
        <v>1</v>
      </c>
      <c r="AF59" s="24">
        <f t="shared" si="29"/>
        <v>6.7020822493359447</v>
      </c>
      <c r="AG59" s="41" t="str">
        <f t="shared" si="15"/>
        <v>7</v>
      </c>
      <c r="AH59" s="24">
        <f t="shared" si="30"/>
        <v>8.4249869920313358</v>
      </c>
      <c r="AI59" s="41" t="str">
        <f t="shared" si="16"/>
        <v/>
      </c>
      <c r="AJ59" s="24">
        <f t="shared" si="31"/>
        <v>5.09984390437603</v>
      </c>
      <c r="AK59" s="41" t="str">
        <f t="shared" si="17"/>
        <v/>
      </c>
    </row>
    <row r="60" spans="1:37" ht="15" customHeight="1" x14ac:dyDescent="0.2">
      <c r="A60" s="581"/>
      <c r="B60" s="3" t="str">
        <f>Rydberg!B61</f>
        <v>Sea depth at standard atmosphere</v>
      </c>
      <c r="C60" s="3" t="str">
        <f>Rydberg!C61</f>
        <v>m</v>
      </c>
      <c r="D60" s="21">
        <f>D61/D59</f>
        <v>10.090394374791382</v>
      </c>
      <c r="E60" s="8">
        <v>6</v>
      </c>
      <c r="F60" s="21">
        <f>D60/F$3</f>
        <v>15930419478.628582</v>
      </c>
      <c r="G60" s="37" t="str">
        <f t="shared" si="18"/>
        <v>3;107095</v>
      </c>
      <c r="H60" s="276">
        <f t="shared" si="34"/>
        <v>1.3260606348519666E-3</v>
      </c>
      <c r="I60" s="284">
        <v>1</v>
      </c>
      <c r="J60" s="38">
        <f t="shared" si="32"/>
        <v>9</v>
      </c>
      <c r="K60" s="61">
        <f t="shared" si="33"/>
        <v>3.0874220202907936</v>
      </c>
      <c r="L60" s="39" t="str">
        <f>INDEX(powers!$H$2:$H$75,33+J60)</f>
        <v>dozen cosmic</v>
      </c>
      <c r="M60" s="40" t="str">
        <f t="shared" si="5"/>
        <v>3</v>
      </c>
      <c r="N60" s="24">
        <f t="shared" si="20"/>
        <v>1.0490642434895232</v>
      </c>
      <c r="O60" s="41" t="str">
        <f t="shared" si="6"/>
        <v>1</v>
      </c>
      <c r="P60" s="24">
        <f t="shared" si="21"/>
        <v>0.58877092187427849</v>
      </c>
      <c r="Q60" s="41" t="str">
        <f t="shared" si="7"/>
        <v>0</v>
      </c>
      <c r="R60" s="24">
        <f t="shared" si="22"/>
        <v>7.0652510624913418</v>
      </c>
      <c r="S60" s="41" t="str">
        <f t="shared" si="8"/>
        <v>7</v>
      </c>
      <c r="T60" s="24">
        <f t="shared" si="23"/>
        <v>0.78301274989610192</v>
      </c>
      <c r="U60" s="41" t="str">
        <f t="shared" si="9"/>
        <v>0</v>
      </c>
      <c r="V60" s="24">
        <f t="shared" si="24"/>
        <v>9.3961529987532231</v>
      </c>
      <c r="W60" s="41" t="str">
        <f t="shared" si="10"/>
        <v>9</v>
      </c>
      <c r="X60" s="24">
        <f t="shared" si="25"/>
        <v>4.7538359850386769</v>
      </c>
      <c r="Y60" s="41" t="str">
        <f t="shared" si="11"/>
        <v>5</v>
      </c>
      <c r="Z60" s="24">
        <f t="shared" si="26"/>
        <v>9.0460318204641226</v>
      </c>
      <c r="AA60" s="41" t="str">
        <f t="shared" si="12"/>
        <v/>
      </c>
      <c r="AB60" s="24">
        <f t="shared" si="27"/>
        <v>0.5523818455694709</v>
      </c>
      <c r="AC60" s="41" t="str">
        <f t="shared" si="13"/>
        <v/>
      </c>
      <c r="AD60" s="24">
        <f t="shared" si="28"/>
        <v>6.6285821468336508</v>
      </c>
      <c r="AE60" s="41" t="str">
        <f t="shared" si="14"/>
        <v/>
      </c>
      <c r="AF60" s="24">
        <f t="shared" si="29"/>
        <v>7.5429857620038092</v>
      </c>
      <c r="AG60" s="41" t="str">
        <f t="shared" si="15"/>
        <v/>
      </c>
      <c r="AH60" s="24">
        <f t="shared" si="30"/>
        <v>6.5158291440457106</v>
      </c>
      <c r="AI60" s="41" t="str">
        <f t="shared" si="16"/>
        <v/>
      </c>
      <c r="AJ60" s="24">
        <f t="shared" si="31"/>
        <v>6.1899497285485268</v>
      </c>
      <c r="AK60" s="41" t="str">
        <f t="shared" si="17"/>
        <v/>
      </c>
    </row>
    <row r="61" spans="1:37" ht="15" customHeight="1" x14ac:dyDescent="0.2">
      <c r="A61" s="581"/>
      <c r="B61" s="3" t="str">
        <f>Rydberg!B62</f>
        <v>Standard atmosphere</v>
      </c>
      <c r="C61" s="3" t="str">
        <f>Rydberg!C62</f>
        <v>P</v>
      </c>
      <c r="D61" s="21">
        <f>Rydberg!D62</f>
        <v>101325</v>
      </c>
      <c r="E61" s="8">
        <v>6</v>
      </c>
      <c r="F61" s="21">
        <f>D61/F$11</f>
        <v>1.5403908850148904</v>
      </c>
      <c r="G61" s="37" t="str">
        <f t="shared" si="18"/>
        <v>1;659967</v>
      </c>
      <c r="H61" s="276">
        <f t="shared" si="34"/>
        <v>-8.2753404439539491E-4</v>
      </c>
      <c r="I61" s="284">
        <v>2</v>
      </c>
      <c r="J61" s="38">
        <f t="shared" si="32"/>
        <v>0</v>
      </c>
      <c r="K61" s="61">
        <f t="shared" si="33"/>
        <v>1.5403908850148904</v>
      </c>
      <c r="L61" s="39" t="str">
        <f>INDEX(powers!$H$2:$H$75,33+J61)</f>
        <v xml:space="preserve"> </v>
      </c>
      <c r="M61" s="40" t="str">
        <f t="shared" si="5"/>
        <v>1</v>
      </c>
      <c r="N61" s="24">
        <f t="shared" si="20"/>
        <v>6.4846906201786849</v>
      </c>
      <c r="O61" s="41" t="str">
        <f t="shared" si="6"/>
        <v>6</v>
      </c>
      <c r="P61" s="24">
        <f t="shared" si="21"/>
        <v>5.816287442144219</v>
      </c>
      <c r="Q61" s="41" t="str">
        <f t="shared" si="7"/>
        <v>5</v>
      </c>
      <c r="R61" s="24">
        <f t="shared" si="22"/>
        <v>9.795449305730628</v>
      </c>
      <c r="S61" s="41" t="str">
        <f t="shared" si="8"/>
        <v>9</v>
      </c>
      <c r="T61" s="24">
        <f t="shared" si="23"/>
        <v>9.545391668767536</v>
      </c>
      <c r="U61" s="41" t="str">
        <f t="shared" si="9"/>
        <v>9</v>
      </c>
      <c r="V61" s="24">
        <f t="shared" si="24"/>
        <v>6.5447000252104317</v>
      </c>
      <c r="W61" s="41" t="str">
        <f t="shared" si="10"/>
        <v>6</v>
      </c>
      <c r="X61" s="24">
        <f t="shared" si="25"/>
        <v>6.5364003025251805</v>
      </c>
      <c r="Y61" s="41" t="str">
        <f t="shared" si="11"/>
        <v>7</v>
      </c>
      <c r="Z61" s="24">
        <f t="shared" si="26"/>
        <v>6.4368036303021654</v>
      </c>
      <c r="AA61" s="41" t="str">
        <f t="shared" si="12"/>
        <v/>
      </c>
      <c r="AB61" s="24">
        <f t="shared" si="27"/>
        <v>5.2416435636259848</v>
      </c>
      <c r="AC61" s="41" t="str">
        <f t="shared" si="13"/>
        <v/>
      </c>
      <c r="AD61" s="24">
        <f t="shared" si="28"/>
        <v>2.8997227635118179</v>
      </c>
      <c r="AE61" s="41" t="str">
        <f t="shared" si="14"/>
        <v/>
      </c>
      <c r="AF61" s="24">
        <f t="shared" si="29"/>
        <v>10.796673162141815</v>
      </c>
      <c r="AG61" s="41" t="str">
        <f t="shared" si="15"/>
        <v/>
      </c>
      <c r="AH61" s="24">
        <f t="shared" si="30"/>
        <v>9.5600779457017779</v>
      </c>
      <c r="AI61" s="41" t="str">
        <f t="shared" si="16"/>
        <v/>
      </c>
      <c r="AJ61" s="24">
        <f t="shared" si="31"/>
        <v>6.7209353484213352</v>
      </c>
      <c r="AK61" s="41" t="str">
        <f t="shared" si="17"/>
        <v/>
      </c>
    </row>
    <row r="62" spans="1:37" ht="15" customHeight="1" x14ac:dyDescent="0.2">
      <c r="A62" s="581"/>
      <c r="B62" s="3" t="str">
        <f>Rydberg!B63</f>
        <v>Standard gravitational acceleration</v>
      </c>
      <c r="C62" s="3" t="str">
        <f>Rydberg!C63</f>
        <v>m/s^2</v>
      </c>
      <c r="D62" s="21">
        <f>Rydberg!D63</f>
        <v>9.8066499999999994</v>
      </c>
      <c r="E62" s="8">
        <v>10</v>
      </c>
      <c r="F62" s="21">
        <f>D62/(F$3/F$4/F$4)</f>
        <v>6.9113072200843553E-26</v>
      </c>
      <c r="G62" s="37" t="str">
        <f t="shared" si="18"/>
        <v>5;5E21263934</v>
      </c>
      <c r="H62" s="296">
        <f>K62*POWER(12,I62)/ROUND(K62*POWER(12,I62)+1,0)-1</f>
        <v>-8.4288109915436782E-2</v>
      </c>
      <c r="I62" s="297">
        <v>0</v>
      </c>
      <c r="J62" s="38">
        <f t="shared" si="32"/>
        <v>-24</v>
      </c>
      <c r="K62" s="61">
        <f t="shared" si="33"/>
        <v>5.4942713405073791</v>
      </c>
      <c r="L62" s="39" t="str">
        <f>INDEX(powers!$H$2:$H$75,33+J62)</f>
        <v>ter-atomic</v>
      </c>
      <c r="M62" s="40" t="str">
        <f t="shared" si="5"/>
        <v>5</v>
      </c>
      <c r="N62" s="24">
        <f t="shared" si="20"/>
        <v>5.931256086088549</v>
      </c>
      <c r="O62" s="41" t="str">
        <f t="shared" si="6"/>
        <v>5</v>
      </c>
      <c r="P62" s="24">
        <f t="shared" si="21"/>
        <v>11.175073033062588</v>
      </c>
      <c r="Q62" s="41" t="str">
        <f t="shared" si="7"/>
        <v>E</v>
      </c>
      <c r="R62" s="24">
        <f t="shared" si="22"/>
        <v>2.1008763967510617</v>
      </c>
      <c r="S62" s="41" t="str">
        <f t="shared" si="8"/>
        <v>2</v>
      </c>
      <c r="T62" s="24">
        <f t="shared" si="23"/>
        <v>1.210516761012741</v>
      </c>
      <c r="U62" s="41" t="str">
        <f t="shared" si="9"/>
        <v>1</v>
      </c>
      <c r="V62" s="24">
        <f t="shared" si="24"/>
        <v>2.5262011321528917</v>
      </c>
      <c r="W62" s="41" t="str">
        <f t="shared" si="10"/>
        <v>2</v>
      </c>
      <c r="X62" s="24">
        <f t="shared" si="25"/>
        <v>6.3144135858346999</v>
      </c>
      <c r="Y62" s="41" t="str">
        <f t="shared" si="11"/>
        <v>6</v>
      </c>
      <c r="Z62" s="24">
        <f t="shared" si="26"/>
        <v>3.772963030016399</v>
      </c>
      <c r="AA62" s="41" t="str">
        <f t="shared" si="12"/>
        <v>3</v>
      </c>
      <c r="AB62" s="24">
        <f t="shared" si="27"/>
        <v>9.2755563601967879</v>
      </c>
      <c r="AC62" s="41" t="str">
        <f t="shared" si="13"/>
        <v>9</v>
      </c>
      <c r="AD62" s="24">
        <f t="shared" si="28"/>
        <v>3.3066763223614544</v>
      </c>
      <c r="AE62" s="41" t="str">
        <f t="shared" si="14"/>
        <v>3</v>
      </c>
      <c r="AF62" s="24">
        <f t="shared" si="29"/>
        <v>3.6801158683374524</v>
      </c>
      <c r="AG62" s="41" t="str">
        <f t="shared" si="15"/>
        <v>4</v>
      </c>
      <c r="AH62" s="24">
        <f t="shared" si="30"/>
        <v>8.1613904200494289</v>
      </c>
      <c r="AI62" s="41" t="str">
        <f t="shared" si="16"/>
        <v/>
      </c>
      <c r="AJ62" s="24">
        <f t="shared" si="31"/>
        <v>1.9366850405931473</v>
      </c>
      <c r="AK62" s="41" t="str">
        <f t="shared" si="17"/>
        <v/>
      </c>
    </row>
    <row r="63" spans="1:37" ht="15" customHeight="1" x14ac:dyDescent="0.2">
      <c r="A63" s="581"/>
      <c r="B63" s="3" t="str">
        <f>Rydberg!B64</f>
        <v>Gravitational radius of the Earth</v>
      </c>
      <c r="C63" s="3" t="str">
        <f>Rydberg!C64</f>
        <v>m</v>
      </c>
      <c r="D63" s="21">
        <f>Rydberg!D64</f>
        <v>4.4350280391176706E-3</v>
      </c>
      <c r="E63" s="8">
        <v>7</v>
      </c>
      <c r="F63" s="21">
        <f>D63/F$3</f>
        <v>7001892.5364435799</v>
      </c>
      <c r="G63" s="37" t="str">
        <f t="shared" si="18"/>
        <v>2;4180306</v>
      </c>
      <c r="H63" s="275"/>
      <c r="I63" s="278"/>
      <c r="J63" s="38">
        <f t="shared" si="32"/>
        <v>6</v>
      </c>
      <c r="K63" s="61">
        <f t="shared" si="33"/>
        <v>2.3449196433884376</v>
      </c>
      <c r="L63" s="39" t="str">
        <f>INDEX(powers!$H$2:$H$75,33+J63)</f>
        <v>dino cosmic</v>
      </c>
      <c r="M63" s="40" t="str">
        <f t="shared" si="5"/>
        <v>2</v>
      </c>
      <c r="N63" s="24">
        <f t="shared" si="20"/>
        <v>4.1390357206612514</v>
      </c>
      <c r="O63" s="41" t="str">
        <f t="shared" si="6"/>
        <v>4</v>
      </c>
      <c r="P63" s="24">
        <f t="shared" si="21"/>
        <v>1.6684286479350163</v>
      </c>
      <c r="Q63" s="41" t="str">
        <f t="shared" si="7"/>
        <v>1</v>
      </c>
      <c r="R63" s="24">
        <f t="shared" si="22"/>
        <v>8.0211437752201959</v>
      </c>
      <c r="S63" s="41" t="str">
        <f t="shared" si="8"/>
        <v>8</v>
      </c>
      <c r="T63" s="24">
        <f t="shared" si="23"/>
        <v>0.25372530264235138</v>
      </c>
      <c r="U63" s="41" t="str">
        <f t="shared" si="9"/>
        <v>0</v>
      </c>
      <c r="V63" s="24">
        <f t="shared" si="24"/>
        <v>3.0447036317082166</v>
      </c>
      <c r="W63" s="41" t="str">
        <f t="shared" si="10"/>
        <v>3</v>
      </c>
      <c r="X63" s="24">
        <f t="shared" si="25"/>
        <v>0.53644358049859875</v>
      </c>
      <c r="Y63" s="41" t="str">
        <f t="shared" si="11"/>
        <v>0</v>
      </c>
      <c r="Z63" s="24">
        <f t="shared" si="26"/>
        <v>6.437322965983185</v>
      </c>
      <c r="AA63" s="41" t="str">
        <f t="shared" si="12"/>
        <v>6</v>
      </c>
      <c r="AB63" s="24">
        <f t="shared" si="27"/>
        <v>5.2478755917982198</v>
      </c>
      <c r="AC63" s="41" t="str">
        <f t="shared" si="13"/>
        <v/>
      </c>
      <c r="AD63" s="24">
        <f t="shared" si="28"/>
        <v>2.974507101578638</v>
      </c>
      <c r="AE63" s="41" t="str">
        <f t="shared" si="14"/>
        <v/>
      </c>
      <c r="AF63" s="24">
        <f t="shared" si="29"/>
        <v>11.694085218943655</v>
      </c>
      <c r="AG63" s="41" t="str">
        <f t="shared" si="15"/>
        <v/>
      </c>
      <c r="AH63" s="24">
        <f t="shared" si="30"/>
        <v>8.3290226273238659</v>
      </c>
      <c r="AI63" s="41" t="str">
        <f t="shared" si="16"/>
        <v/>
      </c>
      <c r="AJ63" s="24">
        <f t="shared" si="31"/>
        <v>3.9482715278863907</v>
      </c>
      <c r="AK63" s="41" t="str">
        <f t="shared" si="17"/>
        <v/>
      </c>
    </row>
    <row r="64" spans="1:37" ht="15" customHeight="1" x14ac:dyDescent="0.2">
      <c r="A64" s="581"/>
      <c r="B64" s="3" t="str">
        <f>Rydberg!B65</f>
        <v>Equatorial radius of the Earth</v>
      </c>
      <c r="C64" s="3" t="str">
        <f>Rydberg!C65</f>
        <v>m</v>
      </c>
      <c r="D64" s="21">
        <f>Rydberg!D65</f>
        <v>6378137</v>
      </c>
      <c r="E64" s="8">
        <v>10</v>
      </c>
      <c r="F64" s="21">
        <f>D64/F$3</f>
        <v>1.0069616124816962E+16</v>
      </c>
      <c r="G64" s="37" t="str">
        <f t="shared" si="18"/>
        <v>7;X145E0961X</v>
      </c>
      <c r="H64" s="275"/>
      <c r="I64" s="278"/>
      <c r="J64" s="38">
        <f t="shared" si="32"/>
        <v>14</v>
      </c>
      <c r="K64" s="61">
        <f t="shared" si="33"/>
        <v>7.8428781911436776</v>
      </c>
      <c r="L64" s="39" t="str">
        <f>INDEX(powers!$H$2:$H$75,33+J64)</f>
        <v>dino di-cosmic</v>
      </c>
      <c r="M64" s="40" t="str">
        <f t="shared" si="5"/>
        <v>7</v>
      </c>
      <c r="N64" s="24">
        <f t="shared" si="20"/>
        <v>10.114538293724131</v>
      </c>
      <c r="O64" s="41" t="str">
        <f t="shared" si="6"/>
        <v>X</v>
      </c>
      <c r="P64" s="24">
        <f t="shared" si="21"/>
        <v>1.3744595246895699</v>
      </c>
      <c r="Q64" s="41" t="str">
        <f t="shared" si="7"/>
        <v>1</v>
      </c>
      <c r="R64" s="24">
        <f t="shared" si="22"/>
        <v>4.4935142962748387</v>
      </c>
      <c r="S64" s="41" t="str">
        <f t="shared" si="8"/>
        <v>4</v>
      </c>
      <c r="T64" s="24">
        <f t="shared" si="23"/>
        <v>5.922171555298064</v>
      </c>
      <c r="U64" s="41" t="str">
        <f t="shared" si="9"/>
        <v>5</v>
      </c>
      <c r="V64" s="24">
        <f t="shared" si="24"/>
        <v>11.066058663576769</v>
      </c>
      <c r="W64" s="41" t="str">
        <f t="shared" si="10"/>
        <v>E</v>
      </c>
      <c r="X64" s="24">
        <f t="shared" si="25"/>
        <v>0.79270396292122314</v>
      </c>
      <c r="Y64" s="41" t="str">
        <f t="shared" si="11"/>
        <v>0</v>
      </c>
      <c r="Z64" s="24">
        <f t="shared" si="26"/>
        <v>9.5124475550546777</v>
      </c>
      <c r="AA64" s="41" t="str">
        <f t="shared" si="12"/>
        <v>9</v>
      </c>
      <c r="AB64" s="24">
        <f t="shared" si="27"/>
        <v>6.1493706606561318</v>
      </c>
      <c r="AC64" s="41" t="str">
        <f t="shared" si="13"/>
        <v>6</v>
      </c>
      <c r="AD64" s="24">
        <f t="shared" si="28"/>
        <v>1.7924479278735816</v>
      </c>
      <c r="AE64" s="41" t="str">
        <f t="shared" si="14"/>
        <v>1</v>
      </c>
      <c r="AF64" s="24">
        <f t="shared" si="29"/>
        <v>9.5093751344829798</v>
      </c>
      <c r="AG64" s="41" t="str">
        <f t="shared" si="15"/>
        <v>X</v>
      </c>
      <c r="AH64" s="24">
        <f t="shared" si="30"/>
        <v>6.1125016137957573</v>
      </c>
      <c r="AI64" s="41" t="str">
        <f t="shared" si="16"/>
        <v/>
      </c>
      <c r="AJ64" s="24">
        <f t="shared" si="31"/>
        <v>1.3500193655490875</v>
      </c>
      <c r="AK64" s="41" t="str">
        <f t="shared" si="17"/>
        <v/>
      </c>
    </row>
    <row r="65" spans="1:37" ht="15" customHeight="1" x14ac:dyDescent="0.2">
      <c r="A65" s="581"/>
      <c r="B65" s="3" t="str">
        <f>Rydberg!B66</f>
        <v>Meridian length of the Earth / 4</v>
      </c>
      <c r="C65" s="3" t="str">
        <f>Rydberg!C66</f>
        <v>m</v>
      </c>
      <c r="D65" s="21">
        <f>Rydberg!D66</f>
        <v>10001965.75</v>
      </c>
      <c r="E65" s="8">
        <v>7</v>
      </c>
      <c r="F65" s="21">
        <f>D65/F$3</f>
        <v>1.579081095248769E+16</v>
      </c>
      <c r="G65" s="37" t="str">
        <f t="shared" si="18"/>
        <v>1;037064E</v>
      </c>
      <c r="H65" s="275"/>
      <c r="I65" s="278"/>
      <c r="J65" s="38">
        <f t="shared" si="32"/>
        <v>15</v>
      </c>
      <c r="K65" s="61">
        <f t="shared" si="33"/>
        <v>1.0249100305366208</v>
      </c>
      <c r="L65" s="39" t="str">
        <f>INDEX(powers!$H$2:$H$75,33+J65)</f>
        <v>unino di-cosmic</v>
      </c>
      <c r="M65" s="40" t="str">
        <f t="shared" si="5"/>
        <v>1</v>
      </c>
      <c r="N65" s="24">
        <f t="shared" si="20"/>
        <v>0.2989203664394493</v>
      </c>
      <c r="O65" s="41" t="str">
        <f t="shared" si="6"/>
        <v>0</v>
      </c>
      <c r="P65" s="24">
        <f t="shared" si="21"/>
        <v>3.5870443972733916</v>
      </c>
      <c r="Q65" s="41" t="str">
        <f t="shared" si="7"/>
        <v>3</v>
      </c>
      <c r="R65" s="24">
        <f t="shared" si="22"/>
        <v>7.0445327672806997</v>
      </c>
      <c r="S65" s="41" t="str">
        <f t="shared" si="8"/>
        <v>7</v>
      </c>
      <c r="T65" s="24">
        <f t="shared" si="23"/>
        <v>0.53439320736839591</v>
      </c>
      <c r="U65" s="41" t="str">
        <f t="shared" si="9"/>
        <v>0</v>
      </c>
      <c r="V65" s="24">
        <f t="shared" si="24"/>
        <v>6.4127184884207509</v>
      </c>
      <c r="W65" s="41" t="str">
        <f t="shared" si="10"/>
        <v>6</v>
      </c>
      <c r="X65" s="24">
        <f t="shared" si="25"/>
        <v>4.9526218610490105</v>
      </c>
      <c r="Y65" s="41" t="str">
        <f t="shared" si="11"/>
        <v>4</v>
      </c>
      <c r="Z65" s="24">
        <f t="shared" si="26"/>
        <v>11.431462332588126</v>
      </c>
      <c r="AA65" s="41" t="str">
        <f t="shared" si="12"/>
        <v>E</v>
      </c>
      <c r="AB65" s="24">
        <f t="shared" si="27"/>
        <v>5.1775479910575086</v>
      </c>
      <c r="AC65" s="41" t="str">
        <f t="shared" si="13"/>
        <v/>
      </c>
      <c r="AD65" s="24">
        <f t="shared" si="28"/>
        <v>2.1305758926901035</v>
      </c>
      <c r="AE65" s="41" t="str">
        <f t="shared" si="14"/>
        <v/>
      </c>
      <c r="AF65" s="24">
        <f t="shared" si="29"/>
        <v>1.566910712281242</v>
      </c>
      <c r="AG65" s="41" t="str">
        <f t="shared" si="15"/>
        <v/>
      </c>
      <c r="AH65" s="24">
        <f t="shared" si="30"/>
        <v>6.8029285473749042</v>
      </c>
      <c r="AI65" s="41" t="str">
        <f t="shared" si="16"/>
        <v/>
      </c>
      <c r="AJ65" s="24">
        <f t="shared" si="31"/>
        <v>9.6351425684988499</v>
      </c>
      <c r="AK65" s="41" t="str">
        <f t="shared" si="17"/>
        <v/>
      </c>
    </row>
    <row r="66" spans="1:37" ht="15" customHeight="1" x14ac:dyDescent="0.2">
      <c r="A66" s="581"/>
      <c r="B66" s="3" t="str">
        <f>Rydberg!B67</f>
        <v>Gravitational radius of the Sun</v>
      </c>
      <c r="C66" s="3" t="str">
        <f>Rydberg!C67</f>
        <v>m</v>
      </c>
      <c r="D66" s="21">
        <f>Rydberg!D67</f>
        <v>1476.6250385063113</v>
      </c>
      <c r="E66" s="8">
        <v>8</v>
      </c>
      <c r="F66" s="21">
        <f>D66/F$3</f>
        <v>2331252417132.4038</v>
      </c>
      <c r="G66" s="37" t="str">
        <f t="shared" si="18"/>
        <v>3;1798E874</v>
      </c>
      <c r="H66" s="275"/>
      <c r="I66" s="278"/>
      <c r="J66" s="38">
        <f t="shared" si="32"/>
        <v>11</v>
      </c>
      <c r="K66" s="61">
        <f t="shared" si="33"/>
        <v>3.1375856707694219</v>
      </c>
      <c r="L66" s="39" t="str">
        <f>INDEX(powers!$H$2:$H$75,33+J66)</f>
        <v>doz gross cosmic</v>
      </c>
      <c r="M66" s="40" t="str">
        <f t="shared" si="5"/>
        <v>3</v>
      </c>
      <c r="N66" s="24">
        <f t="shared" si="20"/>
        <v>1.6510280492330622</v>
      </c>
      <c r="O66" s="41" t="str">
        <f t="shared" si="6"/>
        <v>1</v>
      </c>
      <c r="P66" s="24">
        <f t="shared" si="21"/>
        <v>7.8123365907967468</v>
      </c>
      <c r="Q66" s="41" t="str">
        <f t="shared" si="7"/>
        <v>7</v>
      </c>
      <c r="R66" s="24">
        <f t="shared" si="22"/>
        <v>9.7480390895609617</v>
      </c>
      <c r="S66" s="41" t="str">
        <f t="shared" si="8"/>
        <v>9</v>
      </c>
      <c r="T66" s="24">
        <f t="shared" si="23"/>
        <v>8.9764690747315399</v>
      </c>
      <c r="U66" s="41" t="str">
        <f t="shared" si="9"/>
        <v>8</v>
      </c>
      <c r="V66" s="24">
        <f t="shared" si="24"/>
        <v>11.717628896778479</v>
      </c>
      <c r="W66" s="41" t="str">
        <f t="shared" si="10"/>
        <v>E</v>
      </c>
      <c r="X66" s="24">
        <f t="shared" si="25"/>
        <v>8.6115467613417422</v>
      </c>
      <c r="Y66" s="41" t="str">
        <f t="shared" si="11"/>
        <v>8</v>
      </c>
      <c r="Z66" s="24">
        <f t="shared" si="26"/>
        <v>7.3385611361009069</v>
      </c>
      <c r="AA66" s="41" t="str">
        <f t="shared" si="12"/>
        <v>7</v>
      </c>
      <c r="AB66" s="24">
        <f t="shared" si="27"/>
        <v>4.0627336332108825</v>
      </c>
      <c r="AC66" s="41" t="str">
        <f t="shared" si="13"/>
        <v>4</v>
      </c>
      <c r="AD66" s="24">
        <f t="shared" si="28"/>
        <v>0.75280359853059053</v>
      </c>
      <c r="AE66" s="41" t="str">
        <f t="shared" si="14"/>
        <v/>
      </c>
      <c r="AF66" s="24">
        <f t="shared" si="29"/>
        <v>9.0336431823670864</v>
      </c>
      <c r="AG66" s="41" t="str">
        <f t="shared" si="15"/>
        <v/>
      </c>
      <c r="AH66" s="24">
        <f t="shared" si="30"/>
        <v>0.40371818840503693</v>
      </c>
      <c r="AI66" s="41" t="str">
        <f t="shared" si="16"/>
        <v/>
      </c>
      <c r="AJ66" s="24">
        <f t="shared" si="31"/>
        <v>4.8446182608604431</v>
      </c>
      <c r="AK66" s="41" t="str">
        <f t="shared" si="17"/>
        <v/>
      </c>
    </row>
    <row r="67" spans="1:37" ht="15" customHeight="1" x14ac:dyDescent="0.2">
      <c r="A67" s="581"/>
      <c r="B67" s="5" t="str">
        <f>Rydberg!B68</f>
        <v>Astronomical unit</v>
      </c>
      <c r="C67" s="5" t="str">
        <f>Rydberg!C68</f>
        <v>m</v>
      </c>
      <c r="D67" s="21">
        <f>Rydberg!D68</f>
        <v>149597870000</v>
      </c>
      <c r="E67" s="30">
        <v>9</v>
      </c>
      <c r="F67" s="29">
        <f>D67/F$3</f>
        <v>2.3618074117728603E+20</v>
      </c>
      <c r="G67" s="37" t="str">
        <f t="shared" si="18"/>
        <v>8;X55509X31</v>
      </c>
      <c r="H67" s="275"/>
      <c r="I67" s="281"/>
      <c r="J67" s="43">
        <f t="shared" si="32"/>
        <v>18</v>
      </c>
      <c r="K67" s="62">
        <f t="shared" si="33"/>
        <v>8.871193501035302</v>
      </c>
      <c r="L67" s="39" t="str">
        <f>INDEX(powers!$H$2:$H$75,33+J67)</f>
        <v>gross di-cosmic</v>
      </c>
      <c r="M67" s="40" t="str">
        <f t="shared" si="5"/>
        <v>8</v>
      </c>
      <c r="N67" s="24">
        <f t="shared" si="20"/>
        <v>10.454322012423624</v>
      </c>
      <c r="O67" s="41" t="str">
        <f t="shared" si="6"/>
        <v>X</v>
      </c>
      <c r="P67" s="24">
        <f t="shared" si="21"/>
        <v>5.4518641490834909</v>
      </c>
      <c r="Q67" s="41" t="str">
        <f t="shared" si="7"/>
        <v>5</v>
      </c>
      <c r="R67" s="24">
        <f t="shared" si="22"/>
        <v>5.4223697890018911</v>
      </c>
      <c r="S67" s="41" t="str">
        <f t="shared" si="8"/>
        <v>5</v>
      </c>
      <c r="T67" s="24">
        <f t="shared" si="23"/>
        <v>5.0684374680226938</v>
      </c>
      <c r="U67" s="41" t="str">
        <f t="shared" si="9"/>
        <v>5</v>
      </c>
      <c r="V67" s="24">
        <f t="shared" si="24"/>
        <v>0.82124961627232551</v>
      </c>
      <c r="W67" s="41" t="str">
        <f t="shared" si="10"/>
        <v>0</v>
      </c>
      <c r="X67" s="24">
        <f t="shared" si="25"/>
        <v>9.8549953952679061</v>
      </c>
      <c r="Y67" s="41" t="str">
        <f t="shared" si="11"/>
        <v>9</v>
      </c>
      <c r="Z67" s="24">
        <f t="shared" si="26"/>
        <v>10.259944743214874</v>
      </c>
      <c r="AA67" s="41" t="str">
        <f t="shared" si="12"/>
        <v>X</v>
      </c>
      <c r="AB67" s="24">
        <f t="shared" si="27"/>
        <v>3.1193369185784832</v>
      </c>
      <c r="AC67" s="41" t="str">
        <f t="shared" si="13"/>
        <v>3</v>
      </c>
      <c r="AD67" s="24">
        <f t="shared" si="28"/>
        <v>1.432043022941798</v>
      </c>
      <c r="AE67" s="41" t="str">
        <f t="shared" si="14"/>
        <v>1</v>
      </c>
      <c r="AF67" s="24">
        <f t="shared" si="29"/>
        <v>5.1845162753015757</v>
      </c>
      <c r="AG67" s="41" t="str">
        <f t="shared" si="15"/>
        <v/>
      </c>
      <c r="AH67" s="24">
        <f t="shared" si="30"/>
        <v>2.2141953036189079</v>
      </c>
      <c r="AI67" s="41" t="str">
        <f t="shared" si="16"/>
        <v/>
      </c>
      <c r="AJ67" s="24">
        <f t="shared" si="31"/>
        <v>2.5703436434268951</v>
      </c>
      <c r="AK67" s="41" t="str">
        <f t="shared" si="17"/>
        <v/>
      </c>
    </row>
    <row r="68" spans="1:37" ht="15" customHeight="1" x14ac:dyDescent="0.2">
      <c r="A68" s="581"/>
      <c r="B68" s="5" t="str">
        <f>Rydberg!B69</f>
        <v>Astronomical unit / c0</v>
      </c>
      <c r="C68" s="5" t="str">
        <f>Rydberg!C69</f>
        <v>s</v>
      </c>
      <c r="D68" s="29">
        <f>Rydberg!D69</f>
        <v>499.00478150120773</v>
      </c>
      <c r="E68" s="30">
        <v>9</v>
      </c>
      <c r="F68" s="29">
        <f>D68/F$4</f>
        <v>2.3618074117728603E+20</v>
      </c>
      <c r="G68" s="37" t="str">
        <f t="shared" si="18"/>
        <v>8;X55509X31</v>
      </c>
      <c r="H68" s="275"/>
      <c r="I68" s="281"/>
      <c r="J68" s="43">
        <f t="shared" si="32"/>
        <v>18</v>
      </c>
      <c r="K68" s="62">
        <f t="shared" si="33"/>
        <v>8.871193501035302</v>
      </c>
      <c r="L68" s="39" t="str">
        <f>INDEX(powers!$H$2:$H$75,33+J68)</f>
        <v>gross di-cosmic</v>
      </c>
      <c r="M68" s="40" t="str">
        <f t="shared" si="5"/>
        <v>8</v>
      </c>
      <c r="N68" s="24">
        <f t="shared" si="20"/>
        <v>10.454322012423624</v>
      </c>
      <c r="O68" s="41" t="str">
        <f t="shared" si="6"/>
        <v>X</v>
      </c>
      <c r="P68" s="24">
        <f t="shared" si="21"/>
        <v>5.4518641490834909</v>
      </c>
      <c r="Q68" s="41" t="str">
        <f t="shared" si="7"/>
        <v>5</v>
      </c>
      <c r="R68" s="24">
        <f t="shared" si="22"/>
        <v>5.4223697890018911</v>
      </c>
      <c r="S68" s="41" t="str">
        <f t="shared" si="8"/>
        <v>5</v>
      </c>
      <c r="T68" s="24">
        <f t="shared" si="23"/>
        <v>5.0684374680226938</v>
      </c>
      <c r="U68" s="41" t="str">
        <f t="shared" si="9"/>
        <v>5</v>
      </c>
      <c r="V68" s="24">
        <f t="shared" si="24"/>
        <v>0.82124961627232551</v>
      </c>
      <c r="W68" s="41" t="str">
        <f t="shared" si="10"/>
        <v>0</v>
      </c>
      <c r="X68" s="24">
        <f t="shared" si="25"/>
        <v>9.8549953952679061</v>
      </c>
      <c r="Y68" s="41" t="str">
        <f t="shared" si="11"/>
        <v>9</v>
      </c>
      <c r="Z68" s="24">
        <f t="shared" si="26"/>
        <v>10.259944743214874</v>
      </c>
      <c r="AA68" s="41" t="str">
        <f t="shared" si="12"/>
        <v>X</v>
      </c>
      <c r="AB68" s="24">
        <f t="shared" si="27"/>
        <v>3.1193369185784832</v>
      </c>
      <c r="AC68" s="41" t="str">
        <f t="shared" si="13"/>
        <v>3</v>
      </c>
      <c r="AD68" s="24">
        <f t="shared" si="28"/>
        <v>1.432043022941798</v>
      </c>
      <c r="AE68" s="41" t="str">
        <f t="shared" si="14"/>
        <v>1</v>
      </c>
      <c r="AF68" s="24">
        <f t="shared" si="29"/>
        <v>5.1845162753015757</v>
      </c>
      <c r="AG68" s="41" t="str">
        <f t="shared" si="15"/>
        <v/>
      </c>
      <c r="AH68" s="24">
        <f t="shared" si="30"/>
        <v>2.2141953036189079</v>
      </c>
      <c r="AI68" s="41" t="str">
        <f t="shared" si="16"/>
        <v/>
      </c>
      <c r="AJ68" s="24">
        <f t="shared" si="31"/>
        <v>2.5703436434268951</v>
      </c>
      <c r="AK68" s="41" t="str">
        <f t="shared" si="17"/>
        <v/>
      </c>
    </row>
    <row r="69" spans="1:37" ht="15" customHeight="1" thickBot="1" x14ac:dyDescent="0.25">
      <c r="A69" s="582"/>
      <c r="B69" s="5" t="s">
        <v>117</v>
      </c>
      <c r="C69" s="5" t="str">
        <f>Rydberg!C70</f>
        <v>-</v>
      </c>
      <c r="D69" s="29">
        <f>Rydberg!D70</f>
        <v>9.9800956300241541</v>
      </c>
      <c r="E69" s="30">
        <v>9</v>
      </c>
      <c r="F69" s="29">
        <f>D69</f>
        <v>9.9800956300241541</v>
      </c>
      <c r="G69" s="81" t="str">
        <f t="shared" si="18"/>
        <v>9;E91731X53</v>
      </c>
      <c r="H69" s="275"/>
      <c r="I69" s="281"/>
      <c r="J69" s="43">
        <f t="shared" si="32"/>
        <v>0</v>
      </c>
      <c r="K69" s="62">
        <f t="shared" si="33"/>
        <v>9.9800956300241541</v>
      </c>
      <c r="L69" s="44" t="str">
        <f>INDEX(powers!$H$2:$H$75,33+J69)</f>
        <v xml:space="preserve"> </v>
      </c>
      <c r="M69" s="40" t="str">
        <f t="shared" si="5"/>
        <v>9</v>
      </c>
      <c r="N69" s="24">
        <f t="shared" si="20"/>
        <v>11.761147560289849</v>
      </c>
      <c r="O69" s="41" t="str">
        <f t="shared" si="6"/>
        <v>E</v>
      </c>
      <c r="P69" s="24">
        <f t="shared" si="21"/>
        <v>9.1337707234781931</v>
      </c>
      <c r="Q69" s="41" t="str">
        <f t="shared" si="7"/>
        <v>9</v>
      </c>
      <c r="R69" s="24">
        <f t="shared" si="22"/>
        <v>1.6052486817383169</v>
      </c>
      <c r="S69" s="41" t="str">
        <f t="shared" si="8"/>
        <v>1</v>
      </c>
      <c r="T69" s="24">
        <f t="shared" si="23"/>
        <v>7.262984180859803</v>
      </c>
      <c r="U69" s="41" t="str">
        <f t="shared" si="9"/>
        <v>7</v>
      </c>
      <c r="V69" s="24">
        <f t="shared" si="24"/>
        <v>3.1558101703176362</v>
      </c>
      <c r="W69" s="41" t="str">
        <f t="shared" si="10"/>
        <v>3</v>
      </c>
      <c r="X69" s="24">
        <f t="shared" si="25"/>
        <v>1.8697220438116346</v>
      </c>
      <c r="Y69" s="41" t="str">
        <f t="shared" si="11"/>
        <v>1</v>
      </c>
      <c r="Z69" s="24">
        <f t="shared" si="26"/>
        <v>10.436664525739616</v>
      </c>
      <c r="AA69" s="41" t="str">
        <f t="shared" si="12"/>
        <v>X</v>
      </c>
      <c r="AB69" s="24">
        <f t="shared" si="27"/>
        <v>5.2399743088753894</v>
      </c>
      <c r="AC69" s="41" t="str">
        <f t="shared" si="13"/>
        <v>5</v>
      </c>
      <c r="AD69" s="24">
        <f t="shared" si="28"/>
        <v>2.8796917065046728</v>
      </c>
      <c r="AE69" s="41" t="str">
        <f t="shared" si="14"/>
        <v>3</v>
      </c>
      <c r="AF69" s="24">
        <f t="shared" si="29"/>
        <v>10.556300478056073</v>
      </c>
      <c r="AG69" s="41" t="str">
        <f t="shared" si="15"/>
        <v/>
      </c>
      <c r="AH69" s="24">
        <f t="shared" si="30"/>
        <v>6.6756057366728783</v>
      </c>
      <c r="AI69" s="41" t="str">
        <f t="shared" si="16"/>
        <v/>
      </c>
      <c r="AJ69" s="24">
        <f t="shared" si="31"/>
        <v>8.1072688400745392</v>
      </c>
      <c r="AK69" s="41" t="str">
        <f t="shared" si="17"/>
        <v/>
      </c>
    </row>
    <row r="70" spans="1:37" ht="12" customHeight="1" x14ac:dyDescent="0.2">
      <c r="A70" s="577" t="s">
        <v>49</v>
      </c>
      <c r="B70" s="17" t="s">
        <v>42</v>
      </c>
      <c r="C70" s="17"/>
      <c r="D70" s="17"/>
      <c r="E70" s="18" t="s">
        <v>54</v>
      </c>
      <c r="F70" s="17" t="s">
        <v>43</v>
      </c>
      <c r="G70" s="17" t="s">
        <v>92</v>
      </c>
      <c r="H70" s="17"/>
      <c r="I70" s="277"/>
      <c r="J70" s="18" t="s">
        <v>44</v>
      </c>
      <c r="K70" s="56" t="s">
        <v>46</v>
      </c>
      <c r="L70" s="20" t="str">
        <f>Rydberg!L71</f>
        <v>Power</v>
      </c>
    </row>
    <row r="71" spans="1:37" ht="11.25" customHeight="1" x14ac:dyDescent="0.2">
      <c r="A71" s="578"/>
      <c r="B71" s="8" t="s">
        <v>40</v>
      </c>
      <c r="C71" s="8"/>
      <c r="D71" s="21"/>
      <c r="E71" s="8">
        <v>9</v>
      </c>
      <c r="F71" s="21">
        <f>$D$32</f>
        <v>7.2973525643E-3</v>
      </c>
      <c r="G71" s="37" t="str">
        <f t="shared" ref="G71:G72" si="35">M71&amp;";"&amp;O71&amp;Q71&amp;S71&amp;U71&amp;W71&amp;Y71&amp;AA71&amp;AC71&amp;AE71&amp;AG71&amp;AI71&amp;AK71</f>
        <v>1;073994047</v>
      </c>
      <c r="H71" s="37"/>
      <c r="I71" s="285"/>
      <c r="J71" s="38">
        <v>-2</v>
      </c>
      <c r="K71" s="61">
        <f t="shared" ref="K71:K87" si="36">F71/POWER(12,J71)</f>
        <v>1.0508187692592001</v>
      </c>
      <c r="L71" s="39" t="str">
        <f>INDEX(powers!$H$2:$H$75,33+J71)</f>
        <v>dino</v>
      </c>
      <c r="M71" s="40" t="str">
        <f t="shared" ref="M71:M87" si="37">IF($E71&gt;=M$31,MID($J$31,IF($E71&gt;M$31,INT(K71),ROUND(K71,0))+1,1),"")</f>
        <v>1</v>
      </c>
      <c r="N71" s="24">
        <f>(K71-INT(K71))*12</f>
        <v>0.60982523111040177</v>
      </c>
      <c r="O71" s="41" t="str">
        <f t="shared" ref="O71:O87" si="38">IF($E71&gt;=O$31,MID($J$31,IF($E71&gt;O$31,INT(N71),ROUND(N71,0))+1,1),"")</f>
        <v>0</v>
      </c>
      <c r="P71" s="24">
        <f>(N71-INT(N71))*12</f>
        <v>7.3179027733248212</v>
      </c>
      <c r="Q71" s="41" t="str">
        <f t="shared" ref="Q71:Q87" si="39">IF($E71&gt;=Q$31,MID($J$31,IF($E71&gt;Q$31,INT(P71),ROUND(P71,0))+1,1),"")</f>
        <v>7</v>
      </c>
      <c r="R71" s="24">
        <f>(P71-INT(P71))*12</f>
        <v>3.8148332798978544</v>
      </c>
      <c r="S71" s="41" t="str">
        <f t="shared" ref="S71:S87" si="40">IF($E71&gt;=S$31,MID($J$31,IF($E71&gt;S$31,INT(R71),ROUND(R71,0))+1,1),"")</f>
        <v>3</v>
      </c>
      <c r="T71" s="24">
        <f>(R71-INT(R71))*12</f>
        <v>9.7779993587742524</v>
      </c>
      <c r="U71" s="41" t="str">
        <f t="shared" ref="U71:U87" si="41">IF($E71&gt;=U$31,MID($J$31,IF($E71&gt;U$31,INT(T71),ROUND(T71,0))+1,1),"")</f>
        <v>9</v>
      </c>
      <c r="V71" s="24">
        <f>(T71-INT(T71))*12</f>
        <v>9.335992305291029</v>
      </c>
      <c r="W71" s="41" t="str">
        <f t="shared" ref="W71:W87" si="42">IF($E71&gt;=W$31,MID($J$31,IF($E71&gt;W$31,INT(V71),ROUND(V71,0))+1,1),"")</f>
        <v>9</v>
      </c>
      <c r="X71" s="24">
        <f>(V71-INT(V71))*12</f>
        <v>4.0319076634923476</v>
      </c>
      <c r="Y71" s="41" t="str">
        <f t="shared" ref="Y71:Y87" si="43">IF($E71&gt;=Y$31,MID($J$31,IF($E71&gt;Y$31,INT(X71),ROUND(X71,0))+1,1),"")</f>
        <v>4</v>
      </c>
      <c r="Z71" s="24">
        <f>(X71-INT(X71))*12</f>
        <v>0.38289196190817165</v>
      </c>
      <c r="AA71" s="41" t="str">
        <f t="shared" ref="AA71:AA87" si="44">IF($E71&gt;=AA$31,MID($J$31,IF($E71&gt;AA$31,INT(Z71),ROUND(Z71,0))+1,1),"")</f>
        <v>0</v>
      </c>
      <c r="AB71" s="24">
        <f>(Z71-INT(Z71))*12</f>
        <v>4.5947035428980598</v>
      </c>
      <c r="AC71" s="41" t="str">
        <f t="shared" ref="AC71:AC87" si="45">IF($E71&gt;=AC$31,MID($J$31,IF($E71&gt;AC$31,INT(AB71),ROUND(AB71,0))+1,1),"")</f>
        <v>4</v>
      </c>
      <c r="AD71" s="24">
        <f>(AB71-INT(AB71))*12</f>
        <v>7.1364425147767179</v>
      </c>
      <c r="AE71" s="41" t="str">
        <f t="shared" ref="AE71:AE87" si="46">IF($E71&gt;=AE$31,MID($J$31,IF($E71&gt;AE$31,INT(AD71),ROUND(AD71,0))+1,1),"")</f>
        <v>7</v>
      </c>
      <c r="AF71" s="24">
        <f>(AD71-INT(AD71))*12</f>
        <v>1.6373101773206145</v>
      </c>
      <c r="AG71" s="41" t="str">
        <f t="shared" ref="AG71:AG87" si="47">IF($E71&gt;=AG$31,MID($J$31,IF($E71&gt;AG$31,INT(AF71),ROUND(AF71,0))+1,1),"")</f>
        <v/>
      </c>
      <c r="AH71" s="24">
        <f>(AF71-INT(AF71))*12</f>
        <v>7.6477221278473735</v>
      </c>
      <c r="AI71" s="41" t="str">
        <f t="shared" ref="AI71:AI87" si="48">IF($E71&gt;=AI$31,MID($J$31,IF($E71&gt;AI$31,INT(AH71),ROUND(AH71,0))+1,1),"")</f>
        <v/>
      </c>
      <c r="AJ71" s="24">
        <f>(AH71-INT(AH71))*12</f>
        <v>7.7726655341684818</v>
      </c>
      <c r="AK71" s="41" t="str">
        <f t="shared" ref="AK71:AK87" si="49">IF($E71&gt;=AK$31,MID($J$31,IF($E71&gt;AK$31,INT(AJ71),ROUND(AJ71,0))+1,1),"")</f>
        <v/>
      </c>
    </row>
    <row r="72" spans="1:37" ht="13.5" customHeight="1" x14ac:dyDescent="0.2">
      <c r="A72" s="578"/>
      <c r="B72" s="30" t="s">
        <v>34</v>
      </c>
      <c r="C72" s="30"/>
      <c r="D72" s="29"/>
      <c r="E72" s="8">
        <v>9</v>
      </c>
      <c r="F72" s="21">
        <f>1/$D$32</f>
        <v>137.03599917759013</v>
      </c>
      <c r="G72" s="37" t="str">
        <f t="shared" si="35"/>
        <v>0;E5052258</v>
      </c>
      <c r="H72" s="37"/>
      <c r="I72" s="285"/>
      <c r="J72" s="38">
        <v>2</v>
      </c>
      <c r="K72" s="61">
        <f t="shared" si="36"/>
        <v>0.95163888317770917</v>
      </c>
      <c r="L72" s="39" t="str">
        <f>INDEX(powers!$H$2:$H$75,33+J72)</f>
        <v>gross</v>
      </c>
      <c r="M72" s="40" t="str">
        <f t="shared" si="37"/>
        <v>0</v>
      </c>
      <c r="N72" s="24">
        <f t="shared" ref="N72:N87" si="50">(K72-INT(K72))*12</f>
        <v>11.41966659813251</v>
      </c>
      <c r="O72" s="41" t="str">
        <f t="shared" si="38"/>
        <v>E</v>
      </c>
      <c r="P72" s="24">
        <f t="shared" ref="P72:P87" si="51">(N72-INT(N72))*12</f>
        <v>5.0359991775901207</v>
      </c>
      <c r="Q72" s="41" t="str">
        <f t="shared" si="39"/>
        <v>5</v>
      </c>
      <c r="R72" s="24">
        <f t="shared" ref="R72:R87" si="52">(P72-INT(P72))*12</f>
        <v>0.43199013108144868</v>
      </c>
      <c r="S72" s="41" t="str">
        <f t="shared" si="40"/>
        <v>0</v>
      </c>
      <c r="T72" s="24">
        <f t="shared" ref="T72:T87" si="53">(R72-INT(R72))*12</f>
        <v>5.1838815729773842</v>
      </c>
      <c r="U72" s="41" t="str">
        <f t="shared" si="41"/>
        <v>5</v>
      </c>
      <c r="V72" s="24">
        <f t="shared" ref="V72:V87" si="54">(T72-INT(T72))*12</f>
        <v>2.20657887572861</v>
      </c>
      <c r="W72" s="41" t="str">
        <f t="shared" si="42"/>
        <v>2</v>
      </c>
      <c r="X72" s="24">
        <f t="shared" ref="X72:X87" si="55">(V72-INT(V72))*12</f>
        <v>2.47894650874332</v>
      </c>
      <c r="Y72" s="41" t="str">
        <f t="shared" si="43"/>
        <v>2</v>
      </c>
      <c r="Z72" s="24">
        <f t="shared" ref="Z72:Z87" si="56">(X72-INT(X72))*12</f>
        <v>5.7473581049198401</v>
      </c>
      <c r="AA72" s="41" t="str">
        <f t="shared" si="44"/>
        <v>5</v>
      </c>
      <c r="AB72" s="24">
        <f t="shared" ref="AB72:AB87" si="57">(Z72-INT(Z72))*12</f>
        <v>8.9682972590380814</v>
      </c>
      <c r="AC72" s="41" t="str">
        <f t="shared" si="45"/>
        <v>8</v>
      </c>
      <c r="AD72" s="24">
        <f t="shared" ref="AD72:AD87" si="58">(AB72-INT(AB72))*12</f>
        <v>11.619567108456977</v>
      </c>
      <c r="AE72" s="41" t="str">
        <f t="shared" si="46"/>
        <v/>
      </c>
      <c r="AF72" s="24">
        <f t="shared" ref="AF72:AF87" si="59">(AD72-INT(AD72))*12</f>
        <v>7.4348053014837205</v>
      </c>
      <c r="AG72" s="41" t="str">
        <f t="shared" si="47"/>
        <v/>
      </c>
      <c r="AH72" s="24">
        <f t="shared" ref="AH72:AH87" si="60">(AF72-INT(AF72))*12</f>
        <v>5.2176636178046465</v>
      </c>
      <c r="AI72" s="41" t="str">
        <f t="shared" si="48"/>
        <v/>
      </c>
      <c r="AJ72" s="24">
        <f t="shared" ref="AJ72:AJ87" si="61">(AH72-INT(AH72))*12</f>
        <v>2.6119634136557579</v>
      </c>
      <c r="AK72" s="41" t="str">
        <f t="shared" si="49"/>
        <v/>
      </c>
    </row>
    <row r="73" spans="1:37" ht="13.5" customHeight="1" x14ac:dyDescent="0.2">
      <c r="A73" s="578"/>
      <c r="B73" s="45"/>
      <c r="C73" s="45"/>
      <c r="D73" s="46"/>
      <c r="E73" s="8">
        <v>9</v>
      </c>
      <c r="F73" s="21">
        <f>1/$D$32</f>
        <v>137.03599917759013</v>
      </c>
      <c r="G73" s="37" t="str">
        <f>"B5;"&amp;O73&amp;Q73&amp;S73&amp;U73&amp;W73&amp;Y73&amp;AA73&amp;AC73&amp;AE73&amp;AG73&amp;AI73&amp;AK73</f>
        <v>B5;052258E75</v>
      </c>
      <c r="H73" s="37"/>
      <c r="I73" s="285"/>
      <c r="J73" s="38">
        <v>0</v>
      </c>
      <c r="K73" s="61">
        <f t="shared" si="36"/>
        <v>137.03599917759013</v>
      </c>
      <c r="L73" s="39" t="str">
        <f>INDEX(powers!$H$2:$H$75,33+J73)</f>
        <v xml:space="preserve"> </v>
      </c>
      <c r="M73" s="40" t="str">
        <f t="shared" si="37"/>
        <v/>
      </c>
      <c r="N73" s="24">
        <f t="shared" si="50"/>
        <v>0.43199013108153395</v>
      </c>
      <c r="O73" s="41" t="str">
        <f t="shared" si="38"/>
        <v>0</v>
      </c>
      <c r="P73" s="24">
        <f t="shared" si="51"/>
        <v>5.1838815729784073</v>
      </c>
      <c r="Q73" s="41" t="str">
        <f t="shared" si="39"/>
        <v>5</v>
      </c>
      <c r="R73" s="24">
        <f t="shared" si="52"/>
        <v>2.2065788757408882</v>
      </c>
      <c r="S73" s="41" t="str">
        <f t="shared" si="40"/>
        <v>2</v>
      </c>
      <c r="T73" s="24">
        <f t="shared" si="53"/>
        <v>2.4789465088906582</v>
      </c>
      <c r="U73" s="41" t="str">
        <f t="shared" si="41"/>
        <v>2</v>
      </c>
      <c r="V73" s="24">
        <f t="shared" si="54"/>
        <v>5.7473581066878978</v>
      </c>
      <c r="W73" s="41" t="str">
        <f t="shared" si="42"/>
        <v>5</v>
      </c>
      <c r="X73" s="24">
        <f t="shared" si="55"/>
        <v>8.9682972802547738</v>
      </c>
      <c r="Y73" s="41" t="str">
        <f t="shared" si="43"/>
        <v>8</v>
      </c>
      <c r="Z73" s="24">
        <f t="shared" si="56"/>
        <v>11.619567363057286</v>
      </c>
      <c r="AA73" s="41" t="str">
        <f t="shared" si="44"/>
        <v>E</v>
      </c>
      <c r="AB73" s="24">
        <f t="shared" si="57"/>
        <v>7.4348083566874266</v>
      </c>
      <c r="AC73" s="41" t="str">
        <f t="shared" si="45"/>
        <v>7</v>
      </c>
      <c r="AD73" s="24">
        <f t="shared" si="58"/>
        <v>5.2177002802491188</v>
      </c>
      <c r="AE73" s="41" t="str">
        <f t="shared" si="46"/>
        <v>5</v>
      </c>
      <c r="AF73" s="24">
        <f t="shared" si="59"/>
        <v>2.6124033629894257</v>
      </c>
      <c r="AG73" s="41" t="str">
        <f t="shared" si="47"/>
        <v/>
      </c>
      <c r="AH73" s="24">
        <f t="shared" si="60"/>
        <v>7.3488403558731079</v>
      </c>
      <c r="AI73" s="41" t="str">
        <f t="shared" si="48"/>
        <v/>
      </c>
      <c r="AJ73" s="24">
        <f t="shared" si="61"/>
        <v>4.1860842704772949</v>
      </c>
      <c r="AK73" s="41" t="str">
        <f t="shared" si="49"/>
        <v/>
      </c>
    </row>
    <row r="74" spans="1:37" ht="13.5" customHeight="1" x14ac:dyDescent="0.2">
      <c r="A74" s="578"/>
      <c r="B74" s="8" t="s">
        <v>39</v>
      </c>
      <c r="C74" s="8"/>
      <c r="D74" s="21"/>
      <c r="E74" s="8">
        <v>9</v>
      </c>
      <c r="F74" s="21">
        <f t="shared" ref="F74" si="62">SQRT($D$32)</f>
        <v>8.5424543102670447E-2</v>
      </c>
      <c r="G74" s="37" t="str">
        <f t="shared" ref="G74:G77" si="63">M74&amp;";"&amp;O74&amp;Q74&amp;S74&amp;U74&amp;W74&amp;Y74&amp;AA74&amp;AC74&amp;AE74&amp;AG74&amp;AI74&amp;AK74</f>
        <v>1;0374439E1</v>
      </c>
      <c r="H74" s="37"/>
      <c r="I74" s="285"/>
      <c r="J74" s="38">
        <v>-1</v>
      </c>
      <c r="K74" s="61">
        <f t="shared" si="36"/>
        <v>1.0250945172320454</v>
      </c>
      <c r="L74" s="39" t="str">
        <f>INDEX(powers!$H$2:$H$75,33+J74)</f>
        <v>unino</v>
      </c>
      <c r="M74" s="40" t="str">
        <f t="shared" si="37"/>
        <v>1</v>
      </c>
      <c r="N74" s="24">
        <f t="shared" si="50"/>
        <v>0.30113420678454439</v>
      </c>
      <c r="O74" s="41" t="str">
        <f t="shared" si="38"/>
        <v>0</v>
      </c>
      <c r="P74" s="24">
        <f t="shared" si="51"/>
        <v>3.6136104814145327</v>
      </c>
      <c r="Q74" s="41" t="str">
        <f t="shared" si="39"/>
        <v>3</v>
      </c>
      <c r="R74" s="24">
        <f t="shared" si="52"/>
        <v>7.3633257769743921</v>
      </c>
      <c r="S74" s="41" t="str">
        <f t="shared" si="40"/>
        <v>7</v>
      </c>
      <c r="T74" s="24">
        <f t="shared" si="53"/>
        <v>4.3599093236927047</v>
      </c>
      <c r="U74" s="41" t="str">
        <f t="shared" si="41"/>
        <v>4</v>
      </c>
      <c r="V74" s="24">
        <f t="shared" si="54"/>
        <v>4.3189118843124561</v>
      </c>
      <c r="W74" s="41" t="str">
        <f t="shared" si="42"/>
        <v>4</v>
      </c>
      <c r="X74" s="24">
        <f t="shared" si="55"/>
        <v>3.8269426117494731</v>
      </c>
      <c r="Y74" s="41" t="str">
        <f t="shared" si="43"/>
        <v>3</v>
      </c>
      <c r="Z74" s="24">
        <f t="shared" si="56"/>
        <v>9.9233113409936777</v>
      </c>
      <c r="AA74" s="41" t="str">
        <f t="shared" si="44"/>
        <v>9</v>
      </c>
      <c r="AB74" s="24">
        <f t="shared" si="57"/>
        <v>11.079736091924133</v>
      </c>
      <c r="AC74" s="41" t="str">
        <f t="shared" si="45"/>
        <v>E</v>
      </c>
      <c r="AD74" s="24">
        <f t="shared" si="58"/>
        <v>0.95683310308959335</v>
      </c>
      <c r="AE74" s="41" t="str">
        <f t="shared" si="46"/>
        <v>1</v>
      </c>
      <c r="AF74" s="24">
        <f t="shared" si="59"/>
        <v>11.48199723707512</v>
      </c>
      <c r="AG74" s="41" t="str">
        <f t="shared" si="47"/>
        <v/>
      </c>
      <c r="AH74" s="24">
        <f t="shared" si="60"/>
        <v>5.7839668449014425</v>
      </c>
      <c r="AI74" s="41" t="str">
        <f t="shared" si="48"/>
        <v/>
      </c>
      <c r="AJ74" s="24">
        <f t="shared" si="61"/>
        <v>9.4076021388173103</v>
      </c>
      <c r="AK74" s="41" t="str">
        <f t="shared" si="49"/>
        <v/>
      </c>
    </row>
    <row r="75" spans="1:37" ht="13.5" customHeight="1" x14ac:dyDescent="0.2">
      <c r="A75" s="578"/>
      <c r="B75" s="8" t="s">
        <v>35</v>
      </c>
      <c r="C75" s="8"/>
      <c r="D75" s="21"/>
      <c r="E75" s="8">
        <v>9</v>
      </c>
      <c r="F75" s="21">
        <f>1/SQRT($D$32)</f>
        <v>11.706237618363557</v>
      </c>
      <c r="G75" s="37" t="str">
        <f t="shared" si="63"/>
        <v>0;E85846629</v>
      </c>
      <c r="H75" s="37"/>
      <c r="I75" s="285"/>
      <c r="J75" s="38">
        <v>1</v>
      </c>
      <c r="K75" s="61">
        <f t="shared" si="36"/>
        <v>0.97551980153029649</v>
      </c>
      <c r="L75" s="39" t="str">
        <f>INDEX(powers!$H$2:$H$75,33+J75)</f>
        <v>dozen</v>
      </c>
      <c r="M75" s="40" t="str">
        <f t="shared" si="37"/>
        <v>0</v>
      </c>
      <c r="N75" s="24">
        <f t="shared" si="50"/>
        <v>11.706237618363557</v>
      </c>
      <c r="O75" s="41" t="str">
        <f t="shared" si="38"/>
        <v>E</v>
      </c>
      <c r="P75" s="24">
        <f t="shared" si="51"/>
        <v>8.4748514203626897</v>
      </c>
      <c r="Q75" s="41" t="str">
        <f t="shared" si="39"/>
        <v>8</v>
      </c>
      <c r="R75" s="24">
        <f t="shared" si="52"/>
        <v>5.6982170443522762</v>
      </c>
      <c r="S75" s="41" t="str">
        <f t="shared" si="40"/>
        <v>5</v>
      </c>
      <c r="T75" s="24">
        <f t="shared" si="53"/>
        <v>8.3786045322273139</v>
      </c>
      <c r="U75" s="41" t="str">
        <f t="shared" si="41"/>
        <v>8</v>
      </c>
      <c r="V75" s="24">
        <f t="shared" si="54"/>
        <v>4.5432543867277673</v>
      </c>
      <c r="W75" s="41" t="str">
        <f t="shared" si="42"/>
        <v>4</v>
      </c>
      <c r="X75" s="24">
        <f t="shared" si="55"/>
        <v>6.5190526407332072</v>
      </c>
      <c r="Y75" s="41" t="str">
        <f t="shared" si="43"/>
        <v>6</v>
      </c>
      <c r="Z75" s="24">
        <f t="shared" si="56"/>
        <v>6.2286316887984867</v>
      </c>
      <c r="AA75" s="41" t="str">
        <f t="shared" si="44"/>
        <v>6</v>
      </c>
      <c r="AB75" s="24">
        <f t="shared" si="57"/>
        <v>2.7435802655818406</v>
      </c>
      <c r="AC75" s="41" t="str">
        <f t="shared" si="45"/>
        <v>2</v>
      </c>
      <c r="AD75" s="24">
        <f t="shared" si="58"/>
        <v>8.9229631869820878</v>
      </c>
      <c r="AE75" s="41" t="str">
        <f t="shared" si="46"/>
        <v>9</v>
      </c>
      <c r="AF75" s="24">
        <f t="shared" si="59"/>
        <v>11.075558243785053</v>
      </c>
      <c r="AG75" s="41" t="str">
        <f t="shared" si="47"/>
        <v/>
      </c>
      <c r="AH75" s="24">
        <f t="shared" si="60"/>
        <v>0.9066989254206419</v>
      </c>
      <c r="AI75" s="41" t="str">
        <f t="shared" si="48"/>
        <v/>
      </c>
      <c r="AJ75" s="24">
        <f t="shared" si="61"/>
        <v>10.880387105047703</v>
      </c>
      <c r="AK75" s="41" t="str">
        <f t="shared" si="49"/>
        <v/>
      </c>
    </row>
    <row r="76" spans="1:37" ht="13.5" customHeight="1" x14ac:dyDescent="0.2">
      <c r="A76" s="578"/>
      <c r="B76" s="8" t="s">
        <v>36</v>
      </c>
      <c r="C76" s="8"/>
      <c r="D76" s="21"/>
      <c r="E76" s="8">
        <v>12</v>
      </c>
      <c r="F76" s="21">
        <f>4*PI()</f>
        <v>12.566370614359172</v>
      </c>
      <c r="G76" s="37" t="str">
        <f t="shared" si="63"/>
        <v>1;0696831713E1</v>
      </c>
      <c r="H76" s="37"/>
      <c r="I76" s="285"/>
      <c r="J76" s="38">
        <v>1</v>
      </c>
      <c r="K76" s="61">
        <f t="shared" si="36"/>
        <v>1.0471975511965976</v>
      </c>
      <c r="L76" s="39" t="str">
        <f>INDEX(powers!$H$2:$H$75,33+J76)</f>
        <v>dozen</v>
      </c>
      <c r="M76" s="40" t="str">
        <f t="shared" si="37"/>
        <v>1</v>
      </c>
      <c r="N76" s="24">
        <f t="shared" si="50"/>
        <v>0.56637061435917158</v>
      </c>
      <c r="O76" s="41" t="str">
        <f t="shared" si="38"/>
        <v>0</v>
      </c>
      <c r="P76" s="24">
        <f t="shared" si="51"/>
        <v>6.7964473723100589</v>
      </c>
      <c r="Q76" s="41" t="str">
        <f t="shared" si="39"/>
        <v>6</v>
      </c>
      <c r="R76" s="24">
        <f t="shared" si="52"/>
        <v>9.5573684677207069</v>
      </c>
      <c r="S76" s="41" t="str">
        <f t="shared" si="40"/>
        <v>9</v>
      </c>
      <c r="T76" s="24">
        <f t="shared" si="53"/>
        <v>6.688421612648483</v>
      </c>
      <c r="U76" s="41" t="str">
        <f t="shared" si="41"/>
        <v>6</v>
      </c>
      <c r="V76" s="24">
        <f t="shared" si="54"/>
        <v>8.2610593517817961</v>
      </c>
      <c r="W76" s="41" t="str">
        <f t="shared" si="42"/>
        <v>8</v>
      </c>
      <c r="X76" s="24">
        <f t="shared" si="55"/>
        <v>3.1327122213815528</v>
      </c>
      <c r="Y76" s="41" t="str">
        <f t="shared" si="43"/>
        <v>3</v>
      </c>
      <c r="Z76" s="24">
        <f t="shared" si="56"/>
        <v>1.5925466565786337</v>
      </c>
      <c r="AA76" s="41" t="str">
        <f t="shared" si="44"/>
        <v>1</v>
      </c>
      <c r="AB76" s="24">
        <f t="shared" si="57"/>
        <v>7.1105598789436044</v>
      </c>
      <c r="AC76" s="41" t="str">
        <f t="shared" si="45"/>
        <v>7</v>
      </c>
      <c r="AD76" s="24">
        <f t="shared" si="58"/>
        <v>1.326718547323253</v>
      </c>
      <c r="AE76" s="41" t="str">
        <f t="shared" si="46"/>
        <v>1</v>
      </c>
      <c r="AF76" s="24">
        <f t="shared" si="59"/>
        <v>3.9206225678790361</v>
      </c>
      <c r="AG76" s="41" t="str">
        <f t="shared" si="47"/>
        <v>3</v>
      </c>
      <c r="AH76" s="24">
        <f t="shared" si="60"/>
        <v>11.047470814548433</v>
      </c>
      <c r="AI76" s="41" t="str">
        <f t="shared" si="48"/>
        <v>E</v>
      </c>
      <c r="AJ76" s="24">
        <f t="shared" si="61"/>
        <v>0.56964977458119392</v>
      </c>
      <c r="AK76" s="41" t="str">
        <f t="shared" si="49"/>
        <v>1</v>
      </c>
    </row>
    <row r="77" spans="1:37" ht="13.5" customHeight="1" x14ac:dyDescent="0.2">
      <c r="A77" s="578"/>
      <c r="B77" s="30" t="s">
        <v>37</v>
      </c>
      <c r="C77" s="30"/>
      <c r="D77" s="29"/>
      <c r="E77" s="8">
        <v>12</v>
      </c>
      <c r="F77" s="21">
        <f>1/(4*PI())</f>
        <v>7.9577471545947673E-2</v>
      </c>
      <c r="G77" s="37" t="str">
        <f t="shared" si="63"/>
        <v>0;E5615082189E</v>
      </c>
      <c r="H77" s="37"/>
      <c r="I77" s="285"/>
      <c r="J77" s="38">
        <v>-1</v>
      </c>
      <c r="K77" s="61">
        <f t="shared" si="36"/>
        <v>0.95492965855137213</v>
      </c>
      <c r="L77" s="39" t="str">
        <f>INDEX(powers!$H$2:$H$75,33+J77)</f>
        <v>unino</v>
      </c>
      <c r="M77" s="40" t="str">
        <f t="shared" si="37"/>
        <v>0</v>
      </c>
      <c r="N77" s="24">
        <f t="shared" si="50"/>
        <v>11.459155902616466</v>
      </c>
      <c r="O77" s="41" t="str">
        <f t="shared" si="38"/>
        <v>E</v>
      </c>
      <c r="P77" s="24">
        <f t="shared" si="51"/>
        <v>5.5098708313975919</v>
      </c>
      <c r="Q77" s="41" t="str">
        <f t="shared" si="39"/>
        <v>5</v>
      </c>
      <c r="R77" s="24">
        <f t="shared" si="52"/>
        <v>6.1184499767711031</v>
      </c>
      <c r="S77" s="41" t="str">
        <f t="shared" si="40"/>
        <v>6</v>
      </c>
      <c r="T77" s="24">
        <f t="shared" si="53"/>
        <v>1.4213997212532377</v>
      </c>
      <c r="U77" s="41" t="str">
        <f t="shared" si="41"/>
        <v>1</v>
      </c>
      <c r="V77" s="24">
        <f t="shared" si="54"/>
        <v>5.0567966550388519</v>
      </c>
      <c r="W77" s="41" t="str">
        <f t="shared" si="42"/>
        <v>5</v>
      </c>
      <c r="X77" s="24">
        <f t="shared" si="55"/>
        <v>0.68155986046622274</v>
      </c>
      <c r="Y77" s="41" t="str">
        <f t="shared" si="43"/>
        <v>0</v>
      </c>
      <c r="Z77" s="24">
        <f t="shared" si="56"/>
        <v>8.1787183255946729</v>
      </c>
      <c r="AA77" s="41" t="str">
        <f t="shared" si="44"/>
        <v>8</v>
      </c>
      <c r="AB77" s="24">
        <f t="shared" si="57"/>
        <v>2.1446199071360752</v>
      </c>
      <c r="AC77" s="41" t="str">
        <f t="shared" si="45"/>
        <v>2</v>
      </c>
      <c r="AD77" s="24">
        <f t="shared" si="58"/>
        <v>1.7354388856329024</v>
      </c>
      <c r="AE77" s="41" t="str">
        <f t="shared" si="46"/>
        <v>1</v>
      </c>
      <c r="AF77" s="24">
        <f t="shared" si="59"/>
        <v>8.8252666275948286</v>
      </c>
      <c r="AG77" s="41" t="str">
        <f t="shared" si="47"/>
        <v>8</v>
      </c>
      <c r="AH77" s="24">
        <f t="shared" si="60"/>
        <v>9.9031995311379433</v>
      </c>
      <c r="AI77" s="41" t="str">
        <f t="shared" si="48"/>
        <v>9</v>
      </c>
      <c r="AJ77" s="24">
        <f t="shared" si="61"/>
        <v>10.838394373655319</v>
      </c>
      <c r="AK77" s="41" t="str">
        <f t="shared" si="49"/>
        <v>E</v>
      </c>
    </row>
    <row r="78" spans="1:37" ht="13.5" customHeight="1" x14ac:dyDescent="0.2">
      <c r="A78" s="578"/>
      <c r="B78" s="45"/>
      <c r="C78" s="45"/>
      <c r="D78" s="46"/>
      <c r="E78" s="8">
        <v>9</v>
      </c>
      <c r="F78" s="21">
        <f>1/(4*PI())</f>
        <v>7.9577471545947673E-2</v>
      </c>
      <c r="G78" s="37" t="str">
        <f>"B5:"&amp;O78&amp;Q78&amp;S78&amp;U78&amp;W78&amp;Y78&amp;AA78&amp;AC78&amp;AE78&amp;AG78&amp;AI78&amp;AK78</f>
        <v>B5:61508218X</v>
      </c>
      <c r="H78" s="37"/>
      <c r="I78" s="285"/>
      <c r="J78" s="38">
        <v>-3</v>
      </c>
      <c r="K78" s="61">
        <f t="shared" si="36"/>
        <v>137.50987083139759</v>
      </c>
      <c r="L78" s="39" t="str">
        <f>INDEX(powers!$H$2:$H$75,33+J78)</f>
        <v>terno</v>
      </c>
      <c r="M78" s="40" t="str">
        <f t="shared" si="37"/>
        <v/>
      </c>
      <c r="N78" s="24">
        <f t="shared" si="50"/>
        <v>6.1184499767711031</v>
      </c>
      <c r="O78" s="41" t="str">
        <f t="shared" si="38"/>
        <v>6</v>
      </c>
      <c r="P78" s="24">
        <f t="shared" si="51"/>
        <v>1.4213997212532377</v>
      </c>
      <c r="Q78" s="41" t="str">
        <f t="shared" si="39"/>
        <v>1</v>
      </c>
      <c r="R78" s="24">
        <f t="shared" si="52"/>
        <v>5.0567966550388519</v>
      </c>
      <c r="S78" s="41" t="str">
        <f t="shared" si="40"/>
        <v>5</v>
      </c>
      <c r="T78" s="24">
        <f t="shared" si="53"/>
        <v>0.68155986046622274</v>
      </c>
      <c r="U78" s="41" t="str">
        <f t="shared" si="41"/>
        <v>0</v>
      </c>
      <c r="V78" s="24">
        <f t="shared" si="54"/>
        <v>8.1787183255946729</v>
      </c>
      <c r="W78" s="41" t="str">
        <f t="shared" si="42"/>
        <v>8</v>
      </c>
      <c r="X78" s="24">
        <f t="shared" si="55"/>
        <v>2.1446199071360752</v>
      </c>
      <c r="Y78" s="41" t="str">
        <f t="shared" si="43"/>
        <v>2</v>
      </c>
      <c r="Z78" s="24">
        <f t="shared" si="56"/>
        <v>1.7354388856329024</v>
      </c>
      <c r="AA78" s="41" t="str">
        <f t="shared" si="44"/>
        <v>1</v>
      </c>
      <c r="AB78" s="24">
        <f t="shared" si="57"/>
        <v>8.8252666275948286</v>
      </c>
      <c r="AC78" s="41" t="str">
        <f t="shared" si="45"/>
        <v>8</v>
      </c>
      <c r="AD78" s="24">
        <f t="shared" si="58"/>
        <v>9.9031995311379433</v>
      </c>
      <c r="AE78" s="41" t="str">
        <f t="shared" si="46"/>
        <v>X</v>
      </c>
      <c r="AF78" s="24">
        <f t="shared" si="59"/>
        <v>10.838394373655319</v>
      </c>
      <c r="AG78" s="41" t="str">
        <f t="shared" si="47"/>
        <v/>
      </c>
      <c r="AH78" s="24">
        <f t="shared" si="60"/>
        <v>10.060732483863831</v>
      </c>
      <c r="AI78" s="41" t="str">
        <f t="shared" si="48"/>
        <v/>
      </c>
      <c r="AJ78" s="24">
        <f t="shared" si="61"/>
        <v>0.7287898063659668</v>
      </c>
      <c r="AK78" s="41" t="str">
        <f t="shared" si="49"/>
        <v/>
      </c>
    </row>
    <row r="79" spans="1:37" ht="13.5" customHeight="1" x14ac:dyDescent="0.2">
      <c r="A79" s="578"/>
      <c r="B79" s="8" t="s">
        <v>32</v>
      </c>
      <c r="C79" s="8"/>
      <c r="D79" s="21"/>
      <c r="E79" s="8">
        <v>9</v>
      </c>
      <c r="F79" s="21">
        <f>4*PI()/$D$32</f>
        <v>1722.0451531746162</v>
      </c>
      <c r="G79" s="37" t="str">
        <f t="shared" ref="G79:G87" si="64">M79&amp;";"&amp;O79&amp;Q79&amp;S79&amp;U79&amp;W79&amp;Y79&amp;AA79&amp;AC79&amp;AE79&amp;AG79&amp;AI79&amp;AK79</f>
        <v>0;EE6066037</v>
      </c>
      <c r="H79" s="37"/>
      <c r="I79" s="285"/>
      <c r="J79" s="38">
        <v>3</v>
      </c>
      <c r="K79" s="61">
        <f t="shared" si="36"/>
        <v>0.99655390808716215</v>
      </c>
      <c r="L79" s="39" t="str">
        <f>INDEX(powers!$H$2:$H$75,33+J79)</f>
        <v>doz gross</v>
      </c>
      <c r="M79" s="40" t="str">
        <f t="shared" si="37"/>
        <v>0</v>
      </c>
      <c r="N79" s="24">
        <f t="shared" si="50"/>
        <v>11.958646897045945</v>
      </c>
      <c r="O79" s="41" t="str">
        <f t="shared" si="38"/>
        <v>E</v>
      </c>
      <c r="P79" s="24">
        <f t="shared" si="51"/>
        <v>11.50376276455134</v>
      </c>
      <c r="Q79" s="41" t="str">
        <f t="shared" si="39"/>
        <v>E</v>
      </c>
      <c r="R79" s="24">
        <f t="shared" si="52"/>
        <v>6.0451531746160754</v>
      </c>
      <c r="S79" s="41" t="str">
        <f t="shared" si="40"/>
        <v>6</v>
      </c>
      <c r="T79" s="24">
        <f t="shared" si="53"/>
        <v>0.54183809539290451</v>
      </c>
      <c r="U79" s="41" t="str">
        <f t="shared" si="41"/>
        <v>0</v>
      </c>
      <c r="V79" s="24">
        <f t="shared" si="54"/>
        <v>6.5020571447148541</v>
      </c>
      <c r="W79" s="41" t="str">
        <f t="shared" si="42"/>
        <v>6</v>
      </c>
      <c r="X79" s="24">
        <f t="shared" si="55"/>
        <v>6.0246857365782489</v>
      </c>
      <c r="Y79" s="41" t="str">
        <f t="shared" si="43"/>
        <v>6</v>
      </c>
      <c r="Z79" s="24">
        <f t="shared" si="56"/>
        <v>0.29622883893898688</v>
      </c>
      <c r="AA79" s="41" t="str">
        <f t="shared" si="44"/>
        <v>0</v>
      </c>
      <c r="AB79" s="24">
        <f t="shared" si="57"/>
        <v>3.5547460672678426</v>
      </c>
      <c r="AC79" s="41" t="str">
        <f t="shared" si="45"/>
        <v>3</v>
      </c>
      <c r="AD79" s="24">
        <f t="shared" si="58"/>
        <v>6.6569528072141111</v>
      </c>
      <c r="AE79" s="41" t="str">
        <f t="shared" si="46"/>
        <v>7</v>
      </c>
      <c r="AF79" s="24">
        <f t="shared" si="59"/>
        <v>7.8834336865693331</v>
      </c>
      <c r="AG79" s="41" t="str">
        <f t="shared" si="47"/>
        <v/>
      </c>
      <c r="AH79" s="24">
        <f t="shared" si="60"/>
        <v>10.601204238831997</v>
      </c>
      <c r="AI79" s="41" t="str">
        <f t="shared" si="48"/>
        <v/>
      </c>
      <c r="AJ79" s="24">
        <f t="shared" si="61"/>
        <v>7.214450865983963</v>
      </c>
      <c r="AK79" s="41" t="str">
        <f t="shared" si="49"/>
        <v/>
      </c>
    </row>
    <row r="80" spans="1:37" ht="13.5" customHeight="1" x14ac:dyDescent="0.2">
      <c r="A80" s="578"/>
      <c r="B80" s="8" t="s">
        <v>38</v>
      </c>
      <c r="C80" s="8"/>
      <c r="D80" s="21"/>
      <c r="E80" s="8">
        <v>9</v>
      </c>
      <c r="F80" s="21">
        <f>$D$32/(4*PI())</f>
        <v>5.8070486604633147E-4</v>
      </c>
      <c r="G80" s="37" t="str">
        <f t="shared" si="64"/>
        <v>1;005E85684</v>
      </c>
      <c r="H80" s="37"/>
      <c r="I80" s="285"/>
      <c r="J80" s="38">
        <v>-3</v>
      </c>
      <c r="K80" s="61">
        <f t="shared" si="36"/>
        <v>1.0034580085280609</v>
      </c>
      <c r="L80" s="39" t="str">
        <f>INDEX(powers!$H$2:$H$75,33+J80)</f>
        <v>terno</v>
      </c>
      <c r="M80" s="40" t="str">
        <f t="shared" si="37"/>
        <v>1</v>
      </c>
      <c r="N80" s="24">
        <f t="shared" si="50"/>
        <v>4.1496102336730623E-2</v>
      </c>
      <c r="O80" s="41" t="str">
        <f t="shared" si="38"/>
        <v>0</v>
      </c>
      <c r="P80" s="24">
        <f t="shared" si="51"/>
        <v>0.49795322804076747</v>
      </c>
      <c r="Q80" s="41" t="str">
        <f t="shared" si="39"/>
        <v>0</v>
      </c>
      <c r="R80" s="24">
        <f t="shared" si="52"/>
        <v>5.9754387364892096</v>
      </c>
      <c r="S80" s="41" t="str">
        <f t="shared" si="40"/>
        <v>5</v>
      </c>
      <c r="T80" s="24">
        <f t="shared" si="53"/>
        <v>11.705264837870516</v>
      </c>
      <c r="U80" s="41" t="str">
        <f t="shared" si="41"/>
        <v>E</v>
      </c>
      <c r="V80" s="24">
        <f t="shared" si="54"/>
        <v>8.463178054446189</v>
      </c>
      <c r="W80" s="41" t="str">
        <f t="shared" si="42"/>
        <v>8</v>
      </c>
      <c r="X80" s="24">
        <f t="shared" si="55"/>
        <v>5.5581366533542678</v>
      </c>
      <c r="Y80" s="41" t="str">
        <f t="shared" si="43"/>
        <v>5</v>
      </c>
      <c r="Z80" s="24">
        <f t="shared" si="56"/>
        <v>6.6976398402512132</v>
      </c>
      <c r="AA80" s="41" t="str">
        <f t="shared" si="44"/>
        <v>6</v>
      </c>
      <c r="AB80" s="24">
        <f t="shared" si="57"/>
        <v>8.3716780830145581</v>
      </c>
      <c r="AC80" s="41" t="str">
        <f t="shared" si="45"/>
        <v>8</v>
      </c>
      <c r="AD80" s="24">
        <f t="shared" si="58"/>
        <v>4.4601369961746968</v>
      </c>
      <c r="AE80" s="41" t="str">
        <f t="shared" si="46"/>
        <v>4</v>
      </c>
      <c r="AF80" s="24">
        <f t="shared" si="59"/>
        <v>5.521643954096362</v>
      </c>
      <c r="AG80" s="41" t="str">
        <f t="shared" si="47"/>
        <v/>
      </c>
      <c r="AH80" s="24">
        <f t="shared" si="60"/>
        <v>6.2597274491563439</v>
      </c>
      <c r="AI80" s="41" t="str">
        <f t="shared" si="48"/>
        <v/>
      </c>
      <c r="AJ80" s="24">
        <f t="shared" si="61"/>
        <v>3.1167293898761272</v>
      </c>
      <c r="AK80" s="41" t="str">
        <f t="shared" si="49"/>
        <v/>
      </c>
    </row>
    <row r="81" spans="1:37" ht="13.5" customHeight="1" x14ac:dyDescent="0.2">
      <c r="A81" s="578"/>
      <c r="B81" s="8" t="s">
        <v>33</v>
      </c>
      <c r="C81" s="8"/>
      <c r="D81" s="21"/>
      <c r="E81" s="8">
        <v>9</v>
      </c>
      <c r="F81" s="21">
        <f>4*PI()/($D$32*$D$32)</f>
        <v>235982.17819420979</v>
      </c>
      <c r="G81" s="37" t="str">
        <f t="shared" si="64"/>
        <v>0;E4692217E</v>
      </c>
      <c r="H81" s="37"/>
      <c r="I81" s="285"/>
      <c r="J81" s="38">
        <v>5</v>
      </c>
      <c r="K81" s="61">
        <f t="shared" si="36"/>
        <v>0.94835944811844852</v>
      </c>
      <c r="L81" s="39" t="str">
        <f>INDEX(powers!$H$2:$H$75,33+J81)</f>
        <v>terno cosmic</v>
      </c>
      <c r="M81" s="40" t="str">
        <f t="shared" si="37"/>
        <v>0</v>
      </c>
      <c r="N81" s="24">
        <f t="shared" si="50"/>
        <v>11.380313377421382</v>
      </c>
      <c r="O81" s="41" t="str">
        <f t="shared" si="38"/>
        <v>E</v>
      </c>
      <c r="P81" s="24">
        <f t="shared" si="51"/>
        <v>4.5637605290565872</v>
      </c>
      <c r="Q81" s="41" t="str">
        <f t="shared" si="39"/>
        <v>4</v>
      </c>
      <c r="R81" s="24">
        <f t="shared" si="52"/>
        <v>6.7651263486790469</v>
      </c>
      <c r="S81" s="41" t="str">
        <f t="shared" si="40"/>
        <v>6</v>
      </c>
      <c r="T81" s="24">
        <f t="shared" si="53"/>
        <v>9.1815161841485633</v>
      </c>
      <c r="U81" s="41" t="str">
        <f t="shared" si="41"/>
        <v>9</v>
      </c>
      <c r="V81" s="24">
        <f t="shared" si="54"/>
        <v>2.1781942097827596</v>
      </c>
      <c r="W81" s="41" t="str">
        <f t="shared" si="42"/>
        <v>2</v>
      </c>
      <c r="X81" s="24">
        <f t="shared" si="55"/>
        <v>2.1383305173931149</v>
      </c>
      <c r="Y81" s="41" t="str">
        <f t="shared" si="43"/>
        <v>2</v>
      </c>
      <c r="Z81" s="24">
        <f t="shared" si="56"/>
        <v>1.6599662087173783</v>
      </c>
      <c r="AA81" s="41" t="str">
        <f t="shared" si="44"/>
        <v>1</v>
      </c>
      <c r="AB81" s="24">
        <f t="shared" si="57"/>
        <v>7.9195945046085399</v>
      </c>
      <c r="AC81" s="41" t="str">
        <f t="shared" si="45"/>
        <v>7</v>
      </c>
      <c r="AD81" s="24">
        <f t="shared" si="58"/>
        <v>11.035134055302478</v>
      </c>
      <c r="AE81" s="41" t="str">
        <f t="shared" si="46"/>
        <v>E</v>
      </c>
      <c r="AF81" s="24">
        <f t="shared" si="59"/>
        <v>0.42160866362974048</v>
      </c>
      <c r="AG81" s="41" t="str">
        <f t="shared" si="47"/>
        <v/>
      </c>
      <c r="AH81" s="24">
        <f t="shared" si="60"/>
        <v>5.0593039635568857</v>
      </c>
      <c r="AI81" s="41" t="str">
        <f t="shared" si="48"/>
        <v/>
      </c>
      <c r="AJ81" s="24">
        <f t="shared" si="61"/>
        <v>0.71164756268262863</v>
      </c>
      <c r="AK81" s="41" t="str">
        <f t="shared" si="49"/>
        <v/>
      </c>
    </row>
    <row r="82" spans="1:37" ht="14.25" customHeight="1" x14ac:dyDescent="0.2">
      <c r="A82" s="578"/>
      <c r="B82" s="30" t="s">
        <v>41</v>
      </c>
      <c r="C82" s="30"/>
      <c r="D82" s="29"/>
      <c r="E82" s="30">
        <v>9</v>
      </c>
      <c r="F82" s="29">
        <f>($D$32*$D$32)/(4*PI())</f>
        <v>4.2376081433446851E-6</v>
      </c>
      <c r="G82" s="108" t="str">
        <f t="shared" si="64"/>
        <v>1;07X1163X5</v>
      </c>
      <c r="H82" s="108"/>
      <c r="I82" s="286"/>
      <c r="J82" s="43">
        <v>-5</v>
      </c>
      <c r="K82" s="62">
        <f t="shared" si="36"/>
        <v>1.0544525095247446</v>
      </c>
      <c r="L82" s="44" t="str">
        <f>INDEX(powers!$H$2:$H$75,33+J82)</f>
        <v>doz gross atomic</v>
      </c>
      <c r="M82" s="40" t="str">
        <f t="shared" si="37"/>
        <v>1</v>
      </c>
      <c r="N82" s="24">
        <f t="shared" si="50"/>
        <v>0.65343011429693476</v>
      </c>
      <c r="O82" s="41" t="str">
        <f t="shared" si="38"/>
        <v>0</v>
      </c>
      <c r="P82" s="24">
        <f t="shared" si="51"/>
        <v>7.8411613715632171</v>
      </c>
      <c r="Q82" s="41" t="str">
        <f t="shared" si="39"/>
        <v>7</v>
      </c>
      <c r="R82" s="24">
        <f t="shared" si="52"/>
        <v>10.093936458758606</v>
      </c>
      <c r="S82" s="41" t="str">
        <f t="shared" si="40"/>
        <v>X</v>
      </c>
      <c r="T82" s="24">
        <f t="shared" si="53"/>
        <v>1.1272375051032668</v>
      </c>
      <c r="U82" s="41" t="str">
        <f t="shared" si="41"/>
        <v>1</v>
      </c>
      <c r="V82" s="24">
        <f t="shared" si="54"/>
        <v>1.5268500612392018</v>
      </c>
      <c r="W82" s="41" t="str">
        <f t="shared" si="42"/>
        <v>1</v>
      </c>
      <c r="X82" s="24">
        <f t="shared" si="55"/>
        <v>6.322200734870421</v>
      </c>
      <c r="Y82" s="41" t="str">
        <f t="shared" si="43"/>
        <v>6</v>
      </c>
      <c r="Z82" s="24">
        <f t="shared" si="56"/>
        <v>3.866408818445052</v>
      </c>
      <c r="AA82" s="41" t="str">
        <f t="shared" si="44"/>
        <v>3</v>
      </c>
      <c r="AB82" s="24">
        <f t="shared" si="57"/>
        <v>10.396905821340624</v>
      </c>
      <c r="AC82" s="41" t="str">
        <f t="shared" si="45"/>
        <v>X</v>
      </c>
      <c r="AD82" s="24">
        <f t="shared" si="58"/>
        <v>4.7628698560874909</v>
      </c>
      <c r="AE82" s="41" t="str">
        <f t="shared" si="46"/>
        <v>5</v>
      </c>
      <c r="AF82" s="24">
        <f t="shared" si="59"/>
        <v>9.154438273049891</v>
      </c>
      <c r="AG82" s="41" t="str">
        <f t="shared" si="47"/>
        <v/>
      </c>
      <c r="AH82" s="24">
        <f t="shared" si="60"/>
        <v>1.8532592765986919</v>
      </c>
      <c r="AI82" s="41" t="str">
        <f t="shared" si="48"/>
        <v/>
      </c>
      <c r="AJ82" s="24">
        <f t="shared" si="61"/>
        <v>10.239111319184303</v>
      </c>
      <c r="AK82" s="41" t="str">
        <f t="shared" si="49"/>
        <v/>
      </c>
    </row>
    <row r="83" spans="1:37" ht="14.25" customHeight="1" x14ac:dyDescent="0.2">
      <c r="A83" s="578"/>
      <c r="B83" s="30"/>
      <c r="C83" s="30"/>
      <c r="D83" s="29"/>
      <c r="E83" s="30"/>
      <c r="F83" s="29"/>
      <c r="G83" s="108"/>
      <c r="H83" s="108"/>
      <c r="I83" s="286"/>
      <c r="J83" s="43"/>
      <c r="K83" s="62"/>
      <c r="L83" s="44"/>
      <c r="M83" s="40"/>
      <c r="N83" s="24"/>
      <c r="O83" s="41"/>
      <c r="P83" s="24"/>
      <c r="Q83" s="41"/>
      <c r="R83" s="24"/>
      <c r="S83" s="41"/>
      <c r="T83" s="24"/>
      <c r="U83" s="41"/>
      <c r="V83" s="24"/>
      <c r="W83" s="41"/>
      <c r="X83" s="24"/>
      <c r="Y83" s="41"/>
      <c r="Z83" s="24"/>
      <c r="AA83" s="41"/>
      <c r="AB83" s="24"/>
      <c r="AC83" s="41"/>
      <c r="AD83" s="24"/>
      <c r="AE83" s="41"/>
      <c r="AF83" s="24"/>
      <c r="AG83" s="41"/>
      <c r="AH83" s="24"/>
      <c r="AI83" s="41"/>
      <c r="AJ83" s="24"/>
      <c r="AK83" s="41"/>
    </row>
    <row r="84" spans="1:37" ht="14.25" customHeight="1" x14ac:dyDescent="0.2">
      <c r="A84" s="578"/>
      <c r="B84" s="30"/>
      <c r="C84" s="30"/>
      <c r="D84" s="29"/>
      <c r="E84" s="30"/>
      <c r="F84" s="29"/>
      <c r="G84" s="108"/>
      <c r="H84" s="108"/>
      <c r="I84" s="286"/>
      <c r="J84" s="43"/>
      <c r="K84" s="62"/>
      <c r="L84" s="44"/>
      <c r="M84" s="40"/>
      <c r="N84" s="24"/>
      <c r="O84" s="41"/>
      <c r="P84" s="24"/>
      <c r="Q84" s="41"/>
      <c r="R84" s="24"/>
      <c r="S84" s="41"/>
      <c r="T84" s="24"/>
      <c r="U84" s="41"/>
      <c r="V84" s="24"/>
      <c r="W84" s="41"/>
      <c r="X84" s="24"/>
      <c r="Y84" s="41"/>
      <c r="Z84" s="24"/>
      <c r="AA84" s="41"/>
      <c r="AB84" s="24"/>
      <c r="AC84" s="41"/>
      <c r="AD84" s="24"/>
      <c r="AE84" s="41"/>
      <c r="AF84" s="24"/>
      <c r="AG84" s="41"/>
      <c r="AH84" s="24"/>
      <c r="AI84" s="41"/>
      <c r="AJ84" s="24"/>
      <c r="AK84" s="41"/>
    </row>
    <row r="85" spans="1:37" ht="14.25" customHeight="1" x14ac:dyDescent="0.2">
      <c r="A85" s="578"/>
      <c r="B85" s="30" t="s">
        <v>339</v>
      </c>
      <c r="C85" s="30"/>
      <c r="D85" s="29"/>
      <c r="E85" s="30">
        <v>12</v>
      </c>
      <c r="F85" s="29">
        <f>POWER(2,43)</f>
        <v>8796093022208</v>
      </c>
      <c r="G85" s="108" t="str">
        <f t="shared" si="64"/>
        <v>0;EX08X990X0X8</v>
      </c>
      <c r="H85" s="108"/>
      <c r="I85" s="286"/>
      <c r="J85" s="43">
        <v>12</v>
      </c>
      <c r="K85" s="62">
        <f t="shared" si="36"/>
        <v>0.98654036854514426</v>
      </c>
      <c r="L85" s="44" t="str">
        <f>INDEX(powers!$H$2:$H$75,33+J85)</f>
        <v>cosmic hyper</v>
      </c>
      <c r="M85" s="40" t="str">
        <f t="shared" si="37"/>
        <v>0</v>
      </c>
      <c r="N85" s="24">
        <f t="shared" si="50"/>
        <v>11.838484422541731</v>
      </c>
      <c r="O85" s="41" t="str">
        <f t="shared" si="38"/>
        <v>E</v>
      </c>
      <c r="P85" s="24">
        <f t="shared" si="51"/>
        <v>10.061813070500769</v>
      </c>
      <c r="Q85" s="41" t="str">
        <f t="shared" si="39"/>
        <v>X</v>
      </c>
      <c r="R85" s="24">
        <f t="shared" si="52"/>
        <v>0.74175684600922409</v>
      </c>
      <c r="S85" s="41" t="str">
        <f t="shared" si="40"/>
        <v>0</v>
      </c>
      <c r="T85" s="24">
        <f t="shared" si="53"/>
        <v>8.9010821521106891</v>
      </c>
      <c r="U85" s="41" t="str">
        <f t="shared" si="41"/>
        <v>8</v>
      </c>
      <c r="V85" s="24">
        <f t="shared" si="54"/>
        <v>10.812985825328269</v>
      </c>
      <c r="W85" s="41" t="str">
        <f t="shared" si="42"/>
        <v>X</v>
      </c>
      <c r="X85" s="24">
        <f t="shared" si="55"/>
        <v>9.7558299039392296</v>
      </c>
      <c r="Y85" s="41" t="str">
        <f t="shared" si="43"/>
        <v>9</v>
      </c>
      <c r="Z85" s="24">
        <f t="shared" si="56"/>
        <v>9.0699588472707546</v>
      </c>
      <c r="AA85" s="41" t="str">
        <f t="shared" si="44"/>
        <v>9</v>
      </c>
      <c r="AB85" s="24">
        <f t="shared" si="57"/>
        <v>0.83950616724905558</v>
      </c>
      <c r="AC85" s="41" t="str">
        <f t="shared" si="45"/>
        <v>0</v>
      </c>
      <c r="AD85" s="24">
        <f t="shared" si="58"/>
        <v>10.074074006988667</v>
      </c>
      <c r="AE85" s="41" t="str">
        <f t="shared" si="46"/>
        <v>X</v>
      </c>
      <c r="AF85" s="24">
        <f t="shared" si="59"/>
        <v>0.88888808386400342</v>
      </c>
      <c r="AG85" s="41" t="str">
        <f t="shared" si="47"/>
        <v>0</v>
      </c>
      <c r="AH85" s="24">
        <f t="shared" si="60"/>
        <v>10.666657006368041</v>
      </c>
      <c r="AI85" s="41" t="str">
        <f t="shared" si="48"/>
        <v>X</v>
      </c>
      <c r="AJ85" s="24">
        <f t="shared" si="61"/>
        <v>7.9998840764164925</v>
      </c>
      <c r="AK85" s="41" t="str">
        <f t="shared" si="49"/>
        <v>8</v>
      </c>
    </row>
    <row r="86" spans="1:37" ht="14.25" customHeight="1" x14ac:dyDescent="0.2">
      <c r="A86" s="578"/>
      <c r="B86" s="30" t="s">
        <v>645</v>
      </c>
      <c r="C86" s="30"/>
      <c r="D86" s="29"/>
      <c r="E86" s="30">
        <v>12</v>
      </c>
      <c r="F86" s="29">
        <f>POWER(12,16)/POWER(2,48)</f>
        <v>656.84083557128906</v>
      </c>
      <c r="G86" s="108" t="str">
        <f t="shared" si="64"/>
        <v>4;68X10E696900</v>
      </c>
      <c r="H86" s="108"/>
      <c r="I86" s="286"/>
      <c r="J86" s="43">
        <v>2</v>
      </c>
      <c r="K86" s="62">
        <f t="shared" si="36"/>
        <v>4.5613946914672852</v>
      </c>
      <c r="L86" s="44" t="str">
        <f>INDEX(powers!$H$2:$H$75,33+J86)</f>
        <v>gross</v>
      </c>
      <c r="M86" s="40" t="str">
        <f t="shared" si="37"/>
        <v>4</v>
      </c>
      <c r="N86" s="24">
        <f t="shared" si="50"/>
        <v>6.7367362976074219</v>
      </c>
      <c r="O86" s="41" t="str">
        <f t="shared" si="38"/>
        <v>6</v>
      </c>
      <c r="P86" s="24">
        <f t="shared" si="51"/>
        <v>8.8408355712890625</v>
      </c>
      <c r="Q86" s="41" t="str">
        <f t="shared" si="39"/>
        <v>8</v>
      </c>
      <c r="R86" s="24">
        <f t="shared" si="52"/>
        <v>10.09002685546875</v>
      </c>
      <c r="S86" s="41" t="str">
        <f t="shared" si="40"/>
        <v>X</v>
      </c>
      <c r="T86" s="24">
        <f t="shared" si="53"/>
        <v>1.080322265625</v>
      </c>
      <c r="U86" s="41" t="str">
        <f t="shared" si="41"/>
        <v>1</v>
      </c>
      <c r="V86" s="24">
        <f t="shared" si="54"/>
        <v>0.9638671875</v>
      </c>
      <c r="W86" s="41" t="str">
        <f t="shared" si="42"/>
        <v>0</v>
      </c>
      <c r="X86" s="24">
        <f t="shared" si="55"/>
        <v>11.56640625</v>
      </c>
      <c r="Y86" s="41" t="str">
        <f t="shared" si="43"/>
        <v>E</v>
      </c>
      <c r="Z86" s="24">
        <f t="shared" si="56"/>
        <v>6.796875</v>
      </c>
      <c r="AA86" s="41" t="str">
        <f t="shared" si="44"/>
        <v>6</v>
      </c>
      <c r="AB86" s="24">
        <f t="shared" si="57"/>
        <v>9.5625</v>
      </c>
      <c r="AC86" s="41" t="str">
        <f t="shared" si="45"/>
        <v>9</v>
      </c>
      <c r="AD86" s="24">
        <f t="shared" si="58"/>
        <v>6.75</v>
      </c>
      <c r="AE86" s="41" t="str">
        <f t="shared" si="46"/>
        <v>6</v>
      </c>
      <c r="AF86" s="24">
        <f t="shared" si="59"/>
        <v>9</v>
      </c>
      <c r="AG86" s="41" t="str">
        <f t="shared" si="47"/>
        <v>9</v>
      </c>
      <c r="AH86" s="24">
        <f t="shared" si="60"/>
        <v>0</v>
      </c>
      <c r="AI86" s="41" t="str">
        <f t="shared" si="48"/>
        <v>0</v>
      </c>
      <c r="AJ86" s="24">
        <f t="shared" si="61"/>
        <v>0</v>
      </c>
      <c r="AK86" s="41" t="str">
        <f t="shared" si="49"/>
        <v>0</v>
      </c>
    </row>
    <row r="87" spans="1:37" ht="14.25" customHeight="1" thickBot="1" x14ac:dyDescent="0.25">
      <c r="A87" s="579"/>
      <c r="B87" s="33" t="s">
        <v>340</v>
      </c>
      <c r="C87" s="33"/>
      <c r="D87" s="32"/>
      <c r="E87" s="33">
        <v>12</v>
      </c>
      <c r="F87" s="32">
        <f>POWER(2,-17)*(2*PI())</f>
        <v>4.7936899621426287E-5</v>
      </c>
      <c r="G87" s="47" t="str">
        <f t="shared" si="64"/>
        <v>0;EE17EX582521</v>
      </c>
      <c r="H87" s="47"/>
      <c r="I87" s="287"/>
      <c r="J87" s="48">
        <v>-4</v>
      </c>
      <c r="K87" s="63">
        <f t="shared" si="36"/>
        <v>0.99401955054989555</v>
      </c>
      <c r="L87" s="49" t="str">
        <f>INDEX(powers!$H$2:$H$75,33+J87)</f>
        <v>sub</v>
      </c>
      <c r="M87" s="40" t="str">
        <f t="shared" si="37"/>
        <v>0</v>
      </c>
      <c r="N87" s="24">
        <f t="shared" si="50"/>
        <v>11.928234606598746</v>
      </c>
      <c r="O87" s="41" t="str">
        <f t="shared" si="38"/>
        <v>E</v>
      </c>
      <c r="P87" s="24">
        <f t="shared" si="51"/>
        <v>11.138815279184954</v>
      </c>
      <c r="Q87" s="41" t="str">
        <f t="shared" si="39"/>
        <v>E</v>
      </c>
      <c r="R87" s="24">
        <f t="shared" si="52"/>
        <v>1.6657833502194421</v>
      </c>
      <c r="S87" s="41" t="str">
        <f t="shared" si="40"/>
        <v>1</v>
      </c>
      <c r="T87" s="24">
        <f t="shared" si="53"/>
        <v>7.9894002026333055</v>
      </c>
      <c r="U87" s="41" t="str">
        <f t="shared" si="41"/>
        <v>7</v>
      </c>
      <c r="V87" s="24">
        <f t="shared" si="54"/>
        <v>11.872802431599666</v>
      </c>
      <c r="W87" s="41" t="str">
        <f t="shared" si="42"/>
        <v>E</v>
      </c>
      <c r="X87" s="24">
        <f t="shared" si="55"/>
        <v>10.473629179195996</v>
      </c>
      <c r="Y87" s="41" t="str">
        <f t="shared" si="43"/>
        <v>X</v>
      </c>
      <c r="Z87" s="24">
        <f t="shared" si="56"/>
        <v>5.6835501503519481</v>
      </c>
      <c r="AA87" s="41" t="str">
        <f t="shared" si="44"/>
        <v>5</v>
      </c>
      <c r="AB87" s="24">
        <f t="shared" si="57"/>
        <v>8.2026018042233773</v>
      </c>
      <c r="AC87" s="41" t="str">
        <f t="shared" si="45"/>
        <v>8</v>
      </c>
      <c r="AD87" s="24">
        <f t="shared" si="58"/>
        <v>2.4312216506805271</v>
      </c>
      <c r="AE87" s="41" t="str">
        <f t="shared" si="46"/>
        <v>2</v>
      </c>
      <c r="AF87" s="24">
        <f t="shared" si="59"/>
        <v>5.1746598081663251</v>
      </c>
      <c r="AG87" s="41" t="str">
        <f t="shared" si="47"/>
        <v>5</v>
      </c>
      <c r="AH87" s="24">
        <f t="shared" si="60"/>
        <v>2.0959176979959011</v>
      </c>
      <c r="AI87" s="41" t="str">
        <f t="shared" si="48"/>
        <v>2</v>
      </c>
      <c r="AJ87" s="24">
        <f t="shared" si="61"/>
        <v>1.1510123759508133</v>
      </c>
      <c r="AK87" s="41" t="str">
        <f t="shared" si="49"/>
        <v>1</v>
      </c>
    </row>
    <row r="88" spans="1:37" x14ac:dyDescent="0.2">
      <c r="K88" s="79"/>
      <c r="L88" s="79"/>
      <c r="M88" s="79"/>
    </row>
    <row r="89" spans="1:37" ht="15" customHeight="1" x14ac:dyDescent="0.2">
      <c r="B89" s="3" t="s">
        <v>264</v>
      </c>
      <c r="C89" s="3" t="str">
        <f>Rydberg!C34</f>
        <v>Ω_1/m</v>
      </c>
      <c r="D89" s="21">
        <f>Rydberg!D34*D90</f>
        <v>10967758.340274228</v>
      </c>
      <c r="E89" s="8">
        <v>12</v>
      </c>
      <c r="F89" s="21">
        <f>D89/(1/F$3)</f>
        <v>6.9470240384593828E-3</v>
      </c>
      <c r="G89" s="37" t="str">
        <f t="shared" ref="G89" si="65">M89&amp;";"&amp;O89&amp;Q89&amp;S89&amp;U89&amp;W89&amp;Y89&amp;AA89&amp;AC89&amp;AE89&amp;AG89&amp;AI89&amp;AK89</f>
        <v>0;000000010008</v>
      </c>
      <c r="H89" s="37"/>
      <c r="I89" s="285"/>
      <c r="J89" s="38">
        <v>6</v>
      </c>
      <c r="K89" s="61">
        <f>F89/POWER(12,J89)</f>
        <v>2.3265442944300381E-9</v>
      </c>
      <c r="L89" s="39" t="str">
        <f>INDEX(powers!$H$2:$H$75,33+J89)</f>
        <v>dino cosmic</v>
      </c>
      <c r="M89" s="40" t="str">
        <f t="shared" ref="M89" si="66">IF($E89&gt;=M$31,MID($J$31,IF($E89&gt;M$31,INT(K89),ROUND(K89,0))+1,1),"")</f>
        <v>0</v>
      </c>
      <c r="N89" s="24">
        <f t="shared" ref="N89" si="67">(K89-INT(K89))*12</f>
        <v>2.7918531533160458E-8</v>
      </c>
      <c r="O89" s="41" t="str">
        <f t="shared" ref="O89" si="68">IF($E89&gt;=O$31,MID($J$31,IF($E89&gt;O$31,INT(N89),ROUND(N89,0))+1,1),"")</f>
        <v>0</v>
      </c>
      <c r="P89" s="24">
        <f t="shared" ref="P89" si="69">(N89-INT(N89))*12</f>
        <v>3.3502237839792548E-7</v>
      </c>
      <c r="Q89" s="41" t="str">
        <f t="shared" ref="Q89" si="70">IF($E89&gt;=Q$31,MID($J$31,IF($E89&gt;Q$31,INT(P89),ROUND(P89,0))+1,1),"")</f>
        <v>0</v>
      </c>
      <c r="R89" s="24">
        <f t="shared" ref="R89" si="71">(P89-INT(P89))*12</f>
        <v>4.0202685407751055E-6</v>
      </c>
      <c r="S89" s="41" t="str">
        <f t="shared" ref="S89" si="72">IF($E89&gt;=S$31,MID($J$31,IF($E89&gt;S$31,INT(R89),ROUND(R89,0))+1,1),"")</f>
        <v>0</v>
      </c>
      <c r="T89" s="24">
        <f t="shared" ref="T89" si="73">(R89-INT(R89))*12</f>
        <v>4.8243222489301266E-5</v>
      </c>
      <c r="U89" s="41" t="str">
        <f t="shared" ref="U89" si="74">IF($E89&gt;=U$31,MID($J$31,IF($E89&gt;U$31,INT(T89),ROUND(T89,0))+1,1),"")</f>
        <v>0</v>
      </c>
      <c r="V89" s="24">
        <f t="shared" ref="V89" si="75">(T89-INT(T89))*12</f>
        <v>5.789186698716152E-4</v>
      </c>
      <c r="W89" s="41" t="str">
        <f t="shared" ref="W89" si="76">IF($E89&gt;=W$31,MID($J$31,IF($E89&gt;W$31,INT(V89),ROUND(V89,0))+1,1),"")</f>
        <v>0</v>
      </c>
      <c r="X89" s="24">
        <f t="shared" ref="X89" si="77">(V89-INT(V89))*12</f>
        <v>6.9470240384593828E-3</v>
      </c>
      <c r="Y89" s="41" t="str">
        <f t="shared" ref="Y89" si="78">IF($E89&gt;=Y$31,MID($J$31,IF($E89&gt;Y$31,INT(X89),ROUND(X89,0))+1,1),"")</f>
        <v>0</v>
      </c>
      <c r="Z89" s="24">
        <f t="shared" ref="Z89" si="79">(X89-INT(X89))*12</f>
        <v>8.3364288461512587E-2</v>
      </c>
      <c r="AA89" s="41" t="str">
        <f t="shared" ref="AA89" si="80">IF($E89&gt;=AA$31,MID($J$31,IF($E89&gt;AA$31,INT(Z89),ROUND(Z89,0))+1,1),"")</f>
        <v>0</v>
      </c>
      <c r="AB89" s="24">
        <f t="shared" ref="AB89" si="81">(Z89-INT(Z89))*12</f>
        <v>1.0003714615381512</v>
      </c>
      <c r="AC89" s="41" t="str">
        <f t="shared" ref="AC89" si="82">IF($E89&gt;=AC$31,MID($J$31,IF($E89&gt;AC$31,INT(AB89),ROUND(AB89,0))+1,1),"")</f>
        <v>1</v>
      </c>
      <c r="AD89" s="24">
        <f t="shared" ref="AD89" si="83">(AB89-INT(AB89))*12</f>
        <v>4.4575384578138255E-3</v>
      </c>
      <c r="AE89" s="41" t="str">
        <f t="shared" ref="AE89" si="84">IF($E89&gt;=AE$31,MID($J$31,IF($E89&gt;AE$31,INT(AD89),ROUND(AD89,0))+1,1),"")</f>
        <v>0</v>
      </c>
      <c r="AF89" s="24">
        <f t="shared" ref="AF89" si="85">(AD89-INT(AD89))*12</f>
        <v>5.3490461493765906E-2</v>
      </c>
      <c r="AG89" s="41" t="str">
        <f t="shared" ref="AG89" si="86">IF($E89&gt;=AG$31,MID($J$31,IF($E89&gt;AG$31,INT(AF89),ROUND(AF89,0))+1,1),"")</f>
        <v>0</v>
      </c>
      <c r="AH89" s="24">
        <f t="shared" ref="AH89" si="87">(AF89-INT(AF89))*12</f>
        <v>0.64188553792519087</v>
      </c>
      <c r="AI89" s="41" t="str">
        <f t="shared" ref="AI89" si="88">IF($E89&gt;=AI$31,MID($J$31,IF($E89&gt;AI$31,INT(AH89),ROUND(AH89,0))+1,1),"")</f>
        <v>0</v>
      </c>
      <c r="AJ89" s="24">
        <f t="shared" ref="AJ89" si="89">(AH89-INT(AH89))*12</f>
        <v>7.7026264551022905</v>
      </c>
      <c r="AK89" s="41" t="str">
        <f t="shared" ref="AK89" si="90">IF($E89&gt;=AK$31,MID($J$31,IF($E89&gt;AK$31,INT(AJ89),ROUND(AJ89,0))+1,1),"")</f>
        <v>8</v>
      </c>
    </row>
    <row r="90" spans="1:37" x14ac:dyDescent="0.2">
      <c r="B90" s="137" t="s">
        <v>265</v>
      </c>
      <c r="D90" s="14">
        <f>1/(1+0.00054461702177)</f>
        <v>0.99945567942448077</v>
      </c>
    </row>
    <row r="91" spans="1:37" x14ac:dyDescent="0.2">
      <c r="B91" s="3" t="s">
        <v>702</v>
      </c>
      <c r="C91" s="3"/>
      <c r="D91" s="21">
        <f>R23</f>
        <v>0.96873201747303028</v>
      </c>
      <c r="E91" s="8">
        <v>7</v>
      </c>
      <c r="F91" s="21">
        <f>D91</f>
        <v>0.96873201747303028</v>
      </c>
      <c r="G91" s="37" t="str">
        <f t="shared" ref="G91:G92" si="91">M91&amp;";"&amp;O91&amp;Q91&amp;S91&amp;U91&amp;W91&amp;Y91&amp;AA91&amp;AC91&amp;AE91&amp;AG91&amp;AI91&amp;AK91</f>
        <v>0;E75E764</v>
      </c>
      <c r="H91" s="37"/>
      <c r="I91" s="285"/>
      <c r="J91" s="38">
        <v>0</v>
      </c>
      <c r="K91" s="61">
        <f>F91/POWER(12,J91)</f>
        <v>0.96873201747303028</v>
      </c>
      <c r="L91" s="39" t="str">
        <f>INDEX(powers!$H$2:$H$75,33+J91)</f>
        <v xml:space="preserve"> </v>
      </c>
      <c r="M91" s="40" t="str">
        <f t="shared" ref="M91" si="92">IF($E91&gt;=M$31,MID($J$31,IF($E91&gt;M$31,INT(K91),ROUND(K91,0))+1,1),"")</f>
        <v>0</v>
      </c>
      <c r="N91" s="24">
        <f t="shared" ref="N91:N92" si="93">(K91-INT(K91))*12</f>
        <v>11.624784209676363</v>
      </c>
      <c r="O91" s="41" t="str">
        <f t="shared" ref="O91" si="94">IF($E91&gt;=O$31,MID($J$31,IF($E91&gt;O$31,INT(N91),ROUND(N91,0))+1,1),"")</f>
        <v>E</v>
      </c>
      <c r="P91" s="24">
        <f t="shared" ref="P91:P92" si="95">(N91-INT(N91))*12</f>
        <v>7.4974105161163607</v>
      </c>
      <c r="Q91" s="41" t="str">
        <f t="shared" ref="Q91" si="96">IF($E91&gt;=Q$31,MID($J$31,IF($E91&gt;Q$31,INT(P91),ROUND(P91,0))+1,1),"")</f>
        <v>7</v>
      </c>
      <c r="R91" s="24">
        <f t="shared" ref="R91:R92" si="97">(P91-INT(P91))*12</f>
        <v>5.968926193396328</v>
      </c>
      <c r="S91" s="41" t="str">
        <f t="shared" ref="S91" si="98">IF($E91&gt;=S$31,MID($J$31,IF($E91&gt;S$31,INT(R91),ROUND(R91,0))+1,1),"")</f>
        <v>5</v>
      </c>
      <c r="T91" s="24">
        <f t="shared" ref="T91:T92" si="99">(R91-INT(R91))*12</f>
        <v>11.627114320755936</v>
      </c>
      <c r="U91" s="41" t="str">
        <f t="shared" ref="U91" si="100">IF($E91&gt;=U$31,MID($J$31,IF($E91&gt;U$31,INT(T91),ROUND(T91,0))+1,1),"")</f>
        <v>E</v>
      </c>
      <c r="V91" s="24">
        <f t="shared" ref="V91:V92" si="101">(T91-INT(T91))*12</f>
        <v>7.5253718490712345</v>
      </c>
      <c r="W91" s="41" t="str">
        <f t="shared" ref="W91" si="102">IF($E91&gt;=W$31,MID($J$31,IF($E91&gt;W$31,INT(V91),ROUND(V91,0))+1,1),"")</f>
        <v>7</v>
      </c>
      <c r="X91" s="24">
        <f t="shared" ref="X91:X92" si="103">(V91-INT(V91))*12</f>
        <v>6.3044621888548136</v>
      </c>
      <c r="Y91" s="41" t="str">
        <f t="shared" ref="Y91" si="104">IF($E91&gt;=Y$31,MID($J$31,IF($E91&gt;Y$31,INT(X91),ROUND(X91,0))+1,1),"")</f>
        <v>6</v>
      </c>
      <c r="Z91" s="24">
        <f t="shared" ref="Z91:Z92" si="105">(X91-INT(X91))*12</f>
        <v>3.6535462662577629</v>
      </c>
      <c r="AA91" s="41" t="str">
        <f t="shared" ref="AA91" si="106">IF($E91&gt;=AA$31,MID($J$31,IF($E91&gt;AA$31,INT(Z91),ROUND(Z91,0))+1,1),"")</f>
        <v>4</v>
      </c>
      <c r="AB91" s="24">
        <f t="shared" ref="AB91:AB92" si="107">(Z91-INT(Z91))*12</f>
        <v>7.8425551950931549</v>
      </c>
      <c r="AC91" s="41" t="str">
        <f t="shared" ref="AC91" si="108">IF($E91&gt;=AC$31,MID($J$31,IF($E91&gt;AC$31,INT(AB91),ROUND(AB91,0))+1,1),"")</f>
        <v/>
      </c>
      <c r="AD91" s="24">
        <f t="shared" ref="AD91:AD92" si="109">(AB91-INT(AB91))*12</f>
        <v>10.110662341117859</v>
      </c>
      <c r="AE91" s="41" t="str">
        <f t="shared" ref="AE91" si="110">IF($E91&gt;=AE$31,MID($J$31,IF($E91&gt;AE$31,INT(AD91),ROUND(AD91,0))+1,1),"")</f>
        <v/>
      </c>
      <c r="AF91" s="24">
        <f t="shared" ref="AF91:AF92" si="111">(AD91-INT(AD91))*12</f>
        <v>1.3279480934143066</v>
      </c>
      <c r="AG91" s="41" t="str">
        <f t="shared" ref="AG91" si="112">IF($E91&gt;=AG$31,MID($J$31,IF($E91&gt;AG$31,INT(AF91),ROUND(AF91,0))+1,1),"")</f>
        <v/>
      </c>
      <c r="AH91" s="24">
        <f t="shared" ref="AH91:AH92" si="113">(AF91-INT(AF91))*12</f>
        <v>3.9353771209716797</v>
      </c>
      <c r="AI91" s="41" t="str">
        <f t="shared" ref="AI91" si="114">IF($E91&gt;=AI$31,MID($J$31,IF($E91&gt;AI$31,INT(AH91),ROUND(AH91,0))+1,1),"")</f>
        <v/>
      </c>
      <c r="AJ91" s="24">
        <f t="shared" ref="AJ91:AJ92" si="115">(AH91-INT(AH91))*12</f>
        <v>11.224525451660156</v>
      </c>
      <c r="AK91" s="41" t="str">
        <f t="shared" ref="AK91" si="116">IF($E91&gt;=AK$31,MID($J$31,IF($E91&gt;AK$31,INT(AJ91),ROUND(AJ91,0))+1,1),"")</f>
        <v/>
      </c>
    </row>
    <row r="92" spans="1:37" x14ac:dyDescent="0.2">
      <c r="B92" s="3" t="s">
        <v>725</v>
      </c>
      <c r="C92" s="3"/>
      <c r="D92" s="21">
        <v>540000000000000</v>
      </c>
      <c r="E92" s="8">
        <v>7</v>
      </c>
      <c r="F92" s="21">
        <f>D92/F22</f>
        <v>1.1409168277966557E-3</v>
      </c>
      <c r="G92" s="37" t="str">
        <f t="shared" si="91"/>
        <v>0;0000000</v>
      </c>
      <c r="H92" s="37"/>
      <c r="I92" s="285"/>
      <c r="J92" s="38">
        <v>13</v>
      </c>
      <c r="K92" s="61">
        <f>F92/POWER(12,J92)</f>
        <v>1.0663451232762304E-17</v>
      </c>
      <c r="L92" s="39" t="str">
        <f>INDEX(powers!$H$2:$H$75,33+J92)</f>
        <v>terno di-cosmic</v>
      </c>
      <c r="M92" s="40" t="str">
        <f>IF($E92&gt;=M$31,MID($J$31,IF($E92&gt;M$31,INT(K92),ROUND(K92,0))+1,1),"")</f>
        <v>0</v>
      </c>
      <c r="N92" s="24">
        <f t="shared" si="93"/>
        <v>1.2796141479314766E-16</v>
      </c>
      <c r="O92" s="41" t="str">
        <f>IF($E92&gt;=O$31,MID($J$31,IF($E92&gt;O$31,INT(N92),ROUND(N92,0))+1,1),"")</f>
        <v>0</v>
      </c>
      <c r="P92" s="24">
        <f t="shared" si="95"/>
        <v>1.5355369775177719E-15</v>
      </c>
      <c r="Q92" s="41" t="str">
        <f>IF($E92&gt;=Q$31,MID($J$31,IF($E92&gt;Q$31,INT(P92),ROUND(P92,0))+1,1),"")</f>
        <v>0</v>
      </c>
      <c r="R92" s="24">
        <f t="shared" si="97"/>
        <v>1.8426443730213262E-14</v>
      </c>
      <c r="S92" s="41" t="str">
        <f>IF($E92&gt;=S$31,MID($J$31,IF($E92&gt;S$31,INT(R92),ROUND(R92,0))+1,1),"")</f>
        <v>0</v>
      </c>
      <c r="T92" s="24">
        <f t="shared" si="99"/>
        <v>2.2111732476255914E-13</v>
      </c>
      <c r="U92" s="41" t="str">
        <f>IF($E92&gt;=U$31,MID($J$31,IF($E92&gt;U$31,INT(T92),ROUND(T92,0))+1,1),"")</f>
        <v>0</v>
      </c>
      <c r="V92" s="24">
        <f t="shared" si="101"/>
        <v>2.6534078971507098E-12</v>
      </c>
      <c r="W92" s="41" t="str">
        <f>IF($E92&gt;=W$31,MID($J$31,IF($E92&gt;W$31,INT(V92),ROUND(V92,0))+1,1),"")</f>
        <v>0</v>
      </c>
      <c r="X92" s="24">
        <f t="shared" si="103"/>
        <v>3.1840894765808518E-11</v>
      </c>
      <c r="Y92" s="41" t="str">
        <f>IF($E92&gt;=Y$31,MID($J$31,IF($E92&gt;Y$31,INT(X92),ROUND(X92,0))+1,1),"")</f>
        <v>0</v>
      </c>
      <c r="Z92" s="24">
        <f t="shared" si="105"/>
        <v>3.8209073718970222E-10</v>
      </c>
      <c r="AA92" s="41" t="str">
        <f>IF($E92&gt;=AA$31,MID($J$31,IF($E92&gt;AA$31,INT(Z92),ROUND(Z92,0))+1,1),"")</f>
        <v>0</v>
      </c>
      <c r="AB92" s="24">
        <f t="shared" si="107"/>
        <v>4.585088846276427E-9</v>
      </c>
      <c r="AC92" s="41" t="str">
        <f>IF($E92&gt;=AC$31,MID($J$31,IF($E92&gt;AC$31,INT(AB92),ROUND(AB92,0))+1,1),"")</f>
        <v/>
      </c>
      <c r="AD92" s="24">
        <f t="shared" si="109"/>
        <v>5.5021066155317124E-8</v>
      </c>
      <c r="AE92" s="41" t="str">
        <f>IF($E92&gt;=AE$31,MID($J$31,IF($E92&gt;AE$31,INT(AD92),ROUND(AD92,0))+1,1),"")</f>
        <v/>
      </c>
      <c r="AF92" s="24">
        <f t="shared" si="111"/>
        <v>6.6025279386380549E-7</v>
      </c>
      <c r="AG92" s="41" t="str">
        <f>IF($E92&gt;=AG$31,MID($J$31,IF($E92&gt;AG$31,INT(AF92),ROUND(AF92,0))+1,1),"")</f>
        <v/>
      </c>
      <c r="AH92" s="24">
        <f t="shared" si="113"/>
        <v>7.9230335263656659E-6</v>
      </c>
      <c r="AI92" s="41" t="str">
        <f>IF($E92&gt;=AI$31,MID($J$31,IF($E92&gt;AI$31,INT(AH92),ROUND(AH92,0))+1,1),"")</f>
        <v/>
      </c>
      <c r="AJ92" s="24">
        <f t="shared" si="115"/>
        <v>9.5076402316387991E-5</v>
      </c>
      <c r="AK92" s="41" t="str">
        <f>IF($E92&gt;=AK$31,MID($J$31,IF($E92&gt;AK$31,INT(AJ92),ROUND(AJ92,0))+1,1),"")</f>
        <v/>
      </c>
    </row>
    <row r="93" spans="1:37" x14ac:dyDescent="0.2">
      <c r="B93" s="14" t="s">
        <v>1153</v>
      </c>
      <c r="D93" s="193">
        <f>F22*F93</f>
        <v>1.0128053070490128E+32</v>
      </c>
      <c r="F93" s="193">
        <f>G93*POWER(12,J93)</f>
        <v>213986410758144</v>
      </c>
      <c r="G93" s="209">
        <v>2</v>
      </c>
      <c r="J93" s="14">
        <v>13</v>
      </c>
      <c r="K93" s="79"/>
      <c r="L93" s="79"/>
      <c r="M93" s="79"/>
    </row>
    <row r="94" spans="1:37" ht="12" thickBot="1" x14ac:dyDescent="0.25">
      <c r="K94" s="79"/>
      <c r="L94" s="79"/>
      <c r="M94" s="79"/>
    </row>
    <row r="95" spans="1:37" x14ac:dyDescent="0.2">
      <c r="B95" s="98" t="s">
        <v>115</v>
      </c>
      <c r="C95" s="99"/>
      <c r="D95" s="100"/>
      <c r="E95" s="99">
        <v>9</v>
      </c>
      <c r="F95" s="100">
        <f>Clock!F96</f>
        <v>1.0020361796982167</v>
      </c>
      <c r="G95" s="101" t="str">
        <f t="shared" ref="G95:G97" si="117">M95&amp;";"&amp;O95&amp;Q95&amp;S95&amp;U95&amp;W95&amp;Y95&amp;AA95&amp;AC95&amp;AE95&amp;AG95&amp;AI95&amp;AK95</f>
        <v>1;003628000</v>
      </c>
      <c r="H95" s="101"/>
      <c r="I95" s="289"/>
      <c r="J95" s="102">
        <v>0</v>
      </c>
      <c r="K95" s="103">
        <f>F95/POWER(12,J95)+0.00000000000001</f>
        <v>1.0020361796982267</v>
      </c>
      <c r="L95" s="104" t="str">
        <f>INDEX(powers!$H$2:$H$75,33+J95)</f>
        <v xml:space="preserve"> </v>
      </c>
      <c r="M95" s="75" t="str">
        <f t="shared" ref="M95:M97" si="118">IF($E95&gt;=M$31,MID($J$31,IF($E95&gt;M$31,INT(K95),ROUND(K95,0))+1,1),"")</f>
        <v>1</v>
      </c>
      <c r="N95" s="76">
        <f>(K95-INT(K95))*12</f>
        <v>2.443415637872004E-2</v>
      </c>
      <c r="O95" s="77" t="str">
        <f t="shared" ref="O95:O97" si="119">IF($E95&gt;=O$31,MID($J$31,IF($E95&gt;O$31,INT(N95),ROUND(N95,0))+1,1),"")</f>
        <v>0</v>
      </c>
      <c r="P95" s="76">
        <f>(N95-INT(N95))*12</f>
        <v>0.29320987654464048</v>
      </c>
      <c r="Q95" s="77" t="str">
        <f t="shared" ref="Q95:Q97" si="120">IF($E95&gt;=Q$31,MID($J$31,IF($E95&gt;Q$31,INT(P95),ROUND(P95,0))+1,1),"")</f>
        <v>0</v>
      </c>
      <c r="R95" s="76">
        <f>(P95-INT(P95))*12</f>
        <v>3.5185185185356858</v>
      </c>
      <c r="S95" s="77" t="str">
        <f t="shared" ref="S95:S97" si="121">IF($E95&gt;=S$31,MID($J$31,IF($E95&gt;S$31,INT(R95),ROUND(R95,0))+1,1),"")</f>
        <v>3</v>
      </c>
      <c r="T95" s="76">
        <f>(R95-INT(R95))*12</f>
        <v>6.2222222224282291</v>
      </c>
      <c r="U95" s="77" t="str">
        <f t="shared" ref="U95:U97" si="122">IF($E95&gt;=U$31,MID($J$31,IF($E95&gt;U$31,INT(T95),ROUND(T95,0))+1,1),"")</f>
        <v>6</v>
      </c>
      <c r="V95" s="76">
        <f>(T95-INT(T95))*12</f>
        <v>2.6666666691387491</v>
      </c>
      <c r="W95" s="77" t="str">
        <f t="shared" ref="W95:W97" si="123">IF($E95&gt;=W$31,MID($J$31,IF($E95&gt;W$31,INT(V95),ROUND(V95,0))+1,1),"")</f>
        <v>2</v>
      </c>
      <c r="X95" s="76">
        <f>(V95-INT(V95))*12</f>
        <v>8.0000000296649887</v>
      </c>
      <c r="Y95" s="77" t="str">
        <f t="shared" ref="Y95:Y97" si="124">IF($E95&gt;=Y$31,MID($J$31,IF($E95&gt;Y$31,INT(X95),ROUND(X95,0))+1,1),"")</f>
        <v>8</v>
      </c>
      <c r="Z95" s="76">
        <f>(X95-INT(X95))*12</f>
        <v>3.559798642527312E-7</v>
      </c>
      <c r="AA95" s="77" t="str">
        <f t="shared" ref="AA95:AA97" si="125">IF($E95&gt;=AA$31,MID($J$31,IF($E95&gt;AA$31,INT(Z95),ROUND(Z95,0))+1,1),"")</f>
        <v>0</v>
      </c>
      <c r="AB95" s="76">
        <f>(Z95-INT(Z95))*12</f>
        <v>4.2717583710327744E-6</v>
      </c>
      <c r="AC95" s="77" t="str">
        <f t="shared" ref="AC95:AC97" si="126">IF($E95&gt;=AC$31,MID($J$31,IF($E95&gt;AC$31,INT(AB95),ROUND(AB95,0))+1,1),"")</f>
        <v>0</v>
      </c>
      <c r="AD95" s="76">
        <f>(AB95-INT(AB95))*12</f>
        <v>5.1261100452393293E-5</v>
      </c>
      <c r="AE95" s="77" t="str">
        <f t="shared" ref="AE95:AE97" si="127">IF($E95&gt;=AE$31,MID($J$31,IF($E95&gt;AE$31,INT(AD95),ROUND(AD95,0))+1,1),"")</f>
        <v>0</v>
      </c>
      <c r="AF95" s="76">
        <f>(AD95-INT(AD95))*12</f>
        <v>6.1513320542871952E-4</v>
      </c>
      <c r="AG95" s="77" t="str">
        <f t="shared" ref="AG95:AG97" si="128">IF($E95&gt;=AG$31,MID($J$31,IF($E95&gt;AG$31,INT(AF95),ROUND(AF95,0))+1,1),"")</f>
        <v/>
      </c>
      <c r="AH95" s="76">
        <f>(AF95-INT(AF95))*12</f>
        <v>7.3815984651446342E-3</v>
      </c>
      <c r="AI95" s="77" t="str">
        <f t="shared" ref="AI95:AI97" si="129">IF($E95&gt;=AI$31,MID($J$31,IF($E95&gt;AI$31,INT(AH95),ROUND(AH95,0))+1,1),"")</f>
        <v/>
      </c>
      <c r="AJ95" s="76">
        <f>(AH95-INT(AH95))*12</f>
        <v>8.8579181581735611E-2</v>
      </c>
      <c r="AK95" s="78" t="str">
        <f t="shared" ref="AK95:AK97" si="130">IF($E95&gt;=AK$31,MID($J$31,IF($E95&gt;AK$31,INT(AJ95),ROUND(AJ95,0))+1,1),"")</f>
        <v/>
      </c>
    </row>
    <row r="96" spans="1:37" x14ac:dyDescent="0.2">
      <c r="B96" s="107" t="s">
        <v>204</v>
      </c>
      <c r="C96" s="30"/>
      <c r="D96" s="30"/>
      <c r="E96" s="30">
        <v>12</v>
      </c>
      <c r="F96" s="29">
        <f>F4/Clock!F4*POWER(12,16)</f>
        <v>1.0000002947226576</v>
      </c>
      <c r="G96" s="108" t="str">
        <f t="shared" si="117"/>
        <v>1;000000X68855</v>
      </c>
      <c r="H96" s="108"/>
      <c r="I96" s="286"/>
      <c r="J96" s="43">
        <v>0</v>
      </c>
      <c r="K96" s="109">
        <f>F96/POWER(12,J96)+0.00000000000001</f>
        <v>1.0000002947226676</v>
      </c>
      <c r="L96" s="44" t="str">
        <f>INDEX(powers!$H$2:$H$75,33+J96)</f>
        <v xml:space="preserve"> </v>
      </c>
      <c r="M96" s="97" t="str">
        <f t="shared" si="118"/>
        <v>1</v>
      </c>
      <c r="N96" s="8">
        <f>(K96-INT(K96))*12</f>
        <v>3.53667201125063E-6</v>
      </c>
      <c r="O96" s="96" t="str">
        <f t="shared" si="119"/>
        <v>0</v>
      </c>
      <c r="P96" s="8">
        <f>(N96-INT(N96))*12</f>
        <v>4.244006413500756E-5</v>
      </c>
      <c r="Q96" s="96" t="str">
        <f t="shared" si="120"/>
        <v>0</v>
      </c>
      <c r="R96" s="8">
        <f>(P96-INT(P96))*12</f>
        <v>5.0928076962009072E-4</v>
      </c>
      <c r="S96" s="96" t="str">
        <f t="shared" si="121"/>
        <v>0</v>
      </c>
      <c r="T96" s="8">
        <f>(R96-INT(R96))*12</f>
        <v>6.1113692354410887E-3</v>
      </c>
      <c r="U96" s="96" t="str">
        <f t="shared" si="122"/>
        <v>0</v>
      </c>
      <c r="V96" s="8">
        <f>(T96-INT(T96))*12</f>
        <v>7.3336430825293064E-2</v>
      </c>
      <c r="W96" s="96" t="str">
        <f t="shared" si="123"/>
        <v>0</v>
      </c>
      <c r="X96" s="8">
        <f>(V96-INT(V96))*12</f>
        <v>0.88003716990351677</v>
      </c>
      <c r="Y96" s="96" t="str">
        <f t="shared" si="124"/>
        <v>0</v>
      </c>
      <c r="Z96" s="8">
        <f>(X96-INT(X96))*12</f>
        <v>10.560446038842201</v>
      </c>
      <c r="AA96" s="96" t="str">
        <f t="shared" si="125"/>
        <v>X</v>
      </c>
      <c r="AB96" s="8">
        <f>(Z96-INT(Z96))*12</f>
        <v>6.7253524661064148</v>
      </c>
      <c r="AC96" s="96" t="str">
        <f t="shared" si="126"/>
        <v>6</v>
      </c>
      <c r="AD96" s="8">
        <f>(AB96-INT(AB96))*12</f>
        <v>8.7042295932769775</v>
      </c>
      <c r="AE96" s="96" t="str">
        <f t="shared" si="127"/>
        <v>8</v>
      </c>
      <c r="AF96" s="8">
        <f>(AD96-INT(AD96))*12</f>
        <v>8.4507551193237305</v>
      </c>
      <c r="AG96" s="96" t="str">
        <f t="shared" si="128"/>
        <v>8</v>
      </c>
      <c r="AH96" s="8">
        <f>(AF96-INT(AF96))*12</f>
        <v>5.4090614318847656</v>
      </c>
      <c r="AI96" s="96" t="str">
        <f t="shared" si="129"/>
        <v>5</v>
      </c>
      <c r="AJ96" s="8">
        <f>(AH96-INT(AH96))*12</f>
        <v>4.9087371826171875</v>
      </c>
      <c r="AK96" s="96" t="str">
        <f t="shared" si="130"/>
        <v>5</v>
      </c>
    </row>
    <row r="97" spans="2:39" ht="12" thickBot="1" x14ac:dyDescent="0.25">
      <c r="B97" s="105" t="s">
        <v>205</v>
      </c>
      <c r="C97" s="33"/>
      <c r="D97" s="33"/>
      <c r="E97" s="33">
        <v>12</v>
      </c>
      <c r="F97" s="32">
        <f>F5/Clock!F5*POWER(12,8)</f>
        <v>0.99999970527742921</v>
      </c>
      <c r="G97" s="47" t="str">
        <f t="shared" si="117"/>
        <v>0;EEEEEE153368</v>
      </c>
      <c r="H97" s="47"/>
      <c r="I97" s="287"/>
      <c r="J97" s="48">
        <v>0</v>
      </c>
      <c r="K97" s="106">
        <f>F97/POWER(12,J97)+0.00000000000001</f>
        <v>0.9999997052774392</v>
      </c>
      <c r="L97" s="49" t="str">
        <f>INDEX(powers!$H$2:$H$75,33+J97)</f>
        <v xml:space="preserve"> </v>
      </c>
      <c r="M97" s="97" t="str">
        <f t="shared" si="118"/>
        <v>0</v>
      </c>
      <c r="N97" s="8">
        <f>(K97-INT(K97))*12</f>
        <v>11.999996463329271</v>
      </c>
      <c r="O97" s="96" t="str">
        <f t="shared" si="119"/>
        <v>E</v>
      </c>
      <c r="P97" s="8">
        <f>(N97-INT(N97))*12</f>
        <v>11.999957559951255</v>
      </c>
      <c r="Q97" s="96" t="str">
        <f t="shared" si="120"/>
        <v>E</v>
      </c>
      <c r="R97" s="8">
        <f>(P97-INT(P97))*12</f>
        <v>11.999490719415064</v>
      </c>
      <c r="S97" s="96" t="str">
        <f t="shared" si="121"/>
        <v>E</v>
      </c>
      <c r="T97" s="8">
        <f>(R97-INT(R97))*12</f>
        <v>11.99388863298077</v>
      </c>
      <c r="U97" s="96" t="str">
        <f t="shared" si="122"/>
        <v>E</v>
      </c>
      <c r="V97" s="8">
        <f>(T97-INT(T97))*12</f>
        <v>11.926663595769242</v>
      </c>
      <c r="W97" s="96" t="str">
        <f t="shared" si="123"/>
        <v>E</v>
      </c>
      <c r="X97" s="8">
        <f>(V97-INT(V97))*12</f>
        <v>11.119963149230898</v>
      </c>
      <c r="Y97" s="96" t="str">
        <f t="shared" si="124"/>
        <v>E</v>
      </c>
      <c r="Z97" s="8">
        <f>(X97-INT(X97))*12</f>
        <v>1.4395577907707775</v>
      </c>
      <c r="AA97" s="96" t="str">
        <f t="shared" si="125"/>
        <v>1</v>
      </c>
      <c r="AB97" s="8">
        <f>(Z97-INT(Z97))*12</f>
        <v>5.27469348924933</v>
      </c>
      <c r="AC97" s="96" t="str">
        <f t="shared" si="126"/>
        <v>5</v>
      </c>
      <c r="AD97" s="8">
        <f>(AB97-INT(AB97))*12</f>
        <v>3.2963218709919602</v>
      </c>
      <c r="AE97" s="96" t="str">
        <f t="shared" si="127"/>
        <v>3</v>
      </c>
      <c r="AF97" s="8">
        <f>(AD97-INT(AD97))*12</f>
        <v>3.555862451903522</v>
      </c>
      <c r="AG97" s="96" t="str">
        <f t="shared" si="128"/>
        <v>3</v>
      </c>
      <c r="AH97" s="8">
        <f>(AF97-INT(AF97))*12</f>
        <v>6.6703494228422642</v>
      </c>
      <c r="AI97" s="96" t="str">
        <f t="shared" si="129"/>
        <v>6</v>
      </c>
      <c r="AJ97" s="8">
        <f>(AH97-INT(AH97))*12</f>
        <v>8.0441930741071701</v>
      </c>
      <c r="AK97" s="96" t="str">
        <f t="shared" si="130"/>
        <v>8</v>
      </c>
    </row>
    <row r="99" spans="2:39" ht="12" thickBot="1" x14ac:dyDescent="0.25">
      <c r="C99" s="54" t="s">
        <v>628</v>
      </c>
      <c r="D99" s="238">
        <f>AM100</f>
        <v>-74.360388349901569</v>
      </c>
      <c r="F99" s="232"/>
      <c r="G99" s="193"/>
      <c r="H99" s="193"/>
    </row>
    <row r="100" spans="2:39" x14ac:dyDescent="0.2">
      <c r="B100" s="98" t="s">
        <v>616</v>
      </c>
      <c r="C100" s="240" t="s">
        <v>596</v>
      </c>
      <c r="D100" s="242">
        <v>-273.14999999999998</v>
      </c>
      <c r="E100" s="99">
        <v>9</v>
      </c>
      <c r="F100" s="225">
        <f>(D100-D$99)/F$6/POWER(12,-12)</f>
        <v>-164.19068287037038</v>
      </c>
      <c r="G100" s="239" t="str">
        <f>"-"&amp;M100&amp;";"&amp;O100&amp;Q100&amp;S100&amp;U100&amp;W100&amp;Y100&amp;AA100&amp;AC100&amp;AE100&amp;AG100&amp;AI100&amp;AK100</f>
        <v>-1;182356000</v>
      </c>
      <c r="H100" s="239"/>
      <c r="I100" s="290"/>
      <c r="J100" s="226">
        <v>2</v>
      </c>
      <c r="K100" s="227">
        <f>-F100/POWER(12,J100)+0.00000000000001</f>
        <v>1.1402130754886932</v>
      </c>
      <c r="L100" s="104" t="str">
        <f>INDEX(powers!$H$2:$H$75,33+J100)</f>
        <v>gross</v>
      </c>
      <c r="M100" s="97" t="str">
        <f t="shared" ref="M100:M122" si="131">IF($E100&gt;=M$31,MID($J$31,IF($E100&gt;M$31,INT(K100),ROUND(K100,0))+1,1),"")</f>
        <v>1</v>
      </c>
      <c r="N100" s="8">
        <f t="shared" ref="N100:N122" si="132">(K100-INT(K100))*12</f>
        <v>1.6825569058643186</v>
      </c>
      <c r="O100" s="96" t="str">
        <f t="shared" ref="O100:O122" si="133">IF($E100&gt;=O$31,MID($J$31,IF($E100&gt;O$31,INT(N100),ROUND(N100,0))+1,1),"")</f>
        <v>1</v>
      </c>
      <c r="P100" s="8">
        <f t="shared" ref="P100:P122" si="134">(N100-INT(N100))*12</f>
        <v>8.1906828703718233</v>
      </c>
      <c r="Q100" s="96" t="str">
        <f t="shared" ref="Q100:Q122" si="135">IF($E100&gt;=Q$31,MID($J$31,IF($E100&gt;Q$31,INT(P100),ROUND(P100,0))+1,1),"")</f>
        <v>8</v>
      </c>
      <c r="R100" s="8">
        <f t="shared" ref="R100:R122" si="136">(P100-INT(P100))*12</f>
        <v>2.2881944444618796</v>
      </c>
      <c r="S100" s="96" t="str">
        <f t="shared" ref="S100:S122" si="137">IF($E100&gt;=S$31,MID($J$31,IF($E100&gt;S$31,INT(R100),ROUND(R100,0))+1,1),"")</f>
        <v>2</v>
      </c>
      <c r="T100" s="8">
        <f t="shared" ref="T100:T122" si="138">(R100-INT(R100))*12</f>
        <v>3.458333333542555</v>
      </c>
      <c r="U100" s="96" t="str">
        <f t="shared" ref="U100:U122" si="139">IF($E100&gt;=U$31,MID($J$31,IF($E100&gt;U$31,INT(T100),ROUND(T100,0))+1,1),"")</f>
        <v>3</v>
      </c>
      <c r="V100" s="8">
        <f t="shared" ref="V100:V122" si="140">(T100-INT(T100))*12</f>
        <v>5.5000000025106601</v>
      </c>
      <c r="W100" s="96" t="str">
        <f t="shared" ref="W100:W122" si="141">IF($E100&gt;=W$31,MID($J$31,IF($E100&gt;W$31,INT(V100),ROUND(V100,0))+1,1),"")</f>
        <v>5</v>
      </c>
      <c r="X100" s="8">
        <f t="shared" ref="X100:X122" si="142">(V100-INT(V100))*12</f>
        <v>6.0000000301279215</v>
      </c>
      <c r="Y100" s="96" t="str">
        <f t="shared" ref="Y100:Y122" si="143">IF($E100&gt;=Y$31,MID($J$31,IF($E100&gt;Y$31,INT(X100),ROUND(X100,0))+1,1),"")</f>
        <v>6</v>
      </c>
      <c r="Z100" s="8">
        <f t="shared" ref="Z100:Z122" si="144">(X100-INT(X100))*12</f>
        <v>3.6153505789116025E-7</v>
      </c>
      <c r="AA100" s="96" t="str">
        <f t="shared" ref="AA100:AA122" si="145">IF($E100&gt;=AA$31,MID($J$31,IF($E100&gt;AA$31,INT(Z100),ROUND(Z100,0))+1,1),"")</f>
        <v>0</v>
      </c>
      <c r="AB100" s="8">
        <f t="shared" ref="AB100:AB122" si="146">(Z100-INT(Z100))*12</f>
        <v>4.338420694693923E-6</v>
      </c>
      <c r="AC100" s="96" t="str">
        <f t="shared" ref="AC100:AC122" si="147">IF($E100&gt;=AC$31,MID($J$31,IF($E100&gt;AC$31,INT(AB100),ROUND(AB100,0))+1,1),"")</f>
        <v>0</v>
      </c>
      <c r="AD100" s="8">
        <f t="shared" ref="AD100:AD122" si="148">(AB100-INT(AB100))*12</f>
        <v>5.2061048336327076E-5</v>
      </c>
      <c r="AE100" s="96" t="str">
        <f t="shared" ref="AE100:AE122" si="149">IF($E100&gt;=AE$31,MID($J$31,IF($E100&gt;AE$31,INT(AD100),ROUND(AD100,0))+1,1),"")</f>
        <v>0</v>
      </c>
      <c r="AF100" s="8">
        <f t="shared" ref="AF100:AF122" si="150">(AD100-INT(AD100))*12</f>
        <v>6.2473258003592491E-4</v>
      </c>
      <c r="AG100" s="96" t="str">
        <f t="shared" ref="AG100:AG122" si="151">IF($E100&gt;=AG$31,MID($J$31,IF($E100&gt;AG$31,INT(AF100),ROUND(AF100,0))+1,1),"")</f>
        <v/>
      </c>
      <c r="AH100" s="8">
        <f t="shared" ref="AH100:AH122" si="152">(AF100-INT(AF100))*12</f>
        <v>7.4967909604310989E-3</v>
      </c>
      <c r="AI100" s="96" t="str">
        <f t="shared" ref="AI100:AI122" si="153">IF($E100&gt;=AI$31,MID($J$31,IF($E100&gt;AI$31,INT(AH100),ROUND(AH100,0))+1,1),"")</f>
        <v/>
      </c>
      <c r="AJ100" s="8">
        <f t="shared" ref="AJ100:AJ122" si="154">(AH100-INT(AH100))*12</f>
        <v>8.9961491525173187E-2</v>
      </c>
      <c r="AK100" s="96" t="str">
        <f t="shared" ref="AK100:AK122" si="155">IF($E100&gt;=AK$31,MID($J$31,IF($E100&gt;AK$31,INT(AJ100),ROUND(AJ100,0))+1,1),"")</f>
        <v/>
      </c>
      <c r="AL100" s="238">
        <f>-(144*1+1*12+8+2/12+3/144+5/1728+6/20736)</f>
        <v>-164.19068287037035</v>
      </c>
      <c r="AM100" s="238">
        <f>-AL100*F$6*POWER(12,-12)+D100</f>
        <v>-74.360388349901569</v>
      </c>
    </row>
    <row r="101" spans="2:39" x14ac:dyDescent="0.2">
      <c r="B101" s="126" t="s">
        <v>614</v>
      </c>
      <c r="C101" s="10" t="s">
        <v>615</v>
      </c>
      <c r="D101" s="198">
        <v>-89.4</v>
      </c>
      <c r="E101" s="8">
        <v>9</v>
      </c>
      <c r="F101" s="228">
        <f>(D101-D$99)/F$6/POWER(12,-12)</f>
        <v>-12.421997741417778</v>
      </c>
      <c r="G101" s="229" t="str">
        <f>"-"&amp;M101&amp;";"&amp;O101&amp;Q101&amp;S101&amp;U101&amp;W101&amp;Y101&amp;AA101&amp;AC101&amp;AE101&amp;AG101&amp;AI101&amp;AK101</f>
        <v>-1;050926661</v>
      </c>
      <c r="H101" s="229"/>
      <c r="I101" s="291"/>
      <c r="J101" s="230">
        <v>1</v>
      </c>
      <c r="K101" s="231">
        <f>-F101/POWER(12,J101)+0.00000000000001</f>
        <v>1.0351664784514916</v>
      </c>
      <c r="L101" s="39" t="str">
        <f>INDEX(powers!$H$2:$H$75,33+J101)</f>
        <v>dozen</v>
      </c>
      <c r="M101" s="97" t="str">
        <f t="shared" si="131"/>
        <v>1</v>
      </c>
      <c r="N101" s="8">
        <f t="shared" si="132"/>
        <v>0.42199774141789881</v>
      </c>
      <c r="O101" s="96" t="str">
        <f t="shared" si="133"/>
        <v>0</v>
      </c>
      <c r="P101" s="8">
        <f t="shared" si="134"/>
        <v>5.0639728970147857</v>
      </c>
      <c r="Q101" s="96" t="str">
        <f t="shared" si="135"/>
        <v>5</v>
      </c>
      <c r="R101" s="8">
        <f t="shared" si="136"/>
        <v>0.76767476417742841</v>
      </c>
      <c r="S101" s="96" t="str">
        <f t="shared" si="137"/>
        <v>0</v>
      </c>
      <c r="T101" s="8">
        <f t="shared" si="138"/>
        <v>9.212097170129141</v>
      </c>
      <c r="U101" s="96" t="str">
        <f t="shared" si="139"/>
        <v>9</v>
      </c>
      <c r="V101" s="8">
        <f t="shared" si="140"/>
        <v>2.5451660415496917</v>
      </c>
      <c r="W101" s="96" t="str">
        <f t="shared" si="141"/>
        <v>2</v>
      </c>
      <c r="X101" s="8">
        <f t="shared" si="142"/>
        <v>6.5419924985963007</v>
      </c>
      <c r="Y101" s="96" t="str">
        <f t="shared" si="143"/>
        <v>6</v>
      </c>
      <c r="Z101" s="8">
        <f t="shared" si="144"/>
        <v>6.5039099831556086</v>
      </c>
      <c r="AA101" s="96" t="str">
        <f t="shared" si="145"/>
        <v>6</v>
      </c>
      <c r="AB101" s="8">
        <f t="shared" si="146"/>
        <v>6.0469197978673037</v>
      </c>
      <c r="AC101" s="96" t="str">
        <f t="shared" si="147"/>
        <v>6</v>
      </c>
      <c r="AD101" s="8">
        <f t="shared" si="148"/>
        <v>0.56303757440764457</v>
      </c>
      <c r="AE101" s="96" t="str">
        <f t="shared" si="149"/>
        <v>1</v>
      </c>
      <c r="AF101" s="8">
        <f t="shared" si="150"/>
        <v>6.7564508928917348</v>
      </c>
      <c r="AG101" s="96" t="str">
        <f t="shared" si="151"/>
        <v/>
      </c>
      <c r="AH101" s="8">
        <f t="shared" si="152"/>
        <v>9.0774107147008181</v>
      </c>
      <c r="AI101" s="96" t="str">
        <f t="shared" si="153"/>
        <v/>
      </c>
      <c r="AJ101" s="8">
        <f t="shared" si="154"/>
        <v>0.92892857640981674</v>
      </c>
      <c r="AK101" s="96" t="str">
        <f t="shared" si="155"/>
        <v/>
      </c>
    </row>
    <row r="102" spans="2:39" x14ac:dyDescent="0.2">
      <c r="B102" s="126"/>
      <c r="C102" s="9" t="s">
        <v>597</v>
      </c>
      <c r="D102" s="198">
        <v>-78</v>
      </c>
      <c r="E102" s="8">
        <v>9</v>
      </c>
      <c r="F102" s="228">
        <f t="shared" ref="F102:F122" si="156">(D102-D$99)/F$6/POWER(12,-12)</f>
        <v>-3.006144623213368</v>
      </c>
      <c r="G102" s="229" t="str">
        <f>"-"&amp;M102&amp;";"&amp;O102&amp;Q102&amp;S102&amp;U102&amp;W102&amp;Y102&amp;AA102&amp;AC102&amp;AE102&amp;AG102&amp;AI102&amp;AK102</f>
        <v>-3;00X74E8E6</v>
      </c>
      <c r="H102" s="229"/>
      <c r="I102" s="291"/>
      <c r="J102" s="230">
        <v>0</v>
      </c>
      <c r="K102" s="231">
        <f>-F102/POWER(12,J102)+0.00000000000001</f>
        <v>3.0061446232133782</v>
      </c>
      <c r="L102" s="39" t="str">
        <f>INDEX(powers!$H$2:$H$75,33+J102)</f>
        <v xml:space="preserve"> </v>
      </c>
      <c r="M102" s="97" t="str">
        <f t="shared" si="131"/>
        <v>3</v>
      </c>
      <c r="N102" s="8">
        <f t="shared" si="132"/>
        <v>7.373547856053797E-2</v>
      </c>
      <c r="O102" s="96" t="str">
        <f t="shared" si="133"/>
        <v>0</v>
      </c>
      <c r="P102" s="8">
        <f t="shared" si="134"/>
        <v>0.88482574272645564</v>
      </c>
      <c r="Q102" s="96" t="str">
        <f t="shared" si="135"/>
        <v>0</v>
      </c>
      <c r="R102" s="8">
        <f t="shared" si="136"/>
        <v>10.617908912717468</v>
      </c>
      <c r="S102" s="96" t="str">
        <f t="shared" si="137"/>
        <v>X</v>
      </c>
      <c r="T102" s="8">
        <f t="shared" si="138"/>
        <v>7.4149069526096127</v>
      </c>
      <c r="U102" s="96" t="str">
        <f t="shared" si="139"/>
        <v>7</v>
      </c>
      <c r="V102" s="8">
        <f t="shared" si="140"/>
        <v>4.9788834313153529</v>
      </c>
      <c r="W102" s="96" t="str">
        <f t="shared" si="141"/>
        <v>4</v>
      </c>
      <c r="X102" s="8">
        <f t="shared" si="142"/>
        <v>11.746601175784235</v>
      </c>
      <c r="Y102" s="96" t="str">
        <f t="shared" si="143"/>
        <v>E</v>
      </c>
      <c r="Z102" s="8">
        <f t="shared" si="144"/>
        <v>8.9592141094108229</v>
      </c>
      <c r="AA102" s="96" t="str">
        <f t="shared" si="145"/>
        <v>8</v>
      </c>
      <c r="AB102" s="8">
        <f t="shared" si="146"/>
        <v>11.510569312929874</v>
      </c>
      <c r="AC102" s="96" t="str">
        <f t="shared" si="147"/>
        <v>E</v>
      </c>
      <c r="AD102" s="8">
        <f t="shared" si="148"/>
        <v>6.1268317551584914</v>
      </c>
      <c r="AE102" s="96" t="str">
        <f t="shared" si="149"/>
        <v>6</v>
      </c>
      <c r="AF102" s="8">
        <f t="shared" si="150"/>
        <v>1.5219810619018972</v>
      </c>
      <c r="AG102" s="96" t="str">
        <f t="shared" si="151"/>
        <v/>
      </c>
      <c r="AH102" s="8">
        <f t="shared" si="152"/>
        <v>6.2637727428227663</v>
      </c>
      <c r="AI102" s="96" t="str">
        <f t="shared" si="153"/>
        <v/>
      </c>
      <c r="AJ102" s="8">
        <f t="shared" si="154"/>
        <v>3.1652729138731956</v>
      </c>
      <c r="AK102" s="96" t="str">
        <f t="shared" si="155"/>
        <v/>
      </c>
    </row>
    <row r="103" spans="2:39" x14ac:dyDescent="0.2">
      <c r="B103" s="126"/>
      <c r="C103" s="9" t="s">
        <v>598</v>
      </c>
      <c r="D103" s="198">
        <v>-55</v>
      </c>
      <c r="E103" s="8">
        <v>9</v>
      </c>
      <c r="F103" s="127">
        <f t="shared" si="156"/>
        <v>15.990752018777979</v>
      </c>
      <c r="G103" s="37" t="str">
        <f t="shared" ref="G103:G122" si="157">M103&amp;";"&amp;O103&amp;Q103&amp;S103&amp;U103&amp;W103&amp;Y103&amp;AA103&amp;AC103&amp;AE103&amp;AG103&amp;AI103&amp;AK103</f>
        <v>1;3EX802981</v>
      </c>
      <c r="H103" s="37"/>
      <c r="I103" s="285"/>
      <c r="J103" s="38">
        <v>1</v>
      </c>
      <c r="K103" s="128">
        <f t="shared" ref="K103:K122" si="158">F103/POWER(12,J103)+0.00000000000001</f>
        <v>1.3325626682315082</v>
      </c>
      <c r="L103" s="39" t="str">
        <f>INDEX(powers!$H$2:$H$75,33+J103)</f>
        <v>dozen</v>
      </c>
      <c r="M103" s="97" t="str">
        <f t="shared" si="131"/>
        <v>1</v>
      </c>
      <c r="N103" s="8">
        <f t="shared" si="132"/>
        <v>3.9907520187780978</v>
      </c>
      <c r="O103" s="96" t="str">
        <f t="shared" si="133"/>
        <v>3</v>
      </c>
      <c r="P103" s="8">
        <f t="shared" si="134"/>
        <v>11.889024225337174</v>
      </c>
      <c r="Q103" s="96" t="str">
        <f t="shared" si="135"/>
        <v>E</v>
      </c>
      <c r="R103" s="8">
        <f t="shared" si="136"/>
        <v>10.668290704046086</v>
      </c>
      <c r="S103" s="96" t="str">
        <f t="shared" si="137"/>
        <v>X</v>
      </c>
      <c r="T103" s="8">
        <f t="shared" si="138"/>
        <v>8.0194884485530338</v>
      </c>
      <c r="U103" s="96" t="str">
        <f t="shared" si="139"/>
        <v>8</v>
      </c>
      <c r="V103" s="8">
        <f t="shared" si="140"/>
        <v>0.23386138263640532</v>
      </c>
      <c r="W103" s="96" t="str">
        <f t="shared" si="141"/>
        <v>0</v>
      </c>
      <c r="X103" s="8">
        <f t="shared" si="142"/>
        <v>2.8063365916368639</v>
      </c>
      <c r="Y103" s="96" t="str">
        <f t="shared" si="143"/>
        <v>2</v>
      </c>
      <c r="Z103" s="8">
        <f t="shared" si="144"/>
        <v>9.6760390996423666</v>
      </c>
      <c r="AA103" s="96" t="str">
        <f t="shared" si="145"/>
        <v>9</v>
      </c>
      <c r="AB103" s="8">
        <f t="shared" si="146"/>
        <v>8.1124691957083996</v>
      </c>
      <c r="AC103" s="96" t="str">
        <f t="shared" si="147"/>
        <v>8</v>
      </c>
      <c r="AD103" s="8">
        <f t="shared" si="148"/>
        <v>1.3496303485007957</v>
      </c>
      <c r="AE103" s="96" t="str">
        <f t="shared" si="149"/>
        <v>1</v>
      </c>
      <c r="AF103" s="8">
        <f t="shared" si="150"/>
        <v>4.1955641820095479</v>
      </c>
      <c r="AG103" s="96" t="str">
        <f t="shared" si="151"/>
        <v/>
      </c>
      <c r="AH103" s="8">
        <f t="shared" si="152"/>
        <v>2.3467701841145754</v>
      </c>
      <c r="AI103" s="96" t="str">
        <f t="shared" si="153"/>
        <v/>
      </c>
      <c r="AJ103" s="8">
        <f t="shared" si="154"/>
        <v>4.1612422093749046</v>
      </c>
      <c r="AK103" s="96" t="str">
        <f t="shared" si="155"/>
        <v/>
      </c>
    </row>
    <row r="104" spans="2:39" x14ac:dyDescent="0.2">
      <c r="B104" s="126"/>
      <c r="C104" s="9" t="s">
        <v>599</v>
      </c>
      <c r="D104" s="198">
        <v>-32</v>
      </c>
      <c r="E104" s="8">
        <v>9</v>
      </c>
      <c r="F104" s="127">
        <f t="shared" si="156"/>
        <v>34.987648660769324</v>
      </c>
      <c r="G104" s="37" t="str">
        <f t="shared" si="157"/>
        <v>2;XEX27X712</v>
      </c>
      <c r="H104" s="37"/>
      <c r="I104" s="285"/>
      <c r="J104" s="38">
        <v>1</v>
      </c>
      <c r="K104" s="128">
        <f t="shared" si="158"/>
        <v>2.915637388397454</v>
      </c>
      <c r="L104" s="39" t="str">
        <f>INDEX(powers!$H$2:$H$75,33+J104)</f>
        <v>dozen</v>
      </c>
      <c r="M104" s="97" t="str">
        <f t="shared" si="131"/>
        <v>2</v>
      </c>
      <c r="N104" s="8">
        <f t="shared" si="132"/>
        <v>10.987648660769448</v>
      </c>
      <c r="O104" s="96" t="str">
        <f t="shared" si="133"/>
        <v>X</v>
      </c>
      <c r="P104" s="8">
        <f t="shared" si="134"/>
        <v>11.851783929233378</v>
      </c>
      <c r="Q104" s="96" t="str">
        <f t="shared" si="135"/>
        <v>E</v>
      </c>
      <c r="R104" s="8">
        <f t="shared" si="136"/>
        <v>10.22140715080053</v>
      </c>
      <c r="S104" s="96" t="str">
        <f t="shared" si="137"/>
        <v>X</v>
      </c>
      <c r="T104" s="8">
        <f t="shared" si="138"/>
        <v>2.656885809606365</v>
      </c>
      <c r="U104" s="96" t="str">
        <f t="shared" si="139"/>
        <v>2</v>
      </c>
      <c r="V104" s="8">
        <f t="shared" si="140"/>
        <v>7.88262971527638</v>
      </c>
      <c r="W104" s="96" t="str">
        <f t="shared" si="141"/>
        <v>7</v>
      </c>
      <c r="X104" s="8">
        <f t="shared" si="142"/>
        <v>10.59155658331656</v>
      </c>
      <c r="Y104" s="96" t="str">
        <f t="shared" si="143"/>
        <v>X</v>
      </c>
      <c r="Z104" s="8">
        <f t="shared" si="144"/>
        <v>7.0986789997987216</v>
      </c>
      <c r="AA104" s="96" t="str">
        <f t="shared" si="145"/>
        <v>7</v>
      </c>
      <c r="AB104" s="8">
        <f t="shared" si="146"/>
        <v>1.1841479975846596</v>
      </c>
      <c r="AC104" s="96" t="str">
        <f t="shared" si="147"/>
        <v>1</v>
      </c>
      <c r="AD104" s="8">
        <f t="shared" si="148"/>
        <v>2.2097759710159153</v>
      </c>
      <c r="AE104" s="96" t="str">
        <f t="shared" si="149"/>
        <v>2</v>
      </c>
      <c r="AF104" s="8">
        <f t="shared" si="150"/>
        <v>2.5173116521909833</v>
      </c>
      <c r="AG104" s="96" t="str">
        <f t="shared" si="151"/>
        <v/>
      </c>
      <c r="AH104" s="8">
        <f t="shared" si="152"/>
        <v>6.2077398262917995</v>
      </c>
      <c r="AI104" s="96" t="str">
        <f t="shared" si="153"/>
        <v/>
      </c>
      <c r="AJ104" s="8">
        <f t="shared" si="154"/>
        <v>2.4928779155015945</v>
      </c>
      <c r="AK104" s="96" t="str">
        <f t="shared" si="155"/>
        <v/>
      </c>
    </row>
    <row r="105" spans="2:39" x14ac:dyDescent="0.2">
      <c r="B105" s="126"/>
      <c r="C105" s="9" t="s">
        <v>600</v>
      </c>
      <c r="D105" s="198">
        <v>-17.8</v>
      </c>
      <c r="E105" s="8">
        <v>9</v>
      </c>
      <c r="F105" s="127">
        <f t="shared" si="156"/>
        <v>46.716167457129202</v>
      </c>
      <c r="G105" s="37" t="str">
        <f t="shared" si="157"/>
        <v>3;X8716546X</v>
      </c>
      <c r="H105" s="37"/>
      <c r="I105" s="285"/>
      <c r="J105" s="38">
        <v>1</v>
      </c>
      <c r="K105" s="128">
        <f t="shared" si="158"/>
        <v>3.8930139547607769</v>
      </c>
      <c r="L105" s="39" t="str">
        <f>INDEX(powers!$H$2:$H$75,33+J105)</f>
        <v>dozen</v>
      </c>
      <c r="M105" s="97" t="str">
        <f t="shared" si="131"/>
        <v>3</v>
      </c>
      <c r="N105" s="8">
        <f t="shared" si="132"/>
        <v>10.716167457129323</v>
      </c>
      <c r="O105" s="96" t="str">
        <f t="shared" si="133"/>
        <v>X</v>
      </c>
      <c r="P105" s="8">
        <f t="shared" si="134"/>
        <v>8.5940094855518794</v>
      </c>
      <c r="Q105" s="96" t="str">
        <f t="shared" si="135"/>
        <v>8</v>
      </c>
      <c r="R105" s="8">
        <f t="shared" si="136"/>
        <v>7.1281138266225526</v>
      </c>
      <c r="S105" s="96" t="str">
        <f t="shared" si="137"/>
        <v>7</v>
      </c>
      <c r="T105" s="8">
        <f t="shared" si="138"/>
        <v>1.5373659194706306</v>
      </c>
      <c r="U105" s="96" t="str">
        <f t="shared" si="139"/>
        <v>1</v>
      </c>
      <c r="V105" s="8">
        <f t="shared" si="140"/>
        <v>6.4483910336475674</v>
      </c>
      <c r="W105" s="96" t="str">
        <f t="shared" si="141"/>
        <v>6</v>
      </c>
      <c r="X105" s="8">
        <f t="shared" si="142"/>
        <v>5.3806924037708086</v>
      </c>
      <c r="Y105" s="96" t="str">
        <f t="shared" si="143"/>
        <v>5</v>
      </c>
      <c r="Z105" s="8">
        <f t="shared" si="144"/>
        <v>4.5683088452497032</v>
      </c>
      <c r="AA105" s="96" t="str">
        <f t="shared" si="145"/>
        <v>4</v>
      </c>
      <c r="AB105" s="8">
        <f t="shared" si="146"/>
        <v>6.8197061429964378</v>
      </c>
      <c r="AC105" s="96" t="str">
        <f t="shared" si="147"/>
        <v>6</v>
      </c>
      <c r="AD105" s="8">
        <f t="shared" si="148"/>
        <v>9.8364737159572542</v>
      </c>
      <c r="AE105" s="96" t="str">
        <f t="shared" si="149"/>
        <v>X</v>
      </c>
      <c r="AF105" s="8">
        <f t="shared" si="150"/>
        <v>10.03768459148705</v>
      </c>
      <c r="AG105" s="96" t="str">
        <f t="shared" si="151"/>
        <v/>
      </c>
      <c r="AH105" s="8">
        <f t="shared" si="152"/>
        <v>0.45221509784460068</v>
      </c>
      <c r="AI105" s="96" t="str">
        <f t="shared" si="153"/>
        <v/>
      </c>
      <c r="AJ105" s="8">
        <f t="shared" si="154"/>
        <v>5.4265811741352081</v>
      </c>
      <c r="AK105" s="96" t="str">
        <f t="shared" si="155"/>
        <v/>
      </c>
    </row>
    <row r="106" spans="2:39" x14ac:dyDescent="0.2">
      <c r="B106" s="126"/>
      <c r="C106" s="9" t="s">
        <v>601</v>
      </c>
      <c r="D106" s="198">
        <v>-9</v>
      </c>
      <c r="E106" s="8">
        <v>9</v>
      </c>
      <c r="F106" s="127">
        <f t="shared" si="156"/>
        <v>53.984545302760672</v>
      </c>
      <c r="G106" s="37" t="str">
        <f t="shared" si="157"/>
        <v>4;5E9936463</v>
      </c>
      <c r="H106" s="37"/>
      <c r="I106" s="285"/>
      <c r="J106" s="38">
        <v>1</v>
      </c>
      <c r="K106" s="128">
        <f t="shared" si="158"/>
        <v>4.4987121085633994</v>
      </c>
      <c r="L106" s="39" t="str">
        <f>INDEX(powers!$H$2:$H$75,33+J106)</f>
        <v>dozen</v>
      </c>
      <c r="M106" s="97" t="str">
        <f t="shared" si="131"/>
        <v>4</v>
      </c>
      <c r="N106" s="8">
        <f t="shared" si="132"/>
        <v>5.9845453027607931</v>
      </c>
      <c r="O106" s="96" t="str">
        <f t="shared" si="133"/>
        <v>5</v>
      </c>
      <c r="P106" s="8">
        <f t="shared" si="134"/>
        <v>11.814543633129517</v>
      </c>
      <c r="Q106" s="96" t="str">
        <f t="shared" si="135"/>
        <v>E</v>
      </c>
      <c r="R106" s="8">
        <f t="shared" si="136"/>
        <v>9.7745235975542073</v>
      </c>
      <c r="S106" s="96" t="str">
        <f t="shared" si="137"/>
        <v>9</v>
      </c>
      <c r="T106" s="8">
        <f t="shared" si="138"/>
        <v>9.2942831706504876</v>
      </c>
      <c r="U106" s="96" t="str">
        <f t="shared" si="139"/>
        <v>9</v>
      </c>
      <c r="V106" s="8">
        <f t="shared" si="140"/>
        <v>3.5313980478058511</v>
      </c>
      <c r="W106" s="96" t="str">
        <f t="shared" si="141"/>
        <v>3</v>
      </c>
      <c r="X106" s="8">
        <f t="shared" si="142"/>
        <v>6.3767765736702131</v>
      </c>
      <c r="Y106" s="96" t="str">
        <f t="shared" si="143"/>
        <v>6</v>
      </c>
      <c r="Z106" s="8">
        <f t="shared" si="144"/>
        <v>4.5213188840425573</v>
      </c>
      <c r="AA106" s="96" t="str">
        <f t="shared" si="145"/>
        <v>4</v>
      </c>
      <c r="AB106" s="8">
        <f t="shared" si="146"/>
        <v>6.2558266085106879</v>
      </c>
      <c r="AC106" s="96" t="str">
        <f t="shared" si="147"/>
        <v>6</v>
      </c>
      <c r="AD106" s="8">
        <f t="shared" si="148"/>
        <v>3.0699193021282554</v>
      </c>
      <c r="AE106" s="96" t="str">
        <f t="shared" si="149"/>
        <v>3</v>
      </c>
      <c r="AF106" s="8">
        <f t="shared" si="150"/>
        <v>0.83903162553906441</v>
      </c>
      <c r="AG106" s="96" t="str">
        <f t="shared" si="151"/>
        <v/>
      </c>
      <c r="AH106" s="8">
        <f t="shared" si="152"/>
        <v>10.068379506468773</v>
      </c>
      <c r="AI106" s="96" t="str">
        <f t="shared" si="153"/>
        <v/>
      </c>
      <c r="AJ106" s="8">
        <f t="shared" si="154"/>
        <v>0.82055407762527466</v>
      </c>
      <c r="AK106" s="96" t="str">
        <f t="shared" si="155"/>
        <v/>
      </c>
    </row>
    <row r="107" spans="2:39" x14ac:dyDescent="0.2">
      <c r="B107" s="126" t="s">
        <v>617</v>
      </c>
      <c r="C107" s="9" t="s">
        <v>602</v>
      </c>
      <c r="D107" s="198">
        <v>0</v>
      </c>
      <c r="E107" s="8">
        <v>9</v>
      </c>
      <c r="F107" s="127">
        <f t="shared" si="156"/>
        <v>61.418113553974678</v>
      </c>
      <c r="G107" s="37" t="str">
        <f t="shared" si="157"/>
        <v>5;150260047</v>
      </c>
      <c r="H107" s="37"/>
      <c r="I107" s="285"/>
      <c r="J107" s="38">
        <v>1</v>
      </c>
      <c r="K107" s="128">
        <f t="shared" si="158"/>
        <v>5.1181761294978996</v>
      </c>
      <c r="L107" s="39" t="str">
        <f>INDEX(powers!$H$2:$H$75,33+J107)</f>
        <v>dozen</v>
      </c>
      <c r="M107" s="97" t="str">
        <f t="shared" si="131"/>
        <v>5</v>
      </c>
      <c r="N107" s="8">
        <f t="shared" si="132"/>
        <v>1.4181135539747949</v>
      </c>
      <c r="O107" s="96" t="str">
        <f t="shared" si="133"/>
        <v>1</v>
      </c>
      <c r="P107" s="8">
        <f t="shared" si="134"/>
        <v>5.0173626476975386</v>
      </c>
      <c r="Q107" s="96" t="str">
        <f t="shared" si="135"/>
        <v>5</v>
      </c>
      <c r="R107" s="8">
        <f t="shared" si="136"/>
        <v>0.2083517723704631</v>
      </c>
      <c r="S107" s="96" t="str">
        <f t="shared" si="137"/>
        <v>0</v>
      </c>
      <c r="T107" s="8">
        <f t="shared" si="138"/>
        <v>2.5002212684455571</v>
      </c>
      <c r="U107" s="96" t="str">
        <f t="shared" si="139"/>
        <v>2</v>
      </c>
      <c r="V107" s="8">
        <f t="shared" si="140"/>
        <v>6.0026552213466857</v>
      </c>
      <c r="W107" s="96" t="str">
        <f t="shared" si="141"/>
        <v>6</v>
      </c>
      <c r="X107" s="8">
        <f t="shared" si="142"/>
        <v>3.1862656160228653E-2</v>
      </c>
      <c r="Y107" s="96" t="str">
        <f t="shared" si="143"/>
        <v>0</v>
      </c>
      <c r="Z107" s="8">
        <f t="shared" si="144"/>
        <v>0.38235187392274383</v>
      </c>
      <c r="AA107" s="96" t="str">
        <f t="shared" si="145"/>
        <v>0</v>
      </c>
      <c r="AB107" s="8">
        <f t="shared" si="146"/>
        <v>4.588222487072926</v>
      </c>
      <c r="AC107" s="96" t="str">
        <f t="shared" si="147"/>
        <v>4</v>
      </c>
      <c r="AD107" s="8">
        <f t="shared" si="148"/>
        <v>7.0586698448751122</v>
      </c>
      <c r="AE107" s="96" t="str">
        <f t="shared" si="149"/>
        <v>7</v>
      </c>
      <c r="AF107" s="8">
        <f t="shared" si="150"/>
        <v>0.70403813850134611</v>
      </c>
      <c r="AG107" s="96" t="str">
        <f t="shared" si="151"/>
        <v/>
      </c>
      <c r="AH107" s="8">
        <f t="shared" si="152"/>
        <v>8.4484576620161533</v>
      </c>
      <c r="AI107" s="96" t="str">
        <f t="shared" si="153"/>
        <v/>
      </c>
      <c r="AJ107" s="8">
        <f t="shared" si="154"/>
        <v>5.38149194419384</v>
      </c>
      <c r="AK107" s="96" t="str">
        <f t="shared" si="155"/>
        <v/>
      </c>
      <c r="AL107" s="238">
        <f>5*12+1+5/12</f>
        <v>61.416666666666664</v>
      </c>
      <c r="AM107" s="238">
        <f t="shared" ref="AM107:AM109" si="159">-AL107*F$6*POWER(12,-12)+D107</f>
        <v>-74.358636568612681</v>
      </c>
    </row>
    <row r="108" spans="2:39" x14ac:dyDescent="0.2">
      <c r="B108" s="126" t="s">
        <v>626</v>
      </c>
      <c r="C108" s="9" t="s">
        <v>627</v>
      </c>
      <c r="D108" s="198">
        <v>8.8999999999999995E-5</v>
      </c>
      <c r="E108" s="8">
        <v>9</v>
      </c>
      <c r="F108" s="127">
        <f t="shared" si="156"/>
        <v>61.418187063705162</v>
      </c>
      <c r="G108" s="37" t="str">
        <f t="shared" si="157"/>
        <v>5;1502763X7</v>
      </c>
      <c r="H108" s="37"/>
      <c r="I108" s="285"/>
      <c r="J108" s="38">
        <v>1</v>
      </c>
      <c r="K108" s="128">
        <f t="shared" si="158"/>
        <v>5.1181822553087732</v>
      </c>
      <c r="L108" s="39" t="str">
        <f>INDEX(powers!$H$2:$H$75,33+J108)</f>
        <v>dozen</v>
      </c>
      <c r="M108" s="97" t="str">
        <f t="shared" si="131"/>
        <v>5</v>
      </c>
      <c r="N108" s="8">
        <f t="shared" si="132"/>
        <v>1.4181870637052789</v>
      </c>
      <c r="O108" s="96" t="str">
        <f t="shared" si="133"/>
        <v>1</v>
      </c>
      <c r="P108" s="8">
        <f t="shared" si="134"/>
        <v>5.018244764463347</v>
      </c>
      <c r="Q108" s="96" t="str">
        <f t="shared" si="135"/>
        <v>5</v>
      </c>
      <c r="R108" s="8">
        <f t="shared" si="136"/>
        <v>0.21893717356016396</v>
      </c>
      <c r="S108" s="96" t="str">
        <f t="shared" si="137"/>
        <v>0</v>
      </c>
      <c r="T108" s="8">
        <f t="shared" si="138"/>
        <v>2.6272460827219675</v>
      </c>
      <c r="U108" s="96" t="str">
        <f t="shared" si="139"/>
        <v>2</v>
      </c>
      <c r="V108" s="8">
        <f t="shared" si="140"/>
        <v>7.5269529926636096</v>
      </c>
      <c r="W108" s="96" t="str">
        <f t="shared" si="141"/>
        <v>7</v>
      </c>
      <c r="X108" s="8">
        <f t="shared" si="142"/>
        <v>6.3234359119633154</v>
      </c>
      <c r="Y108" s="96" t="str">
        <f t="shared" si="143"/>
        <v>6</v>
      </c>
      <c r="Z108" s="8">
        <f t="shared" si="144"/>
        <v>3.8812309435597854</v>
      </c>
      <c r="AA108" s="96" t="str">
        <f t="shared" si="145"/>
        <v>3</v>
      </c>
      <c r="AB108" s="8">
        <f t="shared" si="146"/>
        <v>10.574771322717424</v>
      </c>
      <c r="AC108" s="96" t="str">
        <f t="shared" si="147"/>
        <v>X</v>
      </c>
      <c r="AD108" s="8">
        <f t="shared" si="148"/>
        <v>6.8972558726090938</v>
      </c>
      <c r="AE108" s="96" t="str">
        <f t="shared" si="149"/>
        <v>7</v>
      </c>
      <c r="AF108" s="8">
        <f t="shared" si="150"/>
        <v>10.767070471309125</v>
      </c>
      <c r="AG108" s="96" t="str">
        <f t="shared" si="151"/>
        <v/>
      </c>
      <c r="AH108" s="8">
        <f t="shared" si="152"/>
        <v>9.2048456557095051</v>
      </c>
      <c r="AI108" s="96" t="str">
        <f t="shared" si="153"/>
        <v/>
      </c>
      <c r="AJ108" s="8">
        <f t="shared" si="154"/>
        <v>2.458147868514061</v>
      </c>
      <c r="AK108" s="96" t="str">
        <f t="shared" si="155"/>
        <v/>
      </c>
      <c r="AL108" s="238">
        <f>5*12+1+5/12</f>
        <v>61.416666666666664</v>
      </c>
      <c r="AM108" s="238">
        <f t="shared" si="159"/>
        <v>-74.358547568612678</v>
      </c>
    </row>
    <row r="109" spans="2:39" x14ac:dyDescent="0.2">
      <c r="B109" s="126" t="s">
        <v>618</v>
      </c>
      <c r="C109" s="9" t="s">
        <v>612</v>
      </c>
      <c r="D109" s="198">
        <v>0.01</v>
      </c>
      <c r="E109" s="8">
        <v>9</v>
      </c>
      <c r="F109" s="127">
        <f t="shared" si="156"/>
        <v>61.42637307425381</v>
      </c>
      <c r="G109" s="37" t="str">
        <f t="shared" si="157"/>
        <v>5;151493322</v>
      </c>
      <c r="H109" s="37"/>
      <c r="I109" s="285"/>
      <c r="J109" s="38">
        <v>1</v>
      </c>
      <c r="K109" s="128">
        <f t="shared" si="158"/>
        <v>5.1188644228544939</v>
      </c>
      <c r="L109" s="39" t="str">
        <f>INDEX(powers!$H$2:$H$75,33+J109)</f>
        <v>dozen</v>
      </c>
      <c r="M109" s="97" t="str">
        <f t="shared" si="131"/>
        <v>5</v>
      </c>
      <c r="N109" s="8">
        <f t="shared" si="132"/>
        <v>1.4263730742539273</v>
      </c>
      <c r="O109" s="96" t="str">
        <f t="shared" si="133"/>
        <v>1</v>
      </c>
      <c r="P109" s="8">
        <f t="shared" si="134"/>
        <v>5.1164768910471281</v>
      </c>
      <c r="Q109" s="96" t="str">
        <f t="shared" si="135"/>
        <v>5</v>
      </c>
      <c r="R109" s="8">
        <f t="shared" si="136"/>
        <v>1.3977226925655373</v>
      </c>
      <c r="S109" s="96" t="str">
        <f t="shared" si="137"/>
        <v>1</v>
      </c>
      <c r="T109" s="8">
        <f t="shared" si="138"/>
        <v>4.7726723107864473</v>
      </c>
      <c r="U109" s="96" t="str">
        <f t="shared" si="139"/>
        <v>4</v>
      </c>
      <c r="V109" s="8">
        <f t="shared" si="140"/>
        <v>9.2720677294373672</v>
      </c>
      <c r="W109" s="96" t="str">
        <f t="shared" si="141"/>
        <v>9</v>
      </c>
      <c r="X109" s="8">
        <f t="shared" si="142"/>
        <v>3.2648127532484068</v>
      </c>
      <c r="Y109" s="96" t="str">
        <f t="shared" si="143"/>
        <v>3</v>
      </c>
      <c r="Z109" s="8">
        <f t="shared" si="144"/>
        <v>3.1777530389808817</v>
      </c>
      <c r="AA109" s="96" t="str">
        <f t="shared" si="145"/>
        <v>3</v>
      </c>
      <c r="AB109" s="8">
        <f t="shared" si="146"/>
        <v>2.1330364677705802</v>
      </c>
      <c r="AC109" s="96" t="str">
        <f t="shared" si="147"/>
        <v>2</v>
      </c>
      <c r="AD109" s="8">
        <f t="shared" si="148"/>
        <v>1.5964376132469624</v>
      </c>
      <c r="AE109" s="96" t="str">
        <f t="shared" si="149"/>
        <v>2</v>
      </c>
      <c r="AF109" s="8">
        <f t="shared" si="150"/>
        <v>7.1572513589635491</v>
      </c>
      <c r="AG109" s="96" t="str">
        <f t="shared" si="151"/>
        <v/>
      </c>
      <c r="AH109" s="8">
        <f t="shared" si="152"/>
        <v>1.8870163075625896</v>
      </c>
      <c r="AI109" s="96" t="str">
        <f t="shared" si="153"/>
        <v/>
      </c>
      <c r="AJ109" s="8">
        <f t="shared" si="154"/>
        <v>10.644195690751076</v>
      </c>
      <c r="AK109" s="96" t="str">
        <f t="shared" si="155"/>
        <v/>
      </c>
      <c r="AL109" s="238">
        <f>5*12+1+5/12</f>
        <v>61.416666666666664</v>
      </c>
      <c r="AM109" s="238">
        <f t="shared" si="159"/>
        <v>-74.348636568612676</v>
      </c>
    </row>
    <row r="110" spans="2:39" x14ac:dyDescent="0.2">
      <c r="B110" s="126" t="s">
        <v>620</v>
      </c>
      <c r="C110" s="9" t="s">
        <v>603</v>
      </c>
      <c r="D110" s="198">
        <v>3.98</v>
      </c>
      <c r="E110" s="8">
        <v>9</v>
      </c>
      <c r="F110" s="127">
        <f t="shared" si="156"/>
        <v>64.705402625067094</v>
      </c>
      <c r="G110" s="37" t="str">
        <f t="shared" si="157"/>
        <v>5;4856E28E5</v>
      </c>
      <c r="H110" s="37"/>
      <c r="I110" s="285"/>
      <c r="J110" s="38">
        <v>1</v>
      </c>
      <c r="K110" s="128">
        <f t="shared" si="158"/>
        <v>5.3921168854222676</v>
      </c>
      <c r="L110" s="39" t="str">
        <f>INDEX(powers!$H$2:$H$75,33+J110)</f>
        <v>dozen</v>
      </c>
      <c r="M110" s="97" t="str">
        <f t="shared" si="131"/>
        <v>5</v>
      </c>
      <c r="N110" s="8">
        <f t="shared" si="132"/>
        <v>4.7054026250672116</v>
      </c>
      <c r="O110" s="96" t="str">
        <f t="shared" si="133"/>
        <v>4</v>
      </c>
      <c r="P110" s="8">
        <f t="shared" si="134"/>
        <v>8.4648315008065396</v>
      </c>
      <c r="Q110" s="96" t="str">
        <f t="shared" si="135"/>
        <v>8</v>
      </c>
      <c r="R110" s="8">
        <f t="shared" si="136"/>
        <v>5.5779780096784748</v>
      </c>
      <c r="S110" s="96" t="str">
        <f t="shared" si="137"/>
        <v>5</v>
      </c>
      <c r="T110" s="8">
        <f t="shared" si="138"/>
        <v>6.9357361161416975</v>
      </c>
      <c r="U110" s="96" t="str">
        <f t="shared" si="139"/>
        <v>6</v>
      </c>
      <c r="V110" s="8">
        <f t="shared" si="140"/>
        <v>11.22883339370037</v>
      </c>
      <c r="W110" s="96" t="str">
        <f t="shared" si="141"/>
        <v>E</v>
      </c>
      <c r="X110" s="8">
        <f t="shared" si="142"/>
        <v>2.7460007244044391</v>
      </c>
      <c r="Y110" s="96" t="str">
        <f t="shared" si="143"/>
        <v>2</v>
      </c>
      <c r="Z110" s="8">
        <f t="shared" si="144"/>
        <v>8.9520086928532692</v>
      </c>
      <c r="AA110" s="96" t="str">
        <f t="shared" si="145"/>
        <v>8</v>
      </c>
      <c r="AB110" s="8">
        <f t="shared" si="146"/>
        <v>11.42410431423923</v>
      </c>
      <c r="AC110" s="96" t="str">
        <f t="shared" si="147"/>
        <v>E</v>
      </c>
      <c r="AD110" s="8">
        <f t="shared" si="148"/>
        <v>5.0892517708707601</v>
      </c>
      <c r="AE110" s="96" t="str">
        <f t="shared" si="149"/>
        <v>5</v>
      </c>
      <c r="AF110" s="8">
        <f t="shared" si="150"/>
        <v>1.071021250449121</v>
      </c>
      <c r="AG110" s="96" t="str">
        <f t="shared" si="151"/>
        <v/>
      </c>
      <c r="AH110" s="8">
        <f t="shared" si="152"/>
        <v>0.85225500538945198</v>
      </c>
      <c r="AI110" s="96" t="str">
        <f t="shared" si="153"/>
        <v/>
      </c>
      <c r="AJ110" s="8">
        <f t="shared" si="154"/>
        <v>10.227060064673424</v>
      </c>
      <c r="AK110" s="96" t="str">
        <f t="shared" si="155"/>
        <v/>
      </c>
    </row>
    <row r="111" spans="2:39" x14ac:dyDescent="0.2">
      <c r="B111" s="126"/>
      <c r="C111" s="9" t="s">
        <v>604</v>
      </c>
      <c r="D111" s="198">
        <v>14</v>
      </c>
      <c r="E111" s="8">
        <v>9</v>
      </c>
      <c r="F111" s="127">
        <f t="shared" si="156"/>
        <v>72.981441944752021</v>
      </c>
      <c r="G111" s="37" t="str">
        <f t="shared" si="157"/>
        <v>6;0E93E21E4</v>
      </c>
      <c r="H111" s="37"/>
      <c r="I111" s="285"/>
      <c r="J111" s="38">
        <v>1</v>
      </c>
      <c r="K111" s="128">
        <f t="shared" si="158"/>
        <v>6.0817868287293448</v>
      </c>
      <c r="L111" s="39" t="str">
        <f>INDEX(powers!$H$2:$H$75,33+J111)</f>
        <v>dozen</v>
      </c>
      <c r="M111" s="97" t="str">
        <f t="shared" si="131"/>
        <v>6</v>
      </c>
      <c r="N111" s="8">
        <f t="shared" si="132"/>
        <v>0.98144194475213808</v>
      </c>
      <c r="O111" s="96" t="str">
        <f t="shared" si="133"/>
        <v>0</v>
      </c>
      <c r="P111" s="8">
        <f t="shared" si="134"/>
        <v>11.777303337025657</v>
      </c>
      <c r="Q111" s="96" t="str">
        <f t="shared" si="135"/>
        <v>E</v>
      </c>
      <c r="R111" s="8">
        <f t="shared" si="136"/>
        <v>9.3276400443078842</v>
      </c>
      <c r="S111" s="96" t="str">
        <f t="shared" si="137"/>
        <v>9</v>
      </c>
      <c r="T111" s="8">
        <f t="shared" si="138"/>
        <v>3.9316805316946102</v>
      </c>
      <c r="U111" s="96" t="str">
        <f t="shared" si="139"/>
        <v>3</v>
      </c>
      <c r="V111" s="8">
        <f t="shared" si="140"/>
        <v>11.180166380335322</v>
      </c>
      <c r="W111" s="96" t="str">
        <f t="shared" si="141"/>
        <v>E</v>
      </c>
      <c r="X111" s="8">
        <f t="shared" si="142"/>
        <v>2.1619965640238661</v>
      </c>
      <c r="Y111" s="96" t="str">
        <f t="shared" si="143"/>
        <v>2</v>
      </c>
      <c r="Z111" s="8">
        <f t="shared" si="144"/>
        <v>1.943958768286393</v>
      </c>
      <c r="AA111" s="96" t="str">
        <f t="shared" si="145"/>
        <v>1</v>
      </c>
      <c r="AB111" s="8">
        <f t="shared" si="146"/>
        <v>11.327505219436716</v>
      </c>
      <c r="AC111" s="96" t="str">
        <f t="shared" si="147"/>
        <v>E</v>
      </c>
      <c r="AD111" s="8">
        <f t="shared" si="148"/>
        <v>3.9300626332405955</v>
      </c>
      <c r="AE111" s="96" t="str">
        <f t="shared" si="149"/>
        <v>4</v>
      </c>
      <c r="AF111" s="8">
        <f t="shared" si="150"/>
        <v>11.160751598887146</v>
      </c>
      <c r="AG111" s="96" t="str">
        <f t="shared" si="151"/>
        <v/>
      </c>
      <c r="AH111" s="8">
        <f t="shared" si="152"/>
        <v>1.9290191866457462</v>
      </c>
      <c r="AI111" s="96" t="str">
        <f t="shared" si="153"/>
        <v/>
      </c>
      <c r="AJ111" s="8">
        <f t="shared" si="154"/>
        <v>11.148230239748955</v>
      </c>
      <c r="AK111" s="96" t="str">
        <f t="shared" si="155"/>
        <v/>
      </c>
    </row>
    <row r="112" spans="2:39" x14ac:dyDescent="0.2">
      <c r="B112" s="126"/>
      <c r="C112" s="9" t="s">
        <v>624</v>
      </c>
      <c r="D112" s="198">
        <v>15</v>
      </c>
      <c r="E112" s="8">
        <v>9</v>
      </c>
      <c r="F112" s="127">
        <f t="shared" si="156"/>
        <v>73.807393972664684</v>
      </c>
      <c r="G112" s="37" t="str">
        <f t="shared" si="157"/>
        <v>6;19832155X</v>
      </c>
      <c r="H112" s="37"/>
      <c r="I112" s="285"/>
      <c r="J112" s="38">
        <v>1</v>
      </c>
      <c r="K112" s="128">
        <f t="shared" si="158"/>
        <v>6.1506161643887332</v>
      </c>
      <c r="L112" s="39" t="str">
        <f>INDEX(powers!$H$2:$H$75,33+J112)</f>
        <v>dozen</v>
      </c>
      <c r="M112" s="97" t="str">
        <f t="shared" si="131"/>
        <v>6</v>
      </c>
      <c r="N112" s="8">
        <f t="shared" si="132"/>
        <v>1.8073939726647978</v>
      </c>
      <c r="O112" s="96" t="str">
        <f t="shared" si="133"/>
        <v>1</v>
      </c>
      <c r="P112" s="8">
        <f t="shared" si="134"/>
        <v>9.6887276719775741</v>
      </c>
      <c r="Q112" s="96" t="str">
        <f t="shared" si="135"/>
        <v>9</v>
      </c>
      <c r="R112" s="8">
        <f t="shared" si="136"/>
        <v>8.2647320637308894</v>
      </c>
      <c r="S112" s="96" t="str">
        <f t="shared" si="137"/>
        <v>8</v>
      </c>
      <c r="T112" s="8">
        <f t="shared" si="138"/>
        <v>3.1767847647706731</v>
      </c>
      <c r="U112" s="96" t="str">
        <f t="shared" si="139"/>
        <v>3</v>
      </c>
      <c r="V112" s="8">
        <f t="shared" si="140"/>
        <v>2.1214171772480768</v>
      </c>
      <c r="W112" s="96" t="str">
        <f t="shared" si="141"/>
        <v>2</v>
      </c>
      <c r="X112" s="8">
        <f t="shared" si="142"/>
        <v>1.4570061269769212</v>
      </c>
      <c r="Y112" s="96" t="str">
        <f t="shared" si="143"/>
        <v>1</v>
      </c>
      <c r="Z112" s="8">
        <f t="shared" si="144"/>
        <v>5.4840735237230547</v>
      </c>
      <c r="AA112" s="96" t="str">
        <f t="shared" si="145"/>
        <v>5</v>
      </c>
      <c r="AB112" s="8">
        <f t="shared" si="146"/>
        <v>5.8088822846766561</v>
      </c>
      <c r="AC112" s="96" t="str">
        <f t="shared" si="147"/>
        <v>5</v>
      </c>
      <c r="AD112" s="8">
        <f t="shared" si="148"/>
        <v>9.7065874161198735</v>
      </c>
      <c r="AE112" s="96" t="str">
        <f t="shared" si="149"/>
        <v>X</v>
      </c>
      <c r="AF112" s="8">
        <f t="shared" si="150"/>
        <v>8.4790489934384823</v>
      </c>
      <c r="AG112" s="96" t="str">
        <f t="shared" si="151"/>
        <v/>
      </c>
      <c r="AH112" s="8">
        <f t="shared" si="152"/>
        <v>5.7485879212617874</v>
      </c>
      <c r="AI112" s="96" t="str">
        <f t="shared" si="153"/>
        <v/>
      </c>
      <c r="AJ112" s="8">
        <f t="shared" si="154"/>
        <v>8.983055055141449</v>
      </c>
      <c r="AK112" s="96" t="str">
        <f t="shared" si="155"/>
        <v/>
      </c>
      <c r="AL112" s="238">
        <f>6*12+1+9/12+8/144+3/1728</f>
        <v>73.807291666666671</v>
      </c>
      <c r="AM112" s="238">
        <f>-AL112*F$6*POWER(12,-12)+D112</f>
        <v>-74.360264485567384</v>
      </c>
    </row>
    <row r="113" spans="2:39" x14ac:dyDescent="0.2">
      <c r="B113" s="126"/>
      <c r="C113" s="9" t="s">
        <v>605</v>
      </c>
      <c r="D113" s="198">
        <v>20</v>
      </c>
      <c r="E113" s="8">
        <v>9</v>
      </c>
      <c r="F113" s="127">
        <f t="shared" si="156"/>
        <v>77.937154112228029</v>
      </c>
      <c r="G113" s="37" t="str">
        <f t="shared" si="157"/>
        <v>6;5E2E49E23</v>
      </c>
      <c r="H113" s="37"/>
      <c r="I113" s="285"/>
      <c r="J113" s="38">
        <v>1</v>
      </c>
      <c r="K113" s="128">
        <f t="shared" si="158"/>
        <v>6.4947628426856792</v>
      </c>
      <c r="L113" s="39" t="str">
        <f>INDEX(powers!$H$2:$H$75,33+J113)</f>
        <v>dozen</v>
      </c>
      <c r="M113" s="97" t="str">
        <f t="shared" si="131"/>
        <v>6</v>
      </c>
      <c r="N113" s="8">
        <f t="shared" si="132"/>
        <v>5.9371541122281499</v>
      </c>
      <c r="O113" s="96" t="str">
        <f t="shared" si="133"/>
        <v>5</v>
      </c>
      <c r="P113" s="8">
        <f t="shared" si="134"/>
        <v>11.245849346737799</v>
      </c>
      <c r="Q113" s="96" t="str">
        <f t="shared" si="135"/>
        <v>E</v>
      </c>
      <c r="R113" s="8">
        <f t="shared" si="136"/>
        <v>2.9501921608535895</v>
      </c>
      <c r="S113" s="96" t="str">
        <f t="shared" si="137"/>
        <v>2</v>
      </c>
      <c r="T113" s="8">
        <f t="shared" si="138"/>
        <v>11.402305930243074</v>
      </c>
      <c r="U113" s="96" t="str">
        <f t="shared" si="139"/>
        <v>E</v>
      </c>
      <c r="V113" s="8">
        <f t="shared" si="140"/>
        <v>4.8276711629168858</v>
      </c>
      <c r="W113" s="96" t="str">
        <f t="shared" si="141"/>
        <v>4</v>
      </c>
      <c r="X113" s="8">
        <f t="shared" si="142"/>
        <v>9.9320539550026297</v>
      </c>
      <c r="Y113" s="96" t="str">
        <f t="shared" si="143"/>
        <v>9</v>
      </c>
      <c r="Z113" s="8">
        <f t="shared" si="144"/>
        <v>11.184647460031556</v>
      </c>
      <c r="AA113" s="96" t="str">
        <f t="shared" si="145"/>
        <v>E</v>
      </c>
      <c r="AB113" s="8">
        <f t="shared" si="146"/>
        <v>2.2157695203786716</v>
      </c>
      <c r="AC113" s="96" t="str">
        <f t="shared" si="147"/>
        <v>2</v>
      </c>
      <c r="AD113" s="8">
        <f t="shared" si="148"/>
        <v>2.589234244544059</v>
      </c>
      <c r="AE113" s="96" t="str">
        <f t="shared" si="149"/>
        <v>3</v>
      </c>
      <c r="AF113" s="8">
        <f t="shared" si="150"/>
        <v>7.0708109345287085</v>
      </c>
      <c r="AG113" s="96" t="str">
        <f t="shared" si="151"/>
        <v/>
      </c>
      <c r="AH113" s="8">
        <f t="shared" si="152"/>
        <v>0.8497312143445015</v>
      </c>
      <c r="AI113" s="96" t="str">
        <f t="shared" si="153"/>
        <v/>
      </c>
      <c r="AJ113" s="8">
        <f t="shared" si="154"/>
        <v>10.196774572134018</v>
      </c>
      <c r="AK113" s="96" t="str">
        <f t="shared" si="155"/>
        <v/>
      </c>
    </row>
    <row r="114" spans="2:39" x14ac:dyDescent="0.2">
      <c r="B114" s="126"/>
      <c r="C114" s="9" t="s">
        <v>625</v>
      </c>
      <c r="D114" s="198">
        <v>25.5</v>
      </c>
      <c r="E114" s="8">
        <v>9</v>
      </c>
      <c r="F114" s="127">
        <f t="shared" si="156"/>
        <v>82.479890265747699</v>
      </c>
      <c r="G114" s="37" t="str">
        <f t="shared" si="157"/>
        <v>6;X5913007X</v>
      </c>
      <c r="H114" s="37"/>
      <c r="I114" s="285"/>
      <c r="J114" s="38">
        <v>1</v>
      </c>
      <c r="K114" s="128">
        <f t="shared" si="158"/>
        <v>6.873324188812318</v>
      </c>
      <c r="L114" s="39" t="str">
        <f>INDEX(powers!$H$2:$H$75,33+J114)</f>
        <v>dozen</v>
      </c>
      <c r="M114" s="97" t="str">
        <f t="shared" si="131"/>
        <v>6</v>
      </c>
      <c r="N114" s="8">
        <f t="shared" si="132"/>
        <v>10.479890265747816</v>
      </c>
      <c r="O114" s="96" t="str">
        <f t="shared" si="133"/>
        <v>X</v>
      </c>
      <c r="P114" s="8">
        <f t="shared" si="134"/>
        <v>5.7586831889737908</v>
      </c>
      <c r="Q114" s="96" t="str">
        <f t="shared" si="135"/>
        <v>5</v>
      </c>
      <c r="R114" s="8">
        <f t="shared" si="136"/>
        <v>9.10419826768549</v>
      </c>
      <c r="S114" s="96" t="str">
        <f t="shared" si="137"/>
        <v>9</v>
      </c>
      <c r="T114" s="8">
        <f t="shared" si="138"/>
        <v>1.2503792122258801</v>
      </c>
      <c r="U114" s="96" t="str">
        <f t="shared" si="139"/>
        <v>1</v>
      </c>
      <c r="V114" s="8">
        <f t="shared" si="140"/>
        <v>3.0045505467105613</v>
      </c>
      <c r="W114" s="96" t="str">
        <f t="shared" si="141"/>
        <v>3</v>
      </c>
      <c r="X114" s="8">
        <f t="shared" si="142"/>
        <v>5.4606560526735848E-2</v>
      </c>
      <c r="Y114" s="96" t="str">
        <f t="shared" si="143"/>
        <v>0</v>
      </c>
      <c r="Z114" s="8">
        <f t="shared" si="144"/>
        <v>0.65527872632083017</v>
      </c>
      <c r="AA114" s="96" t="str">
        <f t="shared" si="145"/>
        <v>0</v>
      </c>
      <c r="AB114" s="8">
        <f t="shared" si="146"/>
        <v>7.8633447158499621</v>
      </c>
      <c r="AC114" s="96" t="str">
        <f t="shared" si="147"/>
        <v>7</v>
      </c>
      <c r="AD114" s="8">
        <f t="shared" si="148"/>
        <v>10.360136590199545</v>
      </c>
      <c r="AE114" s="96" t="str">
        <f t="shared" si="149"/>
        <v>X</v>
      </c>
      <c r="AF114" s="8">
        <f t="shared" si="150"/>
        <v>4.3216390823945403</v>
      </c>
      <c r="AG114" s="96" t="str">
        <f t="shared" si="151"/>
        <v/>
      </c>
      <c r="AH114" s="8">
        <f t="shared" si="152"/>
        <v>3.8596689887344837</v>
      </c>
      <c r="AI114" s="96" t="str">
        <f t="shared" si="153"/>
        <v/>
      </c>
      <c r="AJ114" s="8">
        <f t="shared" si="154"/>
        <v>10.316027864813805</v>
      </c>
      <c r="AK114" s="96" t="str">
        <f t="shared" si="155"/>
        <v/>
      </c>
      <c r="AL114" s="238">
        <f>6*12+10+6/12</f>
        <v>82.5</v>
      </c>
      <c r="AM114" s="238">
        <f>-AL114*F$6*POWER(12,-12)+D114</f>
        <v>-74.384735689181227</v>
      </c>
    </row>
    <row r="115" spans="2:39" x14ac:dyDescent="0.2">
      <c r="B115" s="91"/>
      <c r="C115" s="9" t="s">
        <v>606</v>
      </c>
      <c r="D115" s="198">
        <v>37</v>
      </c>
      <c r="E115" s="8">
        <v>9</v>
      </c>
      <c r="F115" s="127">
        <f t="shared" si="156"/>
        <v>91.978338586743376</v>
      </c>
      <c r="G115" s="37" t="str">
        <f t="shared" si="157"/>
        <v>7;7E8X69E45</v>
      </c>
      <c r="H115" s="37"/>
      <c r="I115" s="285"/>
      <c r="J115" s="38">
        <v>1</v>
      </c>
      <c r="K115" s="128">
        <f t="shared" si="158"/>
        <v>7.6648615488952911</v>
      </c>
      <c r="L115" s="39" t="str">
        <f>INDEX(powers!$H$2:$H$75,33+J115)</f>
        <v>dozen</v>
      </c>
      <c r="M115" s="97" t="str">
        <f t="shared" si="131"/>
        <v>7</v>
      </c>
      <c r="N115" s="8">
        <f t="shared" si="132"/>
        <v>7.9783385867434937</v>
      </c>
      <c r="O115" s="96" t="str">
        <f t="shared" si="133"/>
        <v>7</v>
      </c>
      <c r="P115" s="8">
        <f t="shared" si="134"/>
        <v>11.740063040921925</v>
      </c>
      <c r="Q115" s="96" t="str">
        <f t="shared" si="135"/>
        <v>E</v>
      </c>
      <c r="R115" s="8">
        <f t="shared" si="136"/>
        <v>8.8807564910630958</v>
      </c>
      <c r="S115" s="96" t="str">
        <f t="shared" si="137"/>
        <v>8</v>
      </c>
      <c r="T115" s="8">
        <f t="shared" si="138"/>
        <v>10.56907789275715</v>
      </c>
      <c r="U115" s="96" t="str">
        <f t="shared" si="139"/>
        <v>X</v>
      </c>
      <c r="V115" s="8">
        <f t="shared" si="140"/>
        <v>6.8289347130858005</v>
      </c>
      <c r="W115" s="96" t="str">
        <f t="shared" si="141"/>
        <v>6</v>
      </c>
      <c r="X115" s="8">
        <f t="shared" si="142"/>
        <v>9.9472165570296056</v>
      </c>
      <c r="Y115" s="96" t="str">
        <f t="shared" si="143"/>
        <v>9</v>
      </c>
      <c r="Z115" s="8">
        <f t="shared" si="144"/>
        <v>11.366598684355267</v>
      </c>
      <c r="AA115" s="96" t="str">
        <f t="shared" si="145"/>
        <v>E</v>
      </c>
      <c r="AB115" s="8">
        <f t="shared" si="146"/>
        <v>4.3991842122632079</v>
      </c>
      <c r="AC115" s="96" t="str">
        <f t="shared" si="147"/>
        <v>4</v>
      </c>
      <c r="AD115" s="8">
        <f t="shared" si="148"/>
        <v>4.7902105471584946</v>
      </c>
      <c r="AE115" s="96" t="str">
        <f t="shared" si="149"/>
        <v>5</v>
      </c>
      <c r="AF115" s="8">
        <f t="shared" si="150"/>
        <v>9.4825265659019351</v>
      </c>
      <c r="AG115" s="96" t="str">
        <f t="shared" si="151"/>
        <v/>
      </c>
      <c r="AH115" s="8">
        <f t="shared" si="152"/>
        <v>5.7903187908232212</v>
      </c>
      <c r="AI115" s="96" t="str">
        <f t="shared" si="153"/>
        <v/>
      </c>
      <c r="AJ115" s="8">
        <f t="shared" si="154"/>
        <v>9.4838254898786545</v>
      </c>
      <c r="AK115" s="96" t="str">
        <f t="shared" si="155"/>
        <v/>
      </c>
    </row>
    <row r="116" spans="2:39" x14ac:dyDescent="0.2">
      <c r="B116" s="126"/>
      <c r="C116" s="9" t="s">
        <v>607</v>
      </c>
      <c r="D116" s="198">
        <v>37.799999999999997</v>
      </c>
      <c r="E116" s="8">
        <v>9</v>
      </c>
      <c r="F116" s="127">
        <f t="shared" si="156"/>
        <v>92.639100209073504</v>
      </c>
      <c r="G116" s="37" t="str">
        <f t="shared" si="157"/>
        <v>7;8780446E</v>
      </c>
      <c r="H116" s="37"/>
      <c r="I116" s="285"/>
      <c r="J116" s="38">
        <v>1</v>
      </c>
      <c r="K116" s="128">
        <f t="shared" si="158"/>
        <v>7.7199250174228018</v>
      </c>
      <c r="L116" s="39" t="str">
        <f>INDEX(powers!$H$2:$H$75,33+J116)</f>
        <v>dozen</v>
      </c>
      <c r="M116" s="97" t="str">
        <f t="shared" si="131"/>
        <v>7</v>
      </c>
      <c r="N116" s="8">
        <f t="shared" si="132"/>
        <v>8.6391002090736215</v>
      </c>
      <c r="O116" s="96" t="str">
        <f t="shared" si="133"/>
        <v>8</v>
      </c>
      <c r="P116" s="8">
        <f t="shared" si="134"/>
        <v>7.6692025088834583</v>
      </c>
      <c r="Q116" s="96" t="str">
        <f t="shared" si="135"/>
        <v>7</v>
      </c>
      <c r="R116" s="8">
        <f t="shared" si="136"/>
        <v>8.0304301066015</v>
      </c>
      <c r="S116" s="96" t="str">
        <f t="shared" si="137"/>
        <v>8</v>
      </c>
      <c r="T116" s="8">
        <f t="shared" si="138"/>
        <v>0.36516127921800035</v>
      </c>
      <c r="U116" s="96" t="str">
        <f t="shared" si="139"/>
        <v>0</v>
      </c>
      <c r="V116" s="8">
        <f t="shared" si="140"/>
        <v>4.3819353506160041</v>
      </c>
      <c r="W116" s="96" t="str">
        <f t="shared" si="141"/>
        <v>4</v>
      </c>
      <c r="X116" s="8">
        <f t="shared" si="142"/>
        <v>4.5832242073920497</v>
      </c>
      <c r="Y116" s="96" t="str">
        <f t="shared" si="143"/>
        <v>4</v>
      </c>
      <c r="Z116" s="8">
        <f t="shared" si="144"/>
        <v>6.9986904887045966</v>
      </c>
      <c r="AA116" s="96" t="str">
        <f t="shared" si="145"/>
        <v>6</v>
      </c>
      <c r="AB116" s="8">
        <f t="shared" si="146"/>
        <v>11.98428586445516</v>
      </c>
      <c r="AC116" s="96" t="str">
        <f t="shared" si="147"/>
        <v>E</v>
      </c>
      <c r="AD116" s="8">
        <f t="shared" si="148"/>
        <v>11.811430373461917</v>
      </c>
      <c r="AE116" s="96" t="str">
        <f t="shared" si="149"/>
        <v/>
      </c>
      <c r="AF116" s="8">
        <f t="shared" si="150"/>
        <v>9.7371644815430045</v>
      </c>
      <c r="AG116" s="96" t="str">
        <f t="shared" si="151"/>
        <v/>
      </c>
      <c r="AH116" s="8">
        <f t="shared" si="152"/>
        <v>8.8459737785160542</v>
      </c>
      <c r="AI116" s="96" t="str">
        <f t="shared" si="153"/>
        <v/>
      </c>
      <c r="AJ116" s="8">
        <f t="shared" si="154"/>
        <v>10.15168534219265</v>
      </c>
      <c r="AK116" s="96" t="str">
        <f t="shared" si="155"/>
        <v/>
      </c>
    </row>
    <row r="117" spans="2:39" x14ac:dyDescent="0.2">
      <c r="B117" s="126" t="s">
        <v>619</v>
      </c>
      <c r="C117" s="9" t="s">
        <v>608</v>
      </c>
      <c r="D117" s="198">
        <v>58.8</v>
      </c>
      <c r="E117" s="8">
        <v>9</v>
      </c>
      <c r="F117" s="127">
        <f t="shared" si="156"/>
        <v>109.98409279523949</v>
      </c>
      <c r="G117" s="37" t="str">
        <f t="shared" si="157"/>
        <v>9;1E9861941</v>
      </c>
      <c r="H117" s="37"/>
      <c r="I117" s="285"/>
      <c r="J117" s="38">
        <v>1</v>
      </c>
      <c r="K117" s="128">
        <f t="shared" si="158"/>
        <v>9.1653410662699688</v>
      </c>
      <c r="L117" s="39" t="str">
        <f>INDEX(powers!$H$2:$H$75,33+J117)</f>
        <v>dozen</v>
      </c>
      <c r="M117" s="97" t="str">
        <f t="shared" si="131"/>
        <v>9</v>
      </c>
      <c r="N117" s="8">
        <f t="shared" si="132"/>
        <v>1.9840927952396257</v>
      </c>
      <c r="O117" s="96" t="str">
        <f t="shared" si="133"/>
        <v>1</v>
      </c>
      <c r="P117" s="8">
        <f t="shared" si="134"/>
        <v>11.809113542875508</v>
      </c>
      <c r="Q117" s="96" t="str">
        <f t="shared" si="135"/>
        <v>E</v>
      </c>
      <c r="R117" s="8">
        <f t="shared" si="136"/>
        <v>9.7093625145060969</v>
      </c>
      <c r="S117" s="96" t="str">
        <f t="shared" si="137"/>
        <v>9</v>
      </c>
      <c r="T117" s="8">
        <f t="shared" si="138"/>
        <v>8.5123501740731626</v>
      </c>
      <c r="U117" s="96" t="str">
        <f t="shared" si="139"/>
        <v>8</v>
      </c>
      <c r="V117" s="8">
        <f t="shared" si="140"/>
        <v>6.1482020888779516</v>
      </c>
      <c r="W117" s="96" t="str">
        <f t="shared" si="141"/>
        <v>6</v>
      </c>
      <c r="X117" s="8">
        <f t="shared" si="142"/>
        <v>1.7784250665354193</v>
      </c>
      <c r="Y117" s="96" t="str">
        <f t="shared" si="143"/>
        <v>1</v>
      </c>
      <c r="Z117" s="8">
        <f t="shared" si="144"/>
        <v>9.3411007984250318</v>
      </c>
      <c r="AA117" s="96" t="str">
        <f t="shared" si="145"/>
        <v>9</v>
      </c>
      <c r="AB117" s="8">
        <f t="shared" si="146"/>
        <v>4.0932095811003819</v>
      </c>
      <c r="AC117" s="96" t="str">
        <f t="shared" si="147"/>
        <v>4</v>
      </c>
      <c r="AD117" s="8">
        <f t="shared" si="148"/>
        <v>1.1185149732045829</v>
      </c>
      <c r="AE117" s="96" t="str">
        <f t="shared" si="149"/>
        <v>1</v>
      </c>
      <c r="AF117" s="8">
        <f t="shared" si="150"/>
        <v>1.4221796784549952</v>
      </c>
      <c r="AG117" s="96" t="str">
        <f t="shared" si="151"/>
        <v/>
      </c>
      <c r="AH117" s="8">
        <f t="shared" si="152"/>
        <v>5.0661561414599419</v>
      </c>
      <c r="AI117" s="96" t="str">
        <f t="shared" si="153"/>
        <v/>
      </c>
      <c r="AJ117" s="8">
        <f t="shared" si="154"/>
        <v>0.79387369751930237</v>
      </c>
      <c r="AK117" s="96" t="str">
        <f t="shared" si="155"/>
        <v/>
      </c>
    </row>
    <row r="118" spans="2:39" x14ac:dyDescent="0.2">
      <c r="B118" s="126"/>
      <c r="C118" s="9" t="s">
        <v>609</v>
      </c>
      <c r="D118" s="198">
        <v>60</v>
      </c>
      <c r="E118" s="8">
        <v>9</v>
      </c>
      <c r="F118" s="127">
        <f t="shared" si="156"/>
        <v>110.97523522873472</v>
      </c>
      <c r="G118" s="37" t="str">
        <f t="shared" si="157"/>
        <v>9;2E8525896</v>
      </c>
      <c r="H118" s="37"/>
      <c r="I118" s="285"/>
      <c r="J118" s="38">
        <v>1</v>
      </c>
      <c r="K118" s="128">
        <f t="shared" si="158"/>
        <v>9.2479362690612366</v>
      </c>
      <c r="L118" s="39" t="str">
        <f>INDEX(powers!$H$2:$H$75,33+J118)</f>
        <v>dozen</v>
      </c>
      <c r="M118" s="97" t="str">
        <f t="shared" si="131"/>
        <v>9</v>
      </c>
      <c r="N118" s="8">
        <f t="shared" si="132"/>
        <v>2.9752352287348387</v>
      </c>
      <c r="O118" s="96" t="str">
        <f t="shared" si="133"/>
        <v>2</v>
      </c>
      <c r="P118" s="8">
        <f t="shared" si="134"/>
        <v>11.702822744818064</v>
      </c>
      <c r="Q118" s="96" t="str">
        <f t="shared" si="135"/>
        <v>E</v>
      </c>
      <c r="R118" s="8">
        <f t="shared" si="136"/>
        <v>8.4338729378167727</v>
      </c>
      <c r="S118" s="96" t="str">
        <f t="shared" si="137"/>
        <v>8</v>
      </c>
      <c r="T118" s="8">
        <f t="shared" si="138"/>
        <v>5.2064752538012726</v>
      </c>
      <c r="U118" s="96" t="str">
        <f t="shared" si="139"/>
        <v>5</v>
      </c>
      <c r="V118" s="8">
        <f t="shared" si="140"/>
        <v>2.4777030456152715</v>
      </c>
      <c r="W118" s="96" t="str">
        <f t="shared" si="141"/>
        <v>2</v>
      </c>
      <c r="X118" s="8">
        <f t="shared" si="142"/>
        <v>5.7324365473832586</v>
      </c>
      <c r="Y118" s="96" t="str">
        <f t="shared" si="143"/>
        <v>5</v>
      </c>
      <c r="Z118" s="8">
        <f t="shared" si="144"/>
        <v>8.789238568599103</v>
      </c>
      <c r="AA118" s="96" t="str">
        <f t="shared" si="145"/>
        <v>8</v>
      </c>
      <c r="AB118" s="8">
        <f t="shared" si="146"/>
        <v>9.4708628231892362</v>
      </c>
      <c r="AC118" s="96" t="str">
        <f t="shared" si="147"/>
        <v>9</v>
      </c>
      <c r="AD118" s="8">
        <f t="shared" si="148"/>
        <v>5.6503538782708347</v>
      </c>
      <c r="AE118" s="96" t="str">
        <f t="shared" si="149"/>
        <v>6</v>
      </c>
      <c r="AF118" s="8">
        <f t="shared" si="150"/>
        <v>7.8042465392500162</v>
      </c>
      <c r="AG118" s="96" t="str">
        <f t="shared" si="151"/>
        <v/>
      </c>
      <c r="AH118" s="8">
        <f t="shared" si="152"/>
        <v>9.6509584710001945</v>
      </c>
      <c r="AI118" s="96" t="str">
        <f t="shared" si="153"/>
        <v/>
      </c>
      <c r="AJ118" s="8">
        <f t="shared" si="154"/>
        <v>7.8115016520023346</v>
      </c>
      <c r="AK118" s="96" t="str">
        <f t="shared" si="155"/>
        <v/>
      </c>
    </row>
    <row r="119" spans="2:39" x14ac:dyDescent="0.2">
      <c r="B119" s="126"/>
      <c r="C119" s="9" t="s">
        <v>610</v>
      </c>
      <c r="D119" s="198">
        <v>83</v>
      </c>
      <c r="E119" s="8">
        <v>9</v>
      </c>
      <c r="F119" s="127">
        <f t="shared" si="156"/>
        <v>129.97213187072606</v>
      </c>
      <c r="G119" s="37" t="str">
        <f t="shared" si="157"/>
        <v>X;9E7EX1627</v>
      </c>
      <c r="H119" s="37"/>
      <c r="I119" s="285"/>
      <c r="J119" s="38">
        <v>1</v>
      </c>
      <c r="K119" s="128">
        <f t="shared" si="158"/>
        <v>10.831010989227183</v>
      </c>
      <c r="L119" s="39" t="str">
        <f>INDEX(powers!$H$2:$H$75,33+J119)</f>
        <v>dozen</v>
      </c>
      <c r="M119" s="97" t="str">
        <f t="shared" si="131"/>
        <v>X</v>
      </c>
      <c r="N119" s="8">
        <f t="shared" si="132"/>
        <v>9.9721318707261943</v>
      </c>
      <c r="O119" s="96" t="str">
        <f t="shared" si="133"/>
        <v>9</v>
      </c>
      <c r="P119" s="8">
        <f t="shared" si="134"/>
        <v>11.665582448714332</v>
      </c>
      <c r="Q119" s="96" t="str">
        <f t="shared" si="135"/>
        <v>E</v>
      </c>
      <c r="R119" s="8">
        <f t="shared" si="136"/>
        <v>7.9869893845719844</v>
      </c>
      <c r="S119" s="96" t="str">
        <f t="shared" si="137"/>
        <v>7</v>
      </c>
      <c r="T119" s="8">
        <f t="shared" si="138"/>
        <v>11.843872614863812</v>
      </c>
      <c r="U119" s="96" t="str">
        <f t="shared" si="139"/>
        <v>E</v>
      </c>
      <c r="V119" s="8">
        <f t="shared" si="140"/>
        <v>10.12647137836575</v>
      </c>
      <c r="W119" s="96" t="str">
        <f t="shared" si="141"/>
        <v>X</v>
      </c>
      <c r="X119" s="8">
        <f t="shared" si="142"/>
        <v>1.5176565403889981</v>
      </c>
      <c r="Y119" s="96" t="str">
        <f t="shared" si="143"/>
        <v>1</v>
      </c>
      <c r="Z119" s="8">
        <f t="shared" si="144"/>
        <v>6.2118784846679773</v>
      </c>
      <c r="AA119" s="96" t="str">
        <f t="shared" si="145"/>
        <v>6</v>
      </c>
      <c r="AB119" s="8">
        <f t="shared" si="146"/>
        <v>2.5425418160157278</v>
      </c>
      <c r="AC119" s="96" t="str">
        <f t="shared" si="147"/>
        <v>2</v>
      </c>
      <c r="AD119" s="8">
        <f t="shared" si="148"/>
        <v>6.5105017921887338</v>
      </c>
      <c r="AE119" s="96" t="str">
        <f t="shared" si="149"/>
        <v>7</v>
      </c>
      <c r="AF119" s="8">
        <f t="shared" si="150"/>
        <v>6.1260215062648058</v>
      </c>
      <c r="AG119" s="96" t="str">
        <f t="shared" si="151"/>
        <v/>
      </c>
      <c r="AH119" s="8">
        <f t="shared" si="152"/>
        <v>1.5122580751776695</v>
      </c>
      <c r="AI119" s="96" t="str">
        <f t="shared" si="153"/>
        <v/>
      </c>
      <c r="AJ119" s="8">
        <f t="shared" si="154"/>
        <v>6.1470969021320343</v>
      </c>
      <c r="AK119" s="96" t="str">
        <f t="shared" si="155"/>
        <v/>
      </c>
    </row>
    <row r="120" spans="2:39" x14ac:dyDescent="0.2">
      <c r="B120" s="91" t="s">
        <v>622</v>
      </c>
      <c r="C120" s="9" t="s">
        <v>613</v>
      </c>
      <c r="D120" s="198">
        <v>99.974000000000004</v>
      </c>
      <c r="E120" s="8">
        <v>9</v>
      </c>
      <c r="F120" s="127">
        <f t="shared" si="156"/>
        <v>143.9918415925157</v>
      </c>
      <c r="G120" s="37" t="str">
        <f t="shared" si="157"/>
        <v>0;EEEX9X9E2</v>
      </c>
      <c r="H120" s="37"/>
      <c r="I120" s="285"/>
      <c r="J120" s="38">
        <v>2</v>
      </c>
      <c r="K120" s="128">
        <f t="shared" si="158"/>
        <v>0.99994334439248012</v>
      </c>
      <c r="L120" s="39" t="str">
        <f>INDEX(powers!$H$2:$H$75,33+J120)</f>
        <v>gross</v>
      </c>
      <c r="M120" s="97" t="str">
        <f t="shared" si="131"/>
        <v>0</v>
      </c>
      <c r="N120" s="8">
        <f t="shared" si="132"/>
        <v>11.999320132709762</v>
      </c>
      <c r="O120" s="96" t="str">
        <f t="shared" si="133"/>
        <v>E</v>
      </c>
      <c r="P120" s="8">
        <f t="shared" si="134"/>
        <v>11.991841592517147</v>
      </c>
      <c r="Q120" s="96" t="str">
        <f t="shared" si="135"/>
        <v>E</v>
      </c>
      <c r="R120" s="8">
        <f t="shared" si="136"/>
        <v>11.902099110205768</v>
      </c>
      <c r="S120" s="96" t="str">
        <f t="shared" si="137"/>
        <v>E</v>
      </c>
      <c r="T120" s="8">
        <f t="shared" si="138"/>
        <v>10.825189322469214</v>
      </c>
      <c r="U120" s="96" t="str">
        <f t="shared" si="139"/>
        <v>X</v>
      </c>
      <c r="V120" s="8">
        <f t="shared" si="140"/>
        <v>9.9022718696305674</v>
      </c>
      <c r="W120" s="96" t="str">
        <f t="shared" si="141"/>
        <v>9</v>
      </c>
      <c r="X120" s="8">
        <f t="shared" si="142"/>
        <v>10.827262435566809</v>
      </c>
      <c r="Y120" s="96" t="str">
        <f t="shared" si="143"/>
        <v>X</v>
      </c>
      <c r="Z120" s="8">
        <f t="shared" si="144"/>
        <v>9.9271492268017028</v>
      </c>
      <c r="AA120" s="96" t="str">
        <f t="shared" si="145"/>
        <v>9</v>
      </c>
      <c r="AB120" s="8">
        <f t="shared" si="146"/>
        <v>11.125790721620433</v>
      </c>
      <c r="AC120" s="96" t="str">
        <f t="shared" si="147"/>
        <v>E</v>
      </c>
      <c r="AD120" s="8">
        <f t="shared" si="148"/>
        <v>1.5094886594451964</v>
      </c>
      <c r="AE120" s="96" t="str">
        <f t="shared" si="149"/>
        <v>2</v>
      </c>
      <c r="AF120" s="8">
        <f t="shared" si="150"/>
        <v>6.1138639133423567</v>
      </c>
      <c r="AG120" s="96" t="str">
        <f t="shared" si="151"/>
        <v/>
      </c>
      <c r="AH120" s="8">
        <f t="shared" si="152"/>
        <v>1.3663669601082802</v>
      </c>
      <c r="AI120" s="96" t="str">
        <f t="shared" si="153"/>
        <v/>
      </c>
      <c r="AJ120" s="8">
        <f t="shared" si="154"/>
        <v>4.3964035212993622</v>
      </c>
      <c r="AK120" s="96" t="str">
        <f t="shared" si="155"/>
        <v/>
      </c>
      <c r="AL120" s="238">
        <f>144</f>
        <v>144</v>
      </c>
      <c r="AM120" s="238">
        <f t="shared" ref="AM120:AM122" si="160">-AL120*F$6*POWER(12,-12)+D120</f>
        <v>-74.370265930207225</v>
      </c>
    </row>
    <row r="121" spans="2:39" x14ac:dyDescent="0.2">
      <c r="B121" s="91" t="s">
        <v>623</v>
      </c>
      <c r="C121" s="9" t="s">
        <v>621</v>
      </c>
      <c r="D121" s="198">
        <v>99.983900000000006</v>
      </c>
      <c r="E121" s="8">
        <v>9</v>
      </c>
      <c r="F121" s="127">
        <f t="shared" si="156"/>
        <v>144.000018517592</v>
      </c>
      <c r="G121" s="37" t="str">
        <f t="shared" si="157"/>
        <v>1;000000474</v>
      </c>
      <c r="H121" s="37"/>
      <c r="I121" s="285"/>
      <c r="J121" s="38">
        <v>2</v>
      </c>
      <c r="K121" s="128">
        <f t="shared" si="158"/>
        <v>1.0000001285943989</v>
      </c>
      <c r="L121" s="39" t="str">
        <f>INDEX(powers!$H$2:$H$75,33+J121)</f>
        <v>gross</v>
      </c>
      <c r="M121" s="97" t="str">
        <f t="shared" si="131"/>
        <v>1</v>
      </c>
      <c r="N121" s="8">
        <f t="shared" si="132"/>
        <v>1.5431327868853373E-6</v>
      </c>
      <c r="O121" s="96" t="str">
        <f t="shared" si="133"/>
        <v>0</v>
      </c>
      <c r="P121" s="8">
        <f t="shared" si="134"/>
        <v>1.8517593442624047E-5</v>
      </c>
      <c r="Q121" s="96" t="str">
        <f t="shared" si="135"/>
        <v>0</v>
      </c>
      <c r="R121" s="8">
        <f t="shared" si="136"/>
        <v>2.2221112131148857E-4</v>
      </c>
      <c r="S121" s="96" t="str">
        <f t="shared" si="137"/>
        <v>0</v>
      </c>
      <c r="T121" s="8">
        <f t="shared" si="138"/>
        <v>2.6665334557378628E-3</v>
      </c>
      <c r="U121" s="96" t="str">
        <f t="shared" si="139"/>
        <v>0</v>
      </c>
      <c r="V121" s="8">
        <f t="shared" si="140"/>
        <v>3.1998401468854354E-2</v>
      </c>
      <c r="W121" s="96" t="str">
        <f t="shared" si="141"/>
        <v>0</v>
      </c>
      <c r="X121" s="8">
        <f t="shared" si="142"/>
        <v>0.38398081762625225</v>
      </c>
      <c r="Y121" s="96" t="str">
        <f t="shared" si="143"/>
        <v>0</v>
      </c>
      <c r="Z121" s="8">
        <f t="shared" si="144"/>
        <v>4.607769811515027</v>
      </c>
      <c r="AA121" s="96" t="str">
        <f t="shared" si="145"/>
        <v>4</v>
      </c>
      <c r="AB121" s="8">
        <f t="shared" si="146"/>
        <v>7.2932377381803235</v>
      </c>
      <c r="AC121" s="96" t="str">
        <f t="shared" si="147"/>
        <v>7</v>
      </c>
      <c r="AD121" s="8">
        <f t="shared" si="148"/>
        <v>3.518852858163882</v>
      </c>
      <c r="AE121" s="96" t="str">
        <f t="shared" si="149"/>
        <v>4</v>
      </c>
      <c r="AF121" s="8">
        <f t="shared" si="150"/>
        <v>6.2262342979665846</v>
      </c>
      <c r="AG121" s="96" t="str">
        <f t="shared" si="151"/>
        <v/>
      </c>
      <c r="AH121" s="8">
        <f t="shared" si="152"/>
        <v>2.7148115755990148</v>
      </c>
      <c r="AI121" s="96" t="str">
        <f t="shared" si="153"/>
        <v/>
      </c>
      <c r="AJ121" s="8">
        <f t="shared" si="154"/>
        <v>8.5777389071881771</v>
      </c>
      <c r="AK121" s="96" t="str">
        <f t="shared" si="155"/>
        <v/>
      </c>
      <c r="AL121" s="238">
        <f>144</f>
        <v>144</v>
      </c>
      <c r="AM121" s="238">
        <f t="shared" si="160"/>
        <v>-74.360365930207223</v>
      </c>
    </row>
    <row r="122" spans="2:39" ht="12" thickBot="1" x14ac:dyDescent="0.25">
      <c r="B122" s="129"/>
      <c r="C122" s="241" t="s">
        <v>611</v>
      </c>
      <c r="D122" s="199">
        <v>100</v>
      </c>
      <c r="E122" s="33">
        <v>9</v>
      </c>
      <c r="F122" s="130">
        <f t="shared" si="156"/>
        <v>144.01331634524141</v>
      </c>
      <c r="G122" s="47" t="str">
        <f t="shared" si="157"/>
        <v>1;0001E0165</v>
      </c>
      <c r="H122" s="47"/>
      <c r="I122" s="287"/>
      <c r="J122" s="48">
        <v>2</v>
      </c>
      <c r="K122" s="106">
        <f t="shared" si="158"/>
        <v>1.0000924746197419</v>
      </c>
      <c r="L122" s="49" t="str">
        <f>INDEX(powers!$H$2:$H$75,33+J122)</f>
        <v>gross</v>
      </c>
      <c r="M122" s="97" t="str">
        <f t="shared" si="131"/>
        <v>1</v>
      </c>
      <c r="N122" s="8">
        <f t="shared" si="132"/>
        <v>1.1096954369032019E-3</v>
      </c>
      <c r="O122" s="96" t="str">
        <f t="shared" si="133"/>
        <v>0</v>
      </c>
      <c r="P122" s="8">
        <f t="shared" si="134"/>
        <v>1.3316345242838423E-2</v>
      </c>
      <c r="Q122" s="96" t="str">
        <f t="shared" si="135"/>
        <v>0</v>
      </c>
      <c r="R122" s="8">
        <f t="shared" si="136"/>
        <v>0.15979614291406108</v>
      </c>
      <c r="S122" s="96" t="str">
        <f t="shared" si="137"/>
        <v>0</v>
      </c>
      <c r="T122" s="8">
        <f t="shared" si="138"/>
        <v>1.9175537149687329</v>
      </c>
      <c r="U122" s="96" t="str">
        <f t="shared" si="139"/>
        <v>1</v>
      </c>
      <c r="V122" s="8">
        <f t="shared" si="140"/>
        <v>11.010644579624795</v>
      </c>
      <c r="W122" s="96" t="str">
        <f t="shared" si="141"/>
        <v>E</v>
      </c>
      <c r="X122" s="8">
        <f t="shared" si="142"/>
        <v>0.12773495549754443</v>
      </c>
      <c r="Y122" s="96" t="str">
        <f t="shared" si="143"/>
        <v>0</v>
      </c>
      <c r="Z122" s="8">
        <f t="shared" si="144"/>
        <v>1.5328194659705332</v>
      </c>
      <c r="AA122" s="96" t="str">
        <f t="shared" si="145"/>
        <v>1</v>
      </c>
      <c r="AB122" s="8">
        <f t="shared" si="146"/>
        <v>6.3938335916463984</v>
      </c>
      <c r="AC122" s="96" t="str">
        <f t="shared" si="147"/>
        <v>6</v>
      </c>
      <c r="AD122" s="8">
        <f t="shared" si="148"/>
        <v>4.726003099756781</v>
      </c>
      <c r="AE122" s="96" t="str">
        <f t="shared" si="149"/>
        <v>5</v>
      </c>
      <c r="AF122" s="8">
        <f t="shared" si="150"/>
        <v>8.7120371970813721</v>
      </c>
      <c r="AG122" s="96" t="str">
        <f t="shared" si="151"/>
        <v/>
      </c>
      <c r="AH122" s="8">
        <f t="shared" si="152"/>
        <v>8.5444463649764657</v>
      </c>
      <c r="AI122" s="96" t="str">
        <f t="shared" si="153"/>
        <v/>
      </c>
      <c r="AJ122" s="8">
        <f t="shared" si="154"/>
        <v>6.5333563797175884</v>
      </c>
      <c r="AK122" s="96" t="str">
        <f t="shared" si="155"/>
        <v/>
      </c>
      <c r="AL122" s="238">
        <f>144</f>
        <v>144</v>
      </c>
      <c r="AM122" s="238">
        <f t="shared" si="160"/>
        <v>-74.344265930207229</v>
      </c>
    </row>
    <row r="123" spans="2:39" x14ac:dyDescent="0.2">
      <c r="B123" s="55"/>
      <c r="D123" s="243">
        <f>D99+144*F6*20736-D121</f>
        <v>3.2233510399105511E+19</v>
      </c>
      <c r="F123" s="233"/>
      <c r="G123" s="234"/>
      <c r="H123" s="234"/>
      <c r="I123" s="292"/>
      <c r="J123" s="235"/>
      <c r="K123" s="236"/>
      <c r="L123" s="236"/>
      <c r="M123" s="237"/>
      <c r="O123" s="237"/>
      <c r="Q123" s="237"/>
      <c r="S123" s="237"/>
      <c r="U123" s="237"/>
      <c r="W123" s="237"/>
      <c r="Y123" s="237"/>
      <c r="AA123" s="237"/>
      <c r="AC123" s="237"/>
      <c r="AE123" s="237"/>
      <c r="AG123" s="237"/>
      <c r="AI123" s="237"/>
      <c r="AK123" s="237"/>
    </row>
    <row r="124" spans="2:39" x14ac:dyDescent="0.2">
      <c r="B124" s="138" t="s">
        <v>639</v>
      </c>
      <c r="C124" s="54"/>
      <c r="D124" s="238">
        <f>D$99+F$6*F124*POWER(12,-12)</f>
        <v>14.022468684161822</v>
      </c>
      <c r="F124" s="233">
        <f>12*6+1</f>
        <v>73</v>
      </c>
    </row>
    <row r="125" spans="2:39" x14ac:dyDescent="0.2">
      <c r="B125" s="138" t="s">
        <v>640</v>
      </c>
      <c r="C125" s="54"/>
      <c r="D125" s="238">
        <f>D$99+F$6*F125*POWER(12,-12)</f>
        <v>37.026225994397493</v>
      </c>
      <c r="F125" s="233">
        <f>12*7+8</f>
        <v>92</v>
      </c>
    </row>
    <row r="126" spans="2:39" x14ac:dyDescent="0.2">
      <c r="B126" s="138" t="s">
        <v>641</v>
      </c>
      <c r="C126" s="54"/>
      <c r="D126" s="238">
        <f>D$99+F$6*F126*POWER(12,-12)</f>
        <v>99.983877580305659</v>
      </c>
      <c r="F126" s="233">
        <v>144</v>
      </c>
    </row>
  </sheetData>
  <mergeCells count="7">
    <mergeCell ref="A70:A87"/>
    <mergeCell ref="A1:A30"/>
    <mergeCell ref="M1:R1"/>
    <mergeCell ref="M2:N2"/>
    <mergeCell ref="R24:W26"/>
    <mergeCell ref="A31:A69"/>
    <mergeCell ref="J31:K31"/>
  </mergeCells>
  <phoneticPr fontId="1"/>
  <printOptions horizontalCentered="1"/>
  <pageMargins left="0.70866141732283472" right="0.70866141732283472" top="0.74803149606299213" bottom="0.74803149606299213" header="0.31496062992125984" footer="0.31496062992125984"/>
  <pageSetup paperSize="9" scale="74" fitToHeight="2" orientation="portrait" r:id="rId1"/>
  <headerFooter>
    <oddHeade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O135"/>
  <sheetViews>
    <sheetView topLeftCell="A16" zoomScaleNormal="100" workbookViewId="0">
      <selection activeCell="N136" sqref="N136"/>
    </sheetView>
  </sheetViews>
  <sheetFormatPr defaultColWidth="9" defaultRowHeight="11.5" x14ac:dyDescent="0.2"/>
  <cols>
    <col min="1" max="1" width="2.7265625" style="14" customWidth="1"/>
    <col min="2" max="2" width="6.453125" style="14" customWidth="1"/>
    <col min="3" max="3" width="12.26953125" style="14" customWidth="1"/>
    <col min="4" max="4" width="5.81640625" style="209" customWidth="1"/>
    <col min="5" max="5" width="13.81640625" style="14" customWidth="1"/>
    <col min="6" max="6" width="3.6328125" style="14" customWidth="1"/>
    <col min="7" max="7" width="9.1796875" style="14" customWidth="1"/>
    <col min="8" max="8" width="9.26953125" style="14" customWidth="1"/>
    <col min="9" max="9" width="8.6328125" style="14" customWidth="1"/>
    <col min="10" max="10" width="9.36328125" style="14" customWidth="1"/>
    <col min="11" max="11" width="3.1796875" style="14" customWidth="1"/>
    <col min="12" max="12" width="14.81640625" style="14" customWidth="1"/>
    <col min="13" max="13" width="11" style="14" customWidth="1"/>
    <col min="14" max="14" width="3.7265625" style="14" customWidth="1"/>
    <col min="15" max="15" width="8.7265625" style="14" customWidth="1"/>
    <col min="16" max="16" width="9.7265625"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16384" width="9" style="14"/>
  </cols>
  <sheetData>
    <row r="1" spans="1:41" ht="11.25" customHeight="1" x14ac:dyDescent="0.2">
      <c r="A1" s="615" t="s">
        <v>202</v>
      </c>
      <c r="B1" s="609" t="s">
        <v>42</v>
      </c>
      <c r="C1" s="609"/>
      <c r="D1" s="204" t="s">
        <v>95</v>
      </c>
      <c r="E1" s="17" t="s">
        <v>43</v>
      </c>
      <c r="F1" s="18" t="s">
        <v>44</v>
      </c>
      <c r="G1" s="17" t="s">
        <v>55</v>
      </c>
      <c r="H1" s="164" t="s">
        <v>95</v>
      </c>
      <c r="I1" s="155" t="s">
        <v>261</v>
      </c>
    </row>
    <row r="2" spans="1:41" ht="13.5" customHeight="1" x14ac:dyDescent="0.2">
      <c r="A2" s="616"/>
      <c r="B2" s="607" t="str">
        <f>Rydberg!B2</f>
        <v>Local Time</v>
      </c>
      <c r="C2" s="607"/>
      <c r="D2" s="3" t="str">
        <f>Rydberg!C2</f>
        <v>s</v>
      </c>
      <c r="E2" s="8"/>
      <c r="F2" s="8"/>
      <c r="G2" s="8"/>
      <c r="H2" s="22"/>
      <c r="I2" s="23"/>
      <c r="J2" s="24"/>
      <c r="K2" s="24"/>
      <c r="L2" s="24"/>
      <c r="M2" s="24"/>
      <c r="N2" s="24"/>
      <c r="O2" s="24"/>
      <c r="P2" s="24"/>
      <c r="Q2" s="24"/>
      <c r="R2" s="24"/>
      <c r="S2" s="24"/>
      <c r="T2" s="24"/>
      <c r="U2" s="24"/>
      <c r="V2" s="24"/>
      <c r="W2" s="24"/>
      <c r="X2" s="24"/>
      <c r="Y2" s="24"/>
      <c r="Z2" s="24"/>
      <c r="AA2" s="24"/>
      <c r="AB2" s="24"/>
      <c r="AC2" s="24"/>
      <c r="AD2" s="24"/>
      <c r="AE2" s="24"/>
    </row>
    <row r="3" spans="1:41" ht="13.5" customHeight="1" x14ac:dyDescent="0.2">
      <c r="A3" s="616"/>
      <c r="B3" s="607" t="str">
        <f>Rydberg!B3</f>
        <v>Length</v>
      </c>
      <c r="C3" s="607"/>
      <c r="D3" s="3" t="str">
        <f>Rydberg!C3</f>
        <v>m</v>
      </c>
      <c r="E3" s="21">
        <f>IF(I$1="suffix u",Rydberg!F3,IF(I$1="suffix B",Bohr!F3,IF(I$1="suffix e",Clock!F3,Clock_by_Rydberg!F3)))</f>
        <v>0.27235220594173376</v>
      </c>
      <c r="F3" s="8">
        <v>-3</v>
      </c>
      <c r="G3" s="198">
        <f t="shared" ref="G3:G21" si="0">E3/POWER(10,F3)</f>
        <v>272.35220594173376</v>
      </c>
      <c r="H3" s="118" t="str">
        <f>Rydberg!L3</f>
        <v>mm</v>
      </c>
      <c r="I3" s="618" t="s">
        <v>1066</v>
      </c>
      <c r="J3" s="619"/>
      <c r="K3" s="369">
        <v>9</v>
      </c>
      <c r="L3" s="370">
        <f>(E3*POWER(12,4)/7200)/(E3/E4)</f>
        <v>1.12500033156299</v>
      </c>
      <c r="M3" s="371" t="str">
        <f t="shared" ref="M3" si="1">Q3&amp;";"&amp;S3&amp;U3&amp;W3&amp;Y3&amp;AA3&amp;AC3&amp;AE3&amp;AG3&amp;AI3&amp;AK3&amp;AM3&amp;AO3</f>
        <v>1;160000EX7</v>
      </c>
      <c r="N3" s="372">
        <v>0</v>
      </c>
      <c r="O3" s="373">
        <f t="shared" ref="O3" si="2">L3/POWER(12,N3)</f>
        <v>1.12500033156299</v>
      </c>
      <c r="P3" s="373" t="s">
        <v>1067</v>
      </c>
      <c r="Q3" s="374" t="str">
        <f t="shared" ref="Q3" si="3">IF($K3&gt;=Q$23,MID($N$23,IF($K3&gt;Q$23,INT(O3),ROUND(O3,0))+1,1),"")</f>
        <v>1</v>
      </c>
      <c r="R3" s="369">
        <f t="shared" ref="R3" si="4">(O3-INT(O3))*12</f>
        <v>1.5000039787558794</v>
      </c>
      <c r="S3" s="374" t="str">
        <f t="shared" ref="S3" si="5">IF($K3&gt;=S$23,MID($N$23,IF($K3&gt;S$23,INT(R3),ROUND(R3,0))+1,1),"")</f>
        <v>1</v>
      </c>
      <c r="T3" s="369">
        <f t="shared" ref="T3" si="6">(R3-INT(R3))*12</f>
        <v>6.0000477450705532</v>
      </c>
      <c r="U3" s="374" t="str">
        <f t="shared" ref="U3" si="7">IF($K3&gt;=U$23,MID($N$23,IF($K3&gt;U$23,INT(T3),ROUND(T3,0))+1,1),"")</f>
        <v>6</v>
      </c>
      <c r="V3" s="369">
        <f t="shared" ref="V3" si="8">(T3-INT(T3))*12</f>
        <v>5.729408466379482E-4</v>
      </c>
      <c r="W3" s="374" t="str">
        <f t="shared" ref="W3" si="9">IF($K3&gt;=W$23,MID($N$23,IF($K3&gt;W$23,INT(V3),ROUND(V3,0))+1,1),"")</f>
        <v>0</v>
      </c>
      <c r="X3" s="369">
        <f t="shared" ref="X3" si="10">(V3-INT(V3))*12</f>
        <v>6.8752901596553784E-3</v>
      </c>
      <c r="Y3" s="374" t="str">
        <f t="shared" ref="Y3" si="11">IF($K3&gt;=Y$23,MID($N$23,IF($K3&gt;Y$23,INT(X3),ROUND(X3,0))+1,1),"")</f>
        <v>0</v>
      </c>
      <c r="Z3" s="369">
        <f t="shared" ref="Z3" si="12">(X3-INT(X3))*12</f>
        <v>8.250348191586454E-2</v>
      </c>
      <c r="AA3" s="374" t="str">
        <f t="shared" ref="AA3" si="13">IF($K3&gt;=AA$23,MID($N$23,IF($K3&gt;AA$23,INT(Z3),ROUND(Z3,0))+1,1),"")</f>
        <v>0</v>
      </c>
      <c r="AB3" s="369">
        <f t="shared" ref="AB3" si="14">(Z3-INT(Z3))*12</f>
        <v>0.99004178299037449</v>
      </c>
      <c r="AC3" s="374" t="str">
        <f t="shared" ref="AC3" si="15">IF($K3&gt;=AC$23,MID($N$23,IF($K3&gt;AC$23,INT(AB3),ROUND(AB3,0))+1,1),"")</f>
        <v>0</v>
      </c>
      <c r="AD3" s="369">
        <f t="shared" ref="AD3" si="16">(AB3-INT(AB3))*12</f>
        <v>11.880501395884494</v>
      </c>
      <c r="AE3" s="374" t="str">
        <f t="shared" ref="AE3" si="17">IF($K3&gt;=AE$23,MID($N$23,IF($K3&gt;AE$23,INT(AD3),ROUND(AD3,0))+1,1),"")</f>
        <v>E</v>
      </c>
      <c r="AF3" s="369">
        <f t="shared" ref="AF3" si="18">(AD3-INT(AD3))*12</f>
        <v>10.566016750613926</v>
      </c>
      <c r="AG3" s="374" t="str">
        <f t="shared" ref="AG3" si="19">IF($K3&gt;=AG$23,MID($N$23,IF($K3&gt;AG$23,INT(AF3),ROUND(AF3,0))+1,1),"")</f>
        <v>X</v>
      </c>
      <c r="AH3" s="369">
        <f t="shared" ref="AH3" si="20">(AF3-INT(AF3))*12</f>
        <v>6.7922010073671117</v>
      </c>
      <c r="AI3" s="374" t="str">
        <f t="shared" ref="AI3" si="21">IF($K3&gt;=AI$23,MID($N$23,IF($K3&gt;AI$23,INT(AH3),ROUND(AH3,0))+1,1),"")</f>
        <v>7</v>
      </c>
      <c r="AJ3" s="369">
        <f t="shared" ref="AJ3" si="22">(AH3-INT(AH3))*12</f>
        <v>9.5064120884053409</v>
      </c>
      <c r="AK3" s="374" t="str">
        <f t="shared" ref="AK3" si="23">IF($K3&gt;=AK$23,MID($N$23,IF($K3&gt;AK$23,INT(AJ3),ROUND(AJ3,0))+1,1),"")</f>
        <v/>
      </c>
      <c r="AL3" s="369">
        <f t="shared" ref="AL3" si="24">(AJ3-INT(AJ3))*12</f>
        <v>6.0769450608640909</v>
      </c>
      <c r="AM3" s="374" t="str">
        <f t="shared" ref="AM3" si="25">IF($K3&gt;=AM$23,MID($N$23,IF($K3&gt;AM$23,INT(AL3),ROUND(AL3,0))+1,1),"")</f>
        <v/>
      </c>
      <c r="AN3" s="369">
        <f t="shared" ref="AN3" si="26">(AL3-INT(AL3))*12</f>
        <v>0.92334073036909103</v>
      </c>
      <c r="AO3" s="375" t="str">
        <f t="shared" ref="AO3" si="27">IF($K3&gt;=AO$23,MID($N$23,IF($K3&gt;AO$23,INT(AN3),ROUND(AN3,0))+1,1),"")</f>
        <v/>
      </c>
    </row>
    <row r="4" spans="1:41" ht="13.5" customHeight="1" x14ac:dyDescent="0.2">
      <c r="A4" s="616"/>
      <c r="B4" s="607" t="str">
        <f>Rydberg!B4</f>
        <v>Time</v>
      </c>
      <c r="C4" s="607"/>
      <c r="D4" s="3" t="str">
        <f>Rydberg!C4</f>
        <v>s</v>
      </c>
      <c r="E4" s="21">
        <f>IF(I$1="suffix u",Rydberg!F4,IF(I$1="suffix B",Bohr!F4,IF(I$1="suffix e",Clock!F4,Clock_by_Rydberg!F4)))</f>
        <v>0.39062511512603815</v>
      </c>
      <c r="F4" s="8">
        <v>-3</v>
      </c>
      <c r="G4" s="198">
        <f t="shared" si="0"/>
        <v>390.62511512603811</v>
      </c>
      <c r="H4" s="118" t="str">
        <f>Rydberg!L4</f>
        <v>ms</v>
      </c>
      <c r="I4" s="196"/>
      <c r="J4" s="24"/>
      <c r="K4" s="24"/>
      <c r="L4" s="24"/>
      <c r="M4" s="24"/>
      <c r="N4" s="24"/>
      <c r="O4" s="24"/>
      <c r="P4" s="24"/>
      <c r="Q4" s="24"/>
      <c r="R4" s="24"/>
      <c r="S4" s="24"/>
      <c r="T4" s="24"/>
      <c r="U4" s="24"/>
      <c r="V4" s="24"/>
      <c r="W4" s="24"/>
      <c r="X4" s="24"/>
      <c r="Y4" s="24"/>
      <c r="Z4" s="24"/>
      <c r="AA4" s="24"/>
      <c r="AB4" s="24"/>
      <c r="AC4" s="24"/>
      <c r="AD4" s="24"/>
      <c r="AE4" s="24"/>
    </row>
    <row r="5" spans="1:41" ht="13.5" customHeight="1" x14ac:dyDescent="0.2">
      <c r="A5" s="616"/>
      <c r="B5" s="607" t="str">
        <f>Rydberg!B5</f>
        <v>Energy</v>
      </c>
      <c r="C5" s="607"/>
      <c r="D5" s="3" t="str">
        <f>Rydberg!C5</f>
        <v>J</v>
      </c>
      <c r="E5" s="21">
        <f>IF(I$1="suffix u",Rydberg!F5,IF(I$1="suffix B",Bohr!F5,IF(I$1="suffix e",Clock!F5,Clock_by_Rydberg!F5)))</f>
        <v>6.4084556014581059E-2</v>
      </c>
      <c r="F5" s="8">
        <v>-3</v>
      </c>
      <c r="G5" s="198">
        <f t="shared" si="0"/>
        <v>64.084556014581054</v>
      </c>
      <c r="H5" s="118" t="str">
        <f>Rydberg!L5</f>
        <v>mJ</v>
      </c>
      <c r="I5" s="196"/>
      <c r="J5" s="24"/>
      <c r="K5" s="24"/>
      <c r="L5" s="24"/>
      <c r="M5" s="24"/>
      <c r="N5" s="24"/>
      <c r="O5" s="24"/>
      <c r="P5" s="24"/>
      <c r="Q5" s="24"/>
      <c r="R5" s="24"/>
      <c r="S5" s="24"/>
      <c r="T5" s="24"/>
      <c r="U5" s="24"/>
      <c r="V5" s="24"/>
      <c r="W5" s="24"/>
      <c r="X5" s="24"/>
      <c r="Y5" s="24"/>
      <c r="Z5" s="24"/>
      <c r="AA5" s="24"/>
      <c r="AB5" s="24"/>
      <c r="AC5" s="24"/>
      <c r="AD5" s="24"/>
      <c r="AE5" s="24"/>
    </row>
    <row r="6" spans="1:41" ht="13.5" customHeight="1" x14ac:dyDescent="0.2">
      <c r="A6" s="616"/>
      <c r="B6" s="607" t="str">
        <f>Rydberg!B6</f>
        <v>Temperature</v>
      </c>
      <c r="C6" s="607"/>
      <c r="D6" s="3" t="str">
        <f>Rydberg!C6</f>
        <v>K</v>
      </c>
      <c r="E6" s="21">
        <f>IF(I$1="suffix u",Rydberg!F6,IF(I$1="suffix B",Bohr!F6,IF(I$1="suffix e",Clock!F6,Clock_by_Rydberg!F6)))</f>
        <v>5.8387541905853228E-5</v>
      </c>
      <c r="F6" s="8">
        <v>-6</v>
      </c>
      <c r="G6" s="198">
        <f t="shared" si="0"/>
        <v>58.387541905853233</v>
      </c>
      <c r="H6" s="118" t="str">
        <f>Rydberg!L6</f>
        <v>μK</v>
      </c>
      <c r="I6" s="196"/>
      <c r="J6" s="24"/>
      <c r="K6" s="24"/>
      <c r="L6" s="24"/>
      <c r="M6" s="24"/>
      <c r="N6" s="24"/>
      <c r="O6" s="24"/>
      <c r="P6" s="24"/>
      <c r="Q6" s="24"/>
      <c r="R6" s="24"/>
      <c r="S6" s="24"/>
      <c r="T6" s="24"/>
      <c r="U6" s="24"/>
      <c r="V6" s="24"/>
      <c r="W6" s="24"/>
      <c r="X6" s="24"/>
      <c r="Y6" s="24"/>
      <c r="Z6" s="24"/>
      <c r="AA6" s="24"/>
      <c r="AB6" s="24"/>
      <c r="AC6" s="24"/>
      <c r="AD6" s="24"/>
      <c r="AE6" s="24"/>
    </row>
    <row r="7" spans="1:41" ht="13.5" customHeight="1" x14ac:dyDescent="0.2">
      <c r="A7" s="616"/>
      <c r="B7" s="607" t="str">
        <f>Rydberg!B7</f>
        <v>Amount of substance</v>
      </c>
      <c r="C7" s="607"/>
      <c r="D7" s="3" t="str">
        <f>Rydberg!C7</f>
        <v>mol</v>
      </c>
      <c r="E7" s="21">
        <f>IF(I$1="suffix u",Rydberg!F7,IF(I$1="suffix B",Bohr!F7,IF(I$1="suffix e",Clock!F7,Clock_by_Rydberg!F7)))</f>
        <v>132.00762049838045</v>
      </c>
      <c r="F7" s="8">
        <v>0</v>
      </c>
      <c r="G7" s="198">
        <f t="shared" si="0"/>
        <v>132.00762049838045</v>
      </c>
      <c r="H7" s="118" t="str">
        <f>Rydberg!L7</f>
        <v>mol</v>
      </c>
      <c r="I7" s="196"/>
      <c r="J7" s="24"/>
      <c r="K7" s="24"/>
      <c r="L7" s="24"/>
      <c r="M7" s="24"/>
      <c r="N7" s="24"/>
      <c r="O7" s="24"/>
      <c r="P7" s="24"/>
      <c r="Q7" s="24"/>
      <c r="R7" s="24"/>
      <c r="S7" s="24"/>
      <c r="T7" s="24"/>
      <c r="U7" s="24"/>
      <c r="V7" s="24"/>
      <c r="W7" s="24"/>
      <c r="X7" s="24"/>
      <c r="Y7" s="24"/>
      <c r="Z7" s="24"/>
      <c r="AA7" s="24"/>
      <c r="AB7" s="24"/>
      <c r="AC7" s="24"/>
      <c r="AD7" s="24"/>
      <c r="AE7" s="24"/>
    </row>
    <row r="8" spans="1:41" ht="13.5" customHeight="1" x14ac:dyDescent="0.2">
      <c r="A8" s="616"/>
      <c r="B8" s="607" t="str">
        <f>Rydberg!B8</f>
        <v>Mass</v>
      </c>
      <c r="C8" s="607"/>
      <c r="D8" s="3" t="str">
        <f>Rydberg!C8</f>
        <v>g</v>
      </c>
      <c r="E8" s="21">
        <f>IF(I$1="suffix u",Rydberg!F8,IF(I$1="suffix B",Bohr!F8,IF(I$1="suffix e",Clock!F8,Clock_by_Rydberg!F8)))</f>
        <v>0.13182928928460486</v>
      </c>
      <c r="F8" s="8">
        <v>-3</v>
      </c>
      <c r="G8" s="198">
        <f t="shared" si="0"/>
        <v>131.82928928460484</v>
      </c>
      <c r="H8" s="118" t="str">
        <f>Rydberg!L8</f>
        <v>g</v>
      </c>
      <c r="I8" s="196"/>
      <c r="J8" s="24"/>
      <c r="K8" s="24"/>
      <c r="L8" s="24"/>
      <c r="M8" s="24"/>
      <c r="N8" s="24"/>
      <c r="O8" s="24"/>
      <c r="P8" s="24"/>
      <c r="Q8" s="24"/>
      <c r="R8" s="24"/>
      <c r="S8" s="24"/>
      <c r="T8" s="24"/>
      <c r="U8" s="24"/>
      <c r="V8" s="24"/>
      <c r="W8" s="24"/>
      <c r="X8" s="24"/>
      <c r="Y8" s="24"/>
      <c r="Z8" s="24"/>
      <c r="AA8" s="24"/>
      <c r="AB8" s="24"/>
      <c r="AC8" s="24"/>
      <c r="AD8" s="24"/>
      <c r="AE8" s="24"/>
    </row>
    <row r="9" spans="1:41" ht="13.5" customHeight="1" x14ac:dyDescent="0.2">
      <c r="A9" s="616"/>
      <c r="B9" s="607" t="str">
        <f>Rydberg!B9</f>
        <v>Power</v>
      </c>
      <c r="C9" s="607"/>
      <c r="D9" s="3" t="str">
        <f>Rydberg!C9</f>
        <v>W</v>
      </c>
      <c r="E9" s="21">
        <f>IF(I$1="suffix u",Rydberg!F9,IF(I$1="suffix B",Bohr!F9,IF(I$1="suffix e",Clock!F9,Clock_by_Rydberg!F9)))</f>
        <v>0.16405641504618487</v>
      </c>
      <c r="F9" s="8">
        <v>-3</v>
      </c>
      <c r="G9" s="198">
        <f t="shared" si="0"/>
        <v>164.05641504618487</v>
      </c>
      <c r="H9" s="118" t="str">
        <f>Rydberg!L9</f>
        <v>mW</v>
      </c>
      <c r="I9" s="196"/>
      <c r="J9" s="24"/>
      <c r="K9" s="24"/>
      <c r="L9" s="24"/>
      <c r="M9" s="24"/>
      <c r="N9" s="24"/>
      <c r="O9" s="24"/>
      <c r="P9" s="24"/>
      <c r="Q9" s="24"/>
      <c r="R9" s="24"/>
      <c r="S9" s="24"/>
      <c r="T9" s="24"/>
      <c r="U9" s="24"/>
      <c r="V9" s="24"/>
      <c r="W9" s="24"/>
      <c r="X9" s="24"/>
      <c r="Y9" s="24"/>
      <c r="Z9" s="24"/>
      <c r="AA9" s="24"/>
      <c r="AB9" s="24"/>
      <c r="AC9" s="24"/>
      <c r="AD9" s="24"/>
      <c r="AE9" s="24"/>
    </row>
    <row r="10" spans="1:41" ht="13.5" customHeight="1" x14ac:dyDescent="0.2">
      <c r="A10" s="616"/>
      <c r="B10" s="607" t="str">
        <f>Rydberg!B10</f>
        <v>Force</v>
      </c>
      <c r="C10" s="607"/>
      <c r="D10" s="3" t="str">
        <f>Rydberg!C10</f>
        <v>N</v>
      </c>
      <c r="E10" s="21">
        <f>IF(I$1="suffix u",Rydberg!F10,IF(I$1="suffix B",Bohr!F10,IF(I$1="suffix e",Clock!F10,Clock_by_Rydberg!F10)))</f>
        <v>0.23530030092097412</v>
      </c>
      <c r="F10" s="8">
        <v>-3</v>
      </c>
      <c r="G10" s="198">
        <f t="shared" si="0"/>
        <v>235.30030092097411</v>
      </c>
      <c r="H10" s="118" t="str">
        <f>Rydberg!L10</f>
        <v>mN</v>
      </c>
      <c r="I10" s="196"/>
      <c r="J10" s="24"/>
      <c r="K10" s="24"/>
      <c r="L10" s="24"/>
      <c r="M10" s="24"/>
      <c r="N10" s="24"/>
      <c r="O10" s="24"/>
      <c r="P10" s="24"/>
      <c r="Q10" s="24"/>
      <c r="R10" s="24"/>
      <c r="S10" s="24"/>
      <c r="T10" s="24"/>
      <c r="U10" s="24"/>
      <c r="V10" s="24"/>
      <c r="W10" s="24"/>
      <c r="X10" s="24"/>
      <c r="Y10" s="24"/>
      <c r="Z10" s="24"/>
      <c r="AA10" s="24"/>
      <c r="AB10" s="24"/>
      <c r="AC10" s="24"/>
      <c r="AD10" s="24"/>
      <c r="AE10" s="24"/>
    </row>
    <row r="11" spans="1:41" ht="13.5" customHeight="1" x14ac:dyDescent="0.2">
      <c r="A11" s="616"/>
      <c r="B11" s="607" t="str">
        <f>Rydberg!B11</f>
        <v>Pressure</v>
      </c>
      <c r="C11" s="607"/>
      <c r="D11" s="3" t="str">
        <f>Rydberg!C11</f>
        <v>P</v>
      </c>
      <c r="E11" s="21">
        <f>IF(I$1="suffix u",Rydberg!F11,IF(I$1="suffix B",Bohr!F11,IF(I$1="suffix e",Clock!F11,Clock_by_Rydberg!F11)))</f>
        <v>3.1722009300911389</v>
      </c>
      <c r="F11" s="8">
        <v>0</v>
      </c>
      <c r="G11" s="198">
        <f t="shared" si="0"/>
        <v>3.1722009300911389</v>
      </c>
      <c r="H11" s="118" t="str">
        <f>Rydberg!L11</f>
        <v>Pa</v>
      </c>
      <c r="I11" s="196"/>
      <c r="J11" s="24"/>
      <c r="K11" s="24"/>
      <c r="L11" s="24"/>
      <c r="M11" s="24"/>
      <c r="N11" s="24"/>
      <c r="O11" s="24"/>
      <c r="P11" s="24"/>
      <c r="Q11" s="24"/>
      <c r="R11" s="24"/>
      <c r="S11" s="24"/>
      <c r="T11" s="24"/>
      <c r="U11" s="24"/>
      <c r="V11" s="24"/>
      <c r="W11" s="24"/>
      <c r="X11" s="24"/>
      <c r="Y11" s="24"/>
      <c r="Z11" s="24"/>
      <c r="AA11" s="24"/>
      <c r="AB11" s="24"/>
      <c r="AC11" s="24"/>
      <c r="AD11" s="24"/>
      <c r="AE11" s="24"/>
    </row>
    <row r="12" spans="1:41" ht="13.5" customHeight="1" x14ac:dyDescent="0.2">
      <c r="A12" s="616"/>
      <c r="B12" s="607" t="str">
        <f>Rydberg!B12</f>
        <v>Charge</v>
      </c>
      <c r="C12" s="607"/>
      <c r="D12" s="3" t="str">
        <f>Rydberg!C12</f>
        <v>C</v>
      </c>
      <c r="E12" s="21">
        <f>IF(I$1="suffix u",Rydberg!F12,IF(I$1="suffix B",Bohr!F12,IF(I$1="suffix e",Clock!F12,Clock_by_Rydberg!F12)))</f>
        <v>2.8896578276067276E-2</v>
      </c>
      <c r="F12" s="8">
        <v>-3</v>
      </c>
      <c r="G12" s="198">
        <f t="shared" si="0"/>
        <v>28.896578276067274</v>
      </c>
      <c r="H12" s="118" t="str">
        <f>Rydberg!L12</f>
        <v>mC</v>
      </c>
      <c r="I12" s="196"/>
      <c r="J12" s="24"/>
      <c r="K12" s="24"/>
      <c r="L12" s="24"/>
      <c r="M12" s="24"/>
      <c r="N12" s="24"/>
      <c r="O12" s="24"/>
      <c r="P12" s="24"/>
      <c r="Q12" s="24"/>
      <c r="R12" s="24"/>
      <c r="S12" s="24"/>
      <c r="T12" s="24"/>
      <c r="U12" s="24"/>
      <c r="V12" s="24"/>
      <c r="W12" s="24"/>
      <c r="X12" s="24"/>
      <c r="Y12" s="24"/>
      <c r="Z12" s="24"/>
      <c r="AA12" s="24"/>
      <c r="AB12" s="24"/>
      <c r="AC12" s="24"/>
      <c r="AD12" s="24"/>
      <c r="AE12" s="24"/>
    </row>
    <row r="13" spans="1:41" ht="14.25" customHeight="1" x14ac:dyDescent="0.2">
      <c r="A13" s="616"/>
      <c r="B13" s="607" t="str">
        <f>Rydberg!B13</f>
        <v>Electric current</v>
      </c>
      <c r="C13" s="607"/>
      <c r="D13" s="3" t="str">
        <f>Rydberg!C13</f>
        <v>A</v>
      </c>
      <c r="E13" s="21">
        <f>IF(I$1="suffix u",Rydberg!F13,IF(I$1="suffix B",Bohr!F13,IF(I$1="suffix e",Clock!F13,Clock_by_Rydberg!F13)))</f>
        <v>7.3975218584559216E-2</v>
      </c>
      <c r="F13" s="8">
        <v>-3</v>
      </c>
      <c r="G13" s="198">
        <f t="shared" si="0"/>
        <v>73.975218584559215</v>
      </c>
      <c r="H13" s="118" t="str">
        <f>Rydberg!L13</f>
        <v>mA</v>
      </c>
      <c r="I13" s="196"/>
      <c r="J13" s="24"/>
      <c r="K13" s="24"/>
      <c r="L13" s="24"/>
      <c r="M13" s="24"/>
      <c r="N13" s="24"/>
      <c r="O13" s="24"/>
      <c r="P13" s="24"/>
      <c r="Q13" s="24"/>
      <c r="R13" s="24"/>
      <c r="S13" s="24"/>
      <c r="T13" s="24"/>
      <c r="U13" s="24"/>
      <c r="V13" s="24"/>
      <c r="W13" s="24"/>
      <c r="X13" s="24"/>
      <c r="Y13" s="24"/>
      <c r="Z13" s="24"/>
      <c r="AA13" s="24"/>
      <c r="AB13" s="24"/>
      <c r="AC13" s="24"/>
      <c r="AD13" s="24"/>
      <c r="AE13" s="24"/>
    </row>
    <row r="14" spans="1:41" ht="14.25" customHeight="1" x14ac:dyDescent="0.2">
      <c r="A14" s="616"/>
      <c r="B14" s="607" t="str">
        <f>Rydberg!B14</f>
        <v>Field Strength</v>
      </c>
      <c r="C14" s="607"/>
      <c r="D14" s="3" t="str">
        <f>Rydberg!C14</f>
        <v>O</v>
      </c>
      <c r="E14" s="21">
        <f>IF(I$1="suffix u",Rydberg!F14,IF(I$1="suffix B",Bohr!F14,IF(I$1="suffix e",Clock!F14,Clock_by_Rydberg!F14)))</f>
        <v>0.27161600666596136</v>
      </c>
      <c r="F14" s="8">
        <v>-3</v>
      </c>
      <c r="G14" s="198">
        <f t="shared" si="0"/>
        <v>271.61600666596138</v>
      </c>
      <c r="H14" s="118" t="str">
        <f>Rydberg!L14</f>
        <v>mA/m</v>
      </c>
      <c r="I14" s="196"/>
      <c r="J14" s="24"/>
      <c r="K14" s="24"/>
      <c r="L14" s="24"/>
      <c r="M14" s="24"/>
      <c r="N14" s="24"/>
      <c r="O14" s="24"/>
      <c r="P14" s="24"/>
      <c r="Q14" s="24"/>
      <c r="R14" s="24"/>
      <c r="S14" s="24"/>
      <c r="T14" s="24"/>
      <c r="U14" s="24"/>
      <c r="V14" s="24"/>
      <c r="W14" s="24"/>
      <c r="X14" s="24"/>
      <c r="Y14" s="24"/>
      <c r="Z14" s="24"/>
      <c r="AA14" s="24"/>
      <c r="AB14" s="24"/>
      <c r="AC14" s="24"/>
      <c r="AD14" s="24"/>
      <c r="AE14" s="24"/>
    </row>
    <row r="15" spans="1:41" ht="14.25" customHeight="1" x14ac:dyDescent="0.2">
      <c r="A15" s="616"/>
      <c r="B15" s="607" t="str">
        <f>Rydberg!B15</f>
        <v>Flux density</v>
      </c>
      <c r="C15" s="607"/>
      <c r="D15" s="3" t="str">
        <f>Rydberg!C15</f>
        <v>G</v>
      </c>
      <c r="E15" s="21">
        <f>IF(I$1="suffix u",Rydberg!F15,IF(I$1="suffix B",Bohr!F15,IF(I$1="suffix e",Clock!F15,Clock_by_Rydberg!F15)))</f>
        <v>0.3895692106002791</v>
      </c>
      <c r="F15" s="8">
        <v>-3</v>
      </c>
      <c r="G15" s="198">
        <f t="shared" si="0"/>
        <v>389.56921060027912</v>
      </c>
      <c r="H15" s="118" t="str">
        <f>Rydberg!L15</f>
        <v>mC/m^2</v>
      </c>
      <c r="I15" s="196"/>
      <c r="J15" s="24"/>
      <c r="K15" s="24"/>
      <c r="L15" s="24"/>
      <c r="M15" s="24"/>
      <c r="N15" s="24"/>
      <c r="O15" s="24"/>
      <c r="P15" s="24"/>
      <c r="Q15" s="24"/>
      <c r="R15" s="24"/>
      <c r="S15" s="24"/>
      <c r="T15" s="24"/>
      <c r="U15" s="24"/>
      <c r="V15" s="24"/>
      <c r="W15" s="24"/>
      <c r="X15" s="24"/>
      <c r="Y15" s="24"/>
      <c r="Z15" s="24"/>
      <c r="AA15" s="24"/>
      <c r="AB15" s="24"/>
      <c r="AC15" s="24"/>
      <c r="AD15" s="24"/>
      <c r="AE15" s="24"/>
    </row>
    <row r="16" spans="1:41" ht="14.25" customHeight="1" x14ac:dyDescent="0.2">
      <c r="A16" s="616"/>
      <c r="B16" s="607" t="str">
        <f>Rydberg!B16</f>
        <v>Impedance</v>
      </c>
      <c r="C16" s="607"/>
      <c r="D16" s="3" t="str">
        <f>Rydberg!C16</f>
        <v>Ω</v>
      </c>
      <c r="E16" s="21">
        <f>IF(I$1="suffix u",Rydberg!F16,IF(I$1="suffix B",Bohr!F16,IF(I$1="suffix e",Clock!F16,Clock_by_Rydberg!F16)))</f>
        <v>29.979245795870352</v>
      </c>
      <c r="F16" s="8">
        <v>0</v>
      </c>
      <c r="G16" s="198">
        <f t="shared" si="0"/>
        <v>29.979245795870352</v>
      </c>
      <c r="H16" s="118" t="str">
        <f>Rydberg!L16</f>
        <v>Ω</v>
      </c>
      <c r="I16" s="196"/>
      <c r="J16" s="24"/>
      <c r="K16" s="24"/>
      <c r="L16" s="24"/>
      <c r="M16" s="24"/>
      <c r="N16" s="24"/>
      <c r="O16" s="24"/>
      <c r="P16" s="24"/>
      <c r="Q16" s="24"/>
      <c r="R16" s="24"/>
      <c r="S16" s="24"/>
      <c r="T16" s="24"/>
      <c r="U16" s="24"/>
      <c r="V16" s="24"/>
      <c r="W16" s="24"/>
      <c r="X16" s="24"/>
      <c r="Y16" s="24"/>
      <c r="Z16" s="24"/>
      <c r="AA16" s="24"/>
      <c r="AB16" s="24"/>
      <c r="AC16" s="24"/>
      <c r="AD16" s="24"/>
      <c r="AE16" s="24"/>
    </row>
    <row r="17" spans="1:41" ht="14.25" customHeight="1" x14ac:dyDescent="0.2">
      <c r="A17" s="616"/>
      <c r="B17" s="610" t="str">
        <f>Rydberg!B17</f>
        <v>Electric potential difference</v>
      </c>
      <c r="C17" s="610"/>
      <c r="D17" s="3" t="str">
        <f>Rydberg!C17</f>
        <v>ΩA</v>
      </c>
      <c r="E17" s="21">
        <f>IF(I$1="suffix u",Rydberg!F17,IF(I$1="suffix B",Bohr!F17,IF(I$1="suffix e",Clock!F17,Clock_by_Rydberg!F17)))</f>
        <v>2.2177212607497374</v>
      </c>
      <c r="F17" s="8">
        <v>0</v>
      </c>
      <c r="G17" s="198">
        <f t="shared" si="0"/>
        <v>2.2177212607497374</v>
      </c>
      <c r="H17" s="118" t="str">
        <f>Rydberg!L17</f>
        <v>V</v>
      </c>
      <c r="I17" s="196"/>
      <c r="J17" s="24"/>
      <c r="K17" s="24"/>
      <c r="L17" s="24"/>
      <c r="M17" s="24"/>
      <c r="N17" s="24"/>
      <c r="O17" s="24"/>
      <c r="P17" s="24"/>
      <c r="Q17" s="24"/>
      <c r="R17" s="24"/>
      <c r="S17" s="24"/>
      <c r="T17" s="24"/>
      <c r="U17" s="24"/>
      <c r="V17" s="24"/>
      <c r="W17" s="24"/>
      <c r="X17" s="24"/>
      <c r="Y17" s="24"/>
      <c r="Z17" s="24"/>
      <c r="AA17" s="24"/>
      <c r="AB17" s="24"/>
      <c r="AC17" s="24"/>
      <c r="AD17" s="24"/>
      <c r="AE17" s="24"/>
    </row>
    <row r="18" spans="1:41" ht="14.25" customHeight="1" x14ac:dyDescent="0.2">
      <c r="A18" s="616"/>
      <c r="B18" s="607" t="str">
        <f>Rydberg!B18</f>
        <v>Electric capacitance</v>
      </c>
      <c r="C18" s="607"/>
      <c r="D18" s="3" t="str">
        <f>Rydberg!C18</f>
        <v>s/Ω</v>
      </c>
      <c r="E18" s="21">
        <f>IF(I$1="suffix u",Rydberg!F18,IF(I$1="suffix B",Bohr!F18,IF(I$1="suffix e",Clock!F18,Clock_by_Rydberg!F18)))</f>
        <v>1.3029851310663953E-2</v>
      </c>
      <c r="F18" s="8">
        <v>0</v>
      </c>
      <c r="G18" s="198">
        <f t="shared" si="0"/>
        <v>1.3029851310663953E-2</v>
      </c>
      <c r="H18" s="118" t="str">
        <f>Rydberg!L18</f>
        <v>mF</v>
      </c>
      <c r="I18" s="196"/>
      <c r="J18" s="24"/>
      <c r="K18" s="24"/>
      <c r="L18" s="24"/>
      <c r="M18" s="24"/>
      <c r="N18" s="24"/>
      <c r="O18" s="24"/>
      <c r="P18" s="24"/>
      <c r="Q18" s="24"/>
      <c r="R18" s="24"/>
      <c r="S18" s="24"/>
      <c r="T18" s="24"/>
      <c r="U18" s="24"/>
      <c r="V18" s="24"/>
      <c r="W18" s="24"/>
      <c r="X18" s="24"/>
      <c r="Y18" s="24"/>
      <c r="Z18" s="24"/>
      <c r="AA18" s="24"/>
      <c r="AB18" s="24"/>
      <c r="AC18" s="24"/>
      <c r="AD18" s="24"/>
      <c r="AE18" s="24"/>
    </row>
    <row r="19" spans="1:41" ht="14.25" customHeight="1" x14ac:dyDescent="0.2">
      <c r="A19" s="616"/>
      <c r="B19" s="607" t="str">
        <f>Rydberg!B19</f>
        <v>Magnetic flux</v>
      </c>
      <c r="C19" s="607"/>
      <c r="D19" s="3" t="str">
        <f>Rydberg!C19</f>
        <v>ΩC</v>
      </c>
      <c r="E19" s="21">
        <f>IF(I$1="suffix u",Rydberg!F19,IF(I$1="suffix B",Bohr!F19,IF(I$1="suffix e",Clock!F19,Clock_by_Rydberg!F19)))</f>
        <v>0.8662976227978284</v>
      </c>
      <c r="F19" s="8">
        <v>0</v>
      </c>
      <c r="G19" s="198">
        <f t="shared" si="0"/>
        <v>0.8662976227978284</v>
      </c>
      <c r="H19" s="118" t="str">
        <f>Rydberg!L19</f>
        <v>Wb</v>
      </c>
      <c r="I19" s="196"/>
      <c r="J19" s="24"/>
      <c r="K19" s="24"/>
      <c r="L19" s="24"/>
      <c r="M19" s="24"/>
      <c r="N19" s="24"/>
      <c r="O19" s="24"/>
      <c r="P19" s="24"/>
      <c r="Q19" s="24"/>
      <c r="R19" s="24"/>
      <c r="S19" s="24"/>
      <c r="T19" s="24"/>
      <c r="U19" s="24"/>
      <c r="V19" s="24"/>
      <c r="W19" s="24"/>
      <c r="X19" s="24"/>
      <c r="Y19" s="24"/>
      <c r="Z19" s="24"/>
      <c r="AA19" s="24"/>
      <c r="AB19" s="24"/>
      <c r="AC19" s="24"/>
      <c r="AD19" s="24"/>
      <c r="AE19" s="24"/>
    </row>
    <row r="20" spans="1:41" ht="14.25" customHeight="1" x14ac:dyDescent="0.2">
      <c r="A20" s="616"/>
      <c r="B20" s="607" t="str">
        <f>Rydberg!B20</f>
        <v>Magnetic flux density</v>
      </c>
      <c r="C20" s="607"/>
      <c r="D20" s="3" t="str">
        <f>Rydberg!C20</f>
        <v>ΩG</v>
      </c>
      <c r="E20" s="21">
        <f>IF(I$1="suffix u",Rydberg!F20,IF(I$1="suffix B",Bohr!F20,IF(I$1="suffix e",Clock!F20,Clock_by_Rydberg!F20)))</f>
        <v>11.678991119088948</v>
      </c>
      <c r="F20" s="8">
        <v>0</v>
      </c>
      <c r="G20" s="198">
        <f t="shared" si="0"/>
        <v>11.678991119088948</v>
      </c>
      <c r="H20" s="118" t="str">
        <f>Rydberg!L20</f>
        <v>T</v>
      </c>
      <c r="I20" s="196"/>
      <c r="J20" s="24"/>
      <c r="K20" s="24"/>
      <c r="L20" s="24"/>
      <c r="M20" s="24"/>
      <c r="N20" s="24"/>
      <c r="O20" s="24"/>
      <c r="P20" s="24"/>
      <c r="Q20" s="24"/>
      <c r="R20" s="24"/>
      <c r="S20" s="24"/>
      <c r="T20" s="24"/>
      <c r="U20" s="24"/>
      <c r="V20" s="24"/>
      <c r="W20" s="24"/>
      <c r="X20" s="24"/>
      <c r="Y20" s="24"/>
      <c r="Z20" s="24"/>
      <c r="AA20" s="24"/>
      <c r="AB20" s="24"/>
      <c r="AC20" s="24"/>
      <c r="AD20" s="24"/>
      <c r="AE20" s="24"/>
    </row>
    <row r="21" spans="1:41" ht="14.25" customHeight="1" thickBot="1" x14ac:dyDescent="0.25">
      <c r="A21" s="617"/>
      <c r="B21" s="608" t="str">
        <f>Rydberg!B21</f>
        <v>Inductance</v>
      </c>
      <c r="C21" s="608"/>
      <c r="D21" s="89" t="str">
        <f>Rydberg!C21</f>
        <v>sΩ</v>
      </c>
      <c r="E21" s="32">
        <f>IF(I$1="suffix u",Rydberg!F21,IF(I$1="suffix B",Bohr!F21,IF(I$1="suffix e",Clock!F21,Clock_by_Rydberg!F21)))</f>
        <v>11.710646340403649</v>
      </c>
      <c r="F21" s="33">
        <v>0</v>
      </c>
      <c r="G21" s="199">
        <f t="shared" si="0"/>
        <v>11.710646340403649</v>
      </c>
      <c r="H21" s="124" t="str">
        <f>Rydberg!L21</f>
        <v>H</v>
      </c>
      <c r="I21" s="197"/>
      <c r="J21" s="113"/>
      <c r="K21" s="113"/>
      <c r="L21" s="113"/>
      <c r="M21" s="113"/>
      <c r="N21" s="113"/>
      <c r="O21" s="113"/>
      <c r="P21" s="113"/>
      <c r="Q21" s="24"/>
      <c r="R21" s="24"/>
      <c r="S21" s="24"/>
      <c r="T21" s="24"/>
      <c r="U21" s="24"/>
      <c r="V21" s="24"/>
      <c r="W21" s="24"/>
      <c r="X21" s="24"/>
      <c r="Y21" s="24"/>
      <c r="Z21" s="24"/>
      <c r="AA21" s="24"/>
      <c r="AB21" s="24"/>
      <c r="AC21" s="24"/>
      <c r="AD21" s="24"/>
      <c r="AE21" s="24"/>
    </row>
    <row r="22" spans="1:41" ht="14.25" customHeight="1" thickBot="1" x14ac:dyDescent="0.25">
      <c r="A22" s="612"/>
      <c r="B22" s="613"/>
      <c r="C22" s="614" t="s">
        <v>553</v>
      </c>
      <c r="D22" s="614"/>
      <c r="E22" s="614"/>
      <c r="F22" s="614"/>
      <c r="G22" s="614"/>
      <c r="H22" s="614"/>
      <c r="I22" s="611" t="s">
        <v>554</v>
      </c>
      <c r="J22" s="611"/>
      <c r="K22" s="611"/>
      <c r="L22" s="611"/>
      <c r="M22" s="611"/>
      <c r="N22" s="611"/>
      <c r="O22" s="611"/>
      <c r="P22" s="611"/>
      <c r="Q22" s="23"/>
      <c r="R22" s="24"/>
      <c r="S22" s="24"/>
      <c r="T22" s="24"/>
      <c r="U22" s="24"/>
      <c r="V22" s="24"/>
      <c r="W22" s="24"/>
      <c r="X22" s="24"/>
      <c r="Y22" s="24"/>
      <c r="Z22" s="24"/>
      <c r="AA22" s="24"/>
      <c r="AB22" s="24"/>
      <c r="AC22" s="24"/>
      <c r="AD22" s="24"/>
      <c r="AE22" s="24"/>
    </row>
    <row r="23" spans="1:41" ht="11.25" customHeight="1" x14ac:dyDescent="0.2">
      <c r="A23" s="602" t="s">
        <v>573</v>
      </c>
      <c r="B23" s="200" t="s">
        <v>555</v>
      </c>
      <c r="C23" s="90" t="s">
        <v>42</v>
      </c>
      <c r="D23" s="204" t="s">
        <v>95</v>
      </c>
      <c r="E23" s="17" t="s">
        <v>43</v>
      </c>
      <c r="F23" s="18" t="s">
        <v>54</v>
      </c>
      <c r="G23" s="17" t="s">
        <v>47</v>
      </c>
      <c r="H23" s="164" t="s">
        <v>95</v>
      </c>
      <c r="I23" s="155" t="s">
        <v>42</v>
      </c>
      <c r="J23" s="18" t="s">
        <v>95</v>
      </c>
      <c r="K23" s="18" t="s">
        <v>54</v>
      </c>
      <c r="L23" s="17" t="s">
        <v>47</v>
      </c>
      <c r="M23" s="17" t="s">
        <v>45</v>
      </c>
      <c r="N23" s="575" t="s">
        <v>80</v>
      </c>
      <c r="O23" s="576"/>
      <c r="P23" s="20" t="s">
        <v>213</v>
      </c>
      <c r="Q23" s="35">
        <v>0</v>
      </c>
      <c r="R23" s="36"/>
      <c r="S23" s="36">
        <f>Q23+1</f>
        <v>1</v>
      </c>
      <c r="T23" s="36"/>
      <c r="U23" s="36">
        <f>S23+1</f>
        <v>2</v>
      </c>
      <c r="V23" s="36"/>
      <c r="W23" s="36">
        <f>U23+1</f>
        <v>3</v>
      </c>
      <c r="X23" s="36"/>
      <c r="Y23" s="36">
        <f>W23+1</f>
        <v>4</v>
      </c>
      <c r="Z23" s="36"/>
      <c r="AA23" s="36">
        <f>Y23+1</f>
        <v>5</v>
      </c>
      <c r="AB23" s="36"/>
      <c r="AC23" s="36">
        <f>AA23+1</f>
        <v>6</v>
      </c>
      <c r="AD23" s="36"/>
      <c r="AE23" s="36">
        <f>AC23+1</f>
        <v>7</v>
      </c>
      <c r="AF23" s="36"/>
      <c r="AG23" s="36">
        <f>AE23+1</f>
        <v>8</v>
      </c>
      <c r="AH23" s="36"/>
      <c r="AI23" s="36">
        <f>AG23+1</f>
        <v>9</v>
      </c>
      <c r="AJ23" s="36"/>
      <c r="AK23" s="36">
        <f>AI23+1</f>
        <v>10</v>
      </c>
      <c r="AL23" s="36"/>
      <c r="AM23" s="36">
        <f>AK23+1</f>
        <v>11</v>
      </c>
      <c r="AN23" s="36"/>
      <c r="AO23" s="36">
        <f>AM23+1</f>
        <v>12</v>
      </c>
    </row>
    <row r="24" spans="1:41" ht="14.25" customHeight="1" x14ac:dyDescent="0.2">
      <c r="A24" s="602"/>
      <c r="B24" s="604" t="s">
        <v>569</v>
      </c>
      <c r="C24" s="165" t="s">
        <v>537</v>
      </c>
      <c r="D24" s="3" t="s">
        <v>534</v>
      </c>
      <c r="E24" s="151">
        <f t="shared" ref="E24:E28" si="28">E25/12</f>
        <v>9.1210202714325925E-8</v>
      </c>
      <c r="F24" s="15">
        <v>-9</v>
      </c>
      <c r="G24" s="166">
        <f t="shared" ref="G24:G94" si="29">E24*POWER(10,-F24)</f>
        <v>91.210202714325931</v>
      </c>
      <c r="H24" s="167" t="s">
        <v>536</v>
      </c>
      <c r="I24" s="156">
        <f t="shared" ref="I24:I28" si="30">I25/10</f>
        <v>1.0000000000000002E-6</v>
      </c>
      <c r="J24" s="2" t="s">
        <v>534</v>
      </c>
      <c r="K24" s="8">
        <v>9</v>
      </c>
      <c r="L24" s="21">
        <f t="shared" ref="L24:L28" si="31">L25/10</f>
        <v>3.6717161755390258E-6</v>
      </c>
      <c r="M24" s="37" t="str">
        <f t="shared" ref="M24:M28" si="32">Q24&amp;";"&amp;S24&amp;U24&amp;W24&amp;Y24&amp;AA24&amp;AC24&amp;AE24&amp;AG24&amp;AI24&amp;AK24&amp;AM24&amp;AO24</f>
        <v>X;E692EX2X4</v>
      </c>
      <c r="N24" s="38">
        <f t="shared" ref="N24:N28" si="33">N25-1</f>
        <v>-6</v>
      </c>
      <c r="O24" s="61">
        <f t="shared" ref="O24:O28" si="34">L24/POWER(12,N24)</f>
        <v>10.963685752700723</v>
      </c>
      <c r="P24" s="39" t="str">
        <f>INDEX(powers!$H$2:$H$75,33+N24)</f>
        <v>gross atomic</v>
      </c>
      <c r="Q24" s="40" t="str">
        <f t="shared" ref="Q24:Q94" si="35">IF($K24&gt;=Q$23,MID($N$23,IF($K24&gt;Q$23,INT(O24),ROUND(O24,0))+1,1),"")</f>
        <v>X</v>
      </c>
      <c r="R24" s="24">
        <f t="shared" ref="R24:R28" si="36">(O24-INT(O24))*12</f>
        <v>11.564229032408676</v>
      </c>
      <c r="S24" s="41" t="str">
        <f t="shared" ref="S24:S87" si="37">IF($K24&gt;=S$23,MID($N$23,IF($K24&gt;S$23,INT(R24),ROUND(R24,0))+1,1),"")</f>
        <v>E</v>
      </c>
      <c r="T24" s="24">
        <f t="shared" ref="T24:T28" si="38">(R24-INT(R24))*12</f>
        <v>6.77074838890411</v>
      </c>
      <c r="U24" s="41" t="str">
        <f t="shared" ref="U24:U87" si="39">IF($K24&gt;=U$23,MID($N$23,IF($K24&gt;U$23,INT(T24),ROUND(T24,0))+1,1),"")</f>
        <v>6</v>
      </c>
      <c r="V24" s="24">
        <f t="shared" ref="V24:V28" si="40">(T24-INT(T24))*12</f>
        <v>9.2489806668493202</v>
      </c>
      <c r="W24" s="41" t="str">
        <f t="shared" ref="W24:W87" si="41">IF($K24&gt;=W$23,MID($N$23,IF($K24&gt;W$23,INT(V24),ROUND(V24,0))+1,1),"")</f>
        <v>9</v>
      </c>
      <c r="X24" s="24">
        <f t="shared" ref="X24:X28" si="42">(V24-INT(V24))*12</f>
        <v>2.9877680021918422</v>
      </c>
      <c r="Y24" s="41" t="str">
        <f t="shared" ref="Y24:Y87" si="43">IF($K24&gt;=Y$23,MID($N$23,IF($K24&gt;Y$23,INT(X24),ROUND(X24,0))+1,1),"")</f>
        <v>2</v>
      </c>
      <c r="Z24" s="24">
        <f t="shared" ref="Z24:Z28" si="44">(X24-INT(X24))*12</f>
        <v>11.853216026302107</v>
      </c>
      <c r="AA24" s="41" t="str">
        <f t="shared" ref="AA24:AA87" si="45">IF($K24&gt;=AA$23,MID($N$23,IF($K24&gt;AA$23,INT(Z24),ROUND(Z24,0))+1,1),"")</f>
        <v>E</v>
      </c>
      <c r="AB24" s="24">
        <f t="shared" ref="AB24:AB28" si="46">(Z24-INT(Z24))*12</f>
        <v>10.238592315625283</v>
      </c>
      <c r="AC24" s="41" t="str">
        <f t="shared" ref="AC24:AC87" si="47">IF($K24&gt;=AC$23,MID($N$23,IF($K24&gt;AC$23,INT(AB24),ROUND(AB24,0))+1,1),"")</f>
        <v>X</v>
      </c>
      <c r="AD24" s="24">
        <f t="shared" ref="AD24:AD28" si="48">(AB24-INT(AB24))*12</f>
        <v>2.8631077875033952</v>
      </c>
      <c r="AE24" s="41" t="str">
        <f t="shared" ref="AE24:AE87" si="49">IF($K24&gt;=AE$23,MID($N$23,IF($K24&gt;AE$23,INT(AD24),ROUND(AD24,0))+1,1),"")</f>
        <v>2</v>
      </c>
      <c r="AF24" s="24">
        <f t="shared" ref="AF24:AF28" si="50">(AD24-INT(AD24))*12</f>
        <v>10.357293450040743</v>
      </c>
      <c r="AG24" s="41" t="str">
        <f t="shared" ref="AG24:AG87" si="51">IF($K24&gt;=AG$23,MID($N$23,IF($K24&gt;AG$23,INT(AF24),ROUND(AF24,0))+1,1),"")</f>
        <v>X</v>
      </c>
      <c r="AH24" s="24">
        <f t="shared" ref="AH24:AH28" si="52">(AF24-INT(AF24))*12</f>
        <v>4.2875214004889131</v>
      </c>
      <c r="AI24" s="41" t="str">
        <f t="shared" ref="AI24:AI87" si="53">IF($K24&gt;=AI$23,MID($N$23,IF($K24&gt;AI$23,INT(AH24),ROUND(AH24,0))+1,1),"")</f>
        <v>4</v>
      </c>
      <c r="AJ24" s="24">
        <f t="shared" ref="AJ24:AJ28" si="54">(AH24-INT(AH24))*12</f>
        <v>3.4502568058669567</v>
      </c>
      <c r="AK24" s="41" t="str">
        <f t="shared" ref="AK24:AK87" si="55">IF($K24&gt;=AK$23,MID($N$23,IF($K24&gt;AK$23,INT(AJ24),ROUND(AJ24,0))+1,1),"")</f>
        <v/>
      </c>
      <c r="AL24" s="24">
        <f t="shared" ref="AL24:AL28" si="56">(AJ24-INT(AJ24))*12</f>
        <v>5.4030816704034805</v>
      </c>
      <c r="AM24" s="41" t="str">
        <f t="shared" ref="AM24:AM87" si="57">IF($K24&gt;=AM$23,MID($N$23,IF($K24&gt;AM$23,INT(AL24),ROUND(AL24,0))+1,1),"")</f>
        <v/>
      </c>
      <c r="AN24" s="24">
        <f t="shared" ref="AN24:AN28" si="58">(AL24-INT(AL24))*12</f>
        <v>4.8369800448417664</v>
      </c>
      <c r="AO24" s="41" t="str">
        <f t="shared" ref="AO24:AO87" si="59">IF($K24&gt;=AO$23,MID($N$23,IF($K24&gt;AO$23,INT(AN24),ROUND(AN24,0))+1,1),"")</f>
        <v/>
      </c>
    </row>
    <row r="25" spans="1:41" ht="14.25" customHeight="1" x14ac:dyDescent="0.2">
      <c r="A25" s="602"/>
      <c r="B25" s="604"/>
      <c r="C25" s="168" t="s">
        <v>538</v>
      </c>
      <c r="D25" s="3" t="str">
        <f>D24</f>
        <v>m</v>
      </c>
      <c r="E25" s="151">
        <f t="shared" si="28"/>
        <v>1.0945224325719111E-6</v>
      </c>
      <c r="F25" s="15">
        <v>-6</v>
      </c>
      <c r="G25" s="166">
        <f t="shared" si="29"/>
        <v>1.094522432571911</v>
      </c>
      <c r="H25" s="167" t="s">
        <v>562</v>
      </c>
      <c r="I25" s="157">
        <f t="shared" si="30"/>
        <v>1.0000000000000001E-5</v>
      </c>
      <c r="J25" s="2" t="s">
        <v>534</v>
      </c>
      <c r="K25" s="8">
        <v>9</v>
      </c>
      <c r="L25" s="21">
        <f t="shared" si="31"/>
        <v>3.6717161755390259E-5</v>
      </c>
      <c r="M25" s="37" t="str">
        <f t="shared" si="32"/>
        <v>9;17785X648</v>
      </c>
      <c r="N25" s="38">
        <f t="shared" si="33"/>
        <v>-5</v>
      </c>
      <c r="O25" s="61">
        <f t="shared" si="34"/>
        <v>9.1364047939172686</v>
      </c>
      <c r="P25" s="39" t="str">
        <f>INDEX(powers!$H$2:$H$75,33+N25)</f>
        <v>doz gross atomic</v>
      </c>
      <c r="Q25" s="40" t="str">
        <f t="shared" si="35"/>
        <v>9</v>
      </c>
      <c r="R25" s="24">
        <f t="shared" si="36"/>
        <v>1.6368575270072228</v>
      </c>
      <c r="S25" s="41" t="str">
        <f t="shared" si="37"/>
        <v>1</v>
      </c>
      <c r="T25" s="24">
        <f t="shared" si="38"/>
        <v>7.6422903240866731</v>
      </c>
      <c r="U25" s="41" t="str">
        <f t="shared" si="39"/>
        <v>7</v>
      </c>
      <c r="V25" s="24">
        <f t="shared" si="40"/>
        <v>7.707483889040077</v>
      </c>
      <c r="W25" s="41" t="str">
        <f t="shared" si="41"/>
        <v>7</v>
      </c>
      <c r="X25" s="24">
        <f t="shared" si="42"/>
        <v>8.4898066684809237</v>
      </c>
      <c r="Y25" s="41" t="str">
        <f t="shared" si="43"/>
        <v>8</v>
      </c>
      <c r="Z25" s="24">
        <f t="shared" si="44"/>
        <v>5.8776800217710843</v>
      </c>
      <c r="AA25" s="41" t="str">
        <f t="shared" si="45"/>
        <v>5</v>
      </c>
      <c r="AB25" s="24">
        <f t="shared" si="46"/>
        <v>10.532160261253011</v>
      </c>
      <c r="AC25" s="41" t="str">
        <f t="shared" si="47"/>
        <v>X</v>
      </c>
      <c r="AD25" s="24">
        <f t="shared" si="48"/>
        <v>6.385923135036137</v>
      </c>
      <c r="AE25" s="41" t="str">
        <f t="shared" si="49"/>
        <v>6</v>
      </c>
      <c r="AF25" s="24">
        <f t="shared" si="50"/>
        <v>4.6310776204336435</v>
      </c>
      <c r="AG25" s="41" t="str">
        <f t="shared" si="51"/>
        <v>4</v>
      </c>
      <c r="AH25" s="24">
        <f t="shared" si="52"/>
        <v>7.5729314452037215</v>
      </c>
      <c r="AI25" s="41" t="str">
        <f t="shared" si="53"/>
        <v>8</v>
      </c>
      <c r="AJ25" s="24">
        <f t="shared" si="54"/>
        <v>6.8751773424446583</v>
      </c>
      <c r="AK25" s="41" t="str">
        <f t="shared" si="55"/>
        <v/>
      </c>
      <c r="AL25" s="24">
        <f t="shared" si="56"/>
        <v>10.502128109335899</v>
      </c>
      <c r="AM25" s="41" t="str">
        <f t="shared" si="57"/>
        <v/>
      </c>
      <c r="AN25" s="24">
        <f t="shared" si="58"/>
        <v>6.0255373120307922</v>
      </c>
      <c r="AO25" s="41" t="str">
        <f t="shared" si="59"/>
        <v/>
      </c>
    </row>
    <row r="26" spans="1:41" ht="14.25" customHeight="1" x14ac:dyDescent="0.2">
      <c r="A26" s="602"/>
      <c r="B26" s="604"/>
      <c r="C26" s="169" t="s">
        <v>539</v>
      </c>
      <c r="D26" s="3" t="str">
        <f t="shared" ref="D26:D35" si="60">D25</f>
        <v>m</v>
      </c>
      <c r="E26" s="151">
        <f t="shared" si="28"/>
        <v>1.3134269190862933E-5</v>
      </c>
      <c r="F26" s="15">
        <v>-6</v>
      </c>
      <c r="G26" s="166">
        <f t="shared" si="29"/>
        <v>13.134269190862932</v>
      </c>
      <c r="H26" s="167" t="s">
        <v>562</v>
      </c>
      <c r="I26" s="158">
        <f t="shared" si="30"/>
        <v>1E-4</v>
      </c>
      <c r="J26" s="2" t="s">
        <v>534</v>
      </c>
      <c r="K26" s="8">
        <v>9</v>
      </c>
      <c r="L26" s="21">
        <f t="shared" si="31"/>
        <v>3.6717161755390261E-4</v>
      </c>
      <c r="M26" s="37" t="str">
        <f t="shared" si="32"/>
        <v>7;74450X93X</v>
      </c>
      <c r="N26" s="38">
        <f t="shared" si="33"/>
        <v>-4</v>
      </c>
      <c r="O26" s="61">
        <f t="shared" si="34"/>
        <v>7.613670661597725</v>
      </c>
      <c r="P26" s="39" t="str">
        <f>INDEX(powers!$H$2:$H$75,33+N26)</f>
        <v>sub</v>
      </c>
      <c r="Q26" s="40" t="str">
        <f t="shared" si="35"/>
        <v>7</v>
      </c>
      <c r="R26" s="24">
        <f t="shared" si="36"/>
        <v>7.3640479391726998</v>
      </c>
      <c r="S26" s="41" t="str">
        <f t="shared" si="37"/>
        <v>7</v>
      </c>
      <c r="T26" s="24">
        <f t="shared" si="38"/>
        <v>4.3685752700723981</v>
      </c>
      <c r="U26" s="41" t="str">
        <f t="shared" si="39"/>
        <v>4</v>
      </c>
      <c r="V26" s="24">
        <f t="shared" si="40"/>
        <v>4.4229032408687772</v>
      </c>
      <c r="W26" s="41" t="str">
        <f t="shared" si="41"/>
        <v>4</v>
      </c>
      <c r="X26" s="24">
        <f t="shared" si="42"/>
        <v>5.0748388904253261</v>
      </c>
      <c r="Y26" s="41" t="str">
        <f t="shared" si="43"/>
        <v>5</v>
      </c>
      <c r="Z26" s="24">
        <f t="shared" si="44"/>
        <v>0.89806668510391319</v>
      </c>
      <c r="AA26" s="41" t="str">
        <f t="shared" si="45"/>
        <v>0</v>
      </c>
      <c r="AB26" s="24">
        <f t="shared" si="46"/>
        <v>10.776800221246958</v>
      </c>
      <c r="AC26" s="41" t="str">
        <f t="shared" si="47"/>
        <v>X</v>
      </c>
      <c r="AD26" s="24">
        <f t="shared" si="48"/>
        <v>9.3216026549634989</v>
      </c>
      <c r="AE26" s="41" t="str">
        <f t="shared" si="49"/>
        <v>9</v>
      </c>
      <c r="AF26" s="24">
        <f t="shared" si="50"/>
        <v>3.8592318595619872</v>
      </c>
      <c r="AG26" s="41" t="str">
        <f t="shared" si="51"/>
        <v>3</v>
      </c>
      <c r="AH26" s="24">
        <f t="shared" si="52"/>
        <v>10.310782314743847</v>
      </c>
      <c r="AI26" s="41" t="str">
        <f t="shared" si="53"/>
        <v>X</v>
      </c>
      <c r="AJ26" s="24">
        <f t="shared" si="54"/>
        <v>3.7293877769261599</v>
      </c>
      <c r="AK26" s="41" t="str">
        <f t="shared" si="55"/>
        <v/>
      </c>
      <c r="AL26" s="24">
        <f t="shared" si="56"/>
        <v>8.7526533231139183</v>
      </c>
      <c r="AM26" s="41" t="str">
        <f t="shared" si="57"/>
        <v/>
      </c>
      <c r="AN26" s="24">
        <f t="shared" si="58"/>
        <v>9.0318398773670197</v>
      </c>
      <c r="AO26" s="41" t="str">
        <f t="shared" si="59"/>
        <v/>
      </c>
    </row>
    <row r="27" spans="1:41" ht="14.25" customHeight="1" x14ac:dyDescent="0.2">
      <c r="A27" s="602"/>
      <c r="B27" s="604"/>
      <c r="C27" s="170" t="s">
        <v>540</v>
      </c>
      <c r="D27" s="3" t="str">
        <f t="shared" si="60"/>
        <v>m</v>
      </c>
      <c r="E27" s="151">
        <f t="shared" si="28"/>
        <v>1.5761123029035519E-4</v>
      </c>
      <c r="F27" s="15">
        <v>-6</v>
      </c>
      <c r="G27" s="166">
        <f t="shared" si="29"/>
        <v>157.61123029035519</v>
      </c>
      <c r="H27" s="167" t="s">
        <v>562</v>
      </c>
      <c r="I27" s="159">
        <f t="shared" si="30"/>
        <v>1E-3</v>
      </c>
      <c r="J27" s="2" t="s">
        <v>534</v>
      </c>
      <c r="K27" s="8">
        <v>9</v>
      </c>
      <c r="L27" s="21">
        <f t="shared" si="31"/>
        <v>3.6717161755390262E-3</v>
      </c>
      <c r="M27" s="37" t="str">
        <f t="shared" si="32"/>
        <v>6;417828E93</v>
      </c>
      <c r="N27" s="38">
        <f t="shared" si="33"/>
        <v>-3</v>
      </c>
      <c r="O27" s="61">
        <f t="shared" si="34"/>
        <v>6.3447255513314378</v>
      </c>
      <c r="P27" s="39" t="str">
        <f>INDEX(powers!$H$2:$H$75,33+N27)</f>
        <v>terno</v>
      </c>
      <c r="Q27" s="40" t="str">
        <f t="shared" si="35"/>
        <v>6</v>
      </c>
      <c r="R27" s="24">
        <f t="shared" si="36"/>
        <v>4.1367066159772534</v>
      </c>
      <c r="S27" s="41" t="str">
        <f t="shared" si="37"/>
        <v>4</v>
      </c>
      <c r="T27" s="24">
        <f t="shared" si="38"/>
        <v>1.640479391727041</v>
      </c>
      <c r="U27" s="41" t="str">
        <f t="shared" si="39"/>
        <v>1</v>
      </c>
      <c r="V27" s="24">
        <f t="shared" si="40"/>
        <v>7.6857527007244926</v>
      </c>
      <c r="W27" s="41" t="str">
        <f t="shared" si="41"/>
        <v>7</v>
      </c>
      <c r="X27" s="24">
        <f t="shared" si="42"/>
        <v>8.2290324086939108</v>
      </c>
      <c r="Y27" s="41" t="str">
        <f t="shared" si="43"/>
        <v>8</v>
      </c>
      <c r="Z27" s="24">
        <f t="shared" si="44"/>
        <v>2.7483889043269301</v>
      </c>
      <c r="AA27" s="41" t="str">
        <f t="shared" si="45"/>
        <v>2</v>
      </c>
      <c r="AB27" s="24">
        <f t="shared" si="46"/>
        <v>8.9806668519231607</v>
      </c>
      <c r="AC27" s="41" t="str">
        <f t="shared" si="47"/>
        <v>8</v>
      </c>
      <c r="AD27" s="24">
        <f t="shared" si="48"/>
        <v>11.768002223077929</v>
      </c>
      <c r="AE27" s="41" t="str">
        <f t="shared" si="49"/>
        <v>E</v>
      </c>
      <c r="AF27" s="24">
        <f t="shared" si="50"/>
        <v>9.2160266769351438</v>
      </c>
      <c r="AG27" s="41" t="str">
        <f t="shared" si="51"/>
        <v>9</v>
      </c>
      <c r="AH27" s="24">
        <f t="shared" si="52"/>
        <v>2.5923201232217252</v>
      </c>
      <c r="AI27" s="41" t="str">
        <f t="shared" si="53"/>
        <v>3</v>
      </c>
      <c r="AJ27" s="24">
        <f t="shared" si="54"/>
        <v>7.1078414786607027</v>
      </c>
      <c r="AK27" s="41" t="str">
        <f t="shared" si="55"/>
        <v/>
      </c>
      <c r="AL27" s="24">
        <f t="shared" si="56"/>
        <v>1.2940977439284325</v>
      </c>
      <c r="AM27" s="41" t="str">
        <f t="shared" si="57"/>
        <v/>
      </c>
      <c r="AN27" s="24">
        <f t="shared" si="58"/>
        <v>3.5291729271411896</v>
      </c>
      <c r="AO27" s="41" t="str">
        <f t="shared" si="59"/>
        <v/>
      </c>
    </row>
    <row r="28" spans="1:41" ht="14.25" customHeight="1" x14ac:dyDescent="0.2">
      <c r="A28" s="602"/>
      <c r="B28" s="604"/>
      <c r="C28" s="171" t="s">
        <v>541</v>
      </c>
      <c r="D28" s="3" t="str">
        <f t="shared" si="60"/>
        <v>m</v>
      </c>
      <c r="E28" s="151">
        <f t="shared" si="28"/>
        <v>1.8913347634842623E-3</v>
      </c>
      <c r="F28" s="15">
        <v>-3</v>
      </c>
      <c r="G28" s="166">
        <f t="shared" si="29"/>
        <v>1.8913347634842623</v>
      </c>
      <c r="H28" s="167" t="s">
        <v>226</v>
      </c>
      <c r="I28" s="160">
        <f t="shared" si="30"/>
        <v>0.01</v>
      </c>
      <c r="J28" s="2" t="s">
        <v>534</v>
      </c>
      <c r="K28" s="8">
        <v>9</v>
      </c>
      <c r="L28" s="21">
        <f t="shared" si="31"/>
        <v>3.6717161755390262E-2</v>
      </c>
      <c r="M28" s="37" t="str">
        <f t="shared" si="32"/>
        <v>5;3544X3598</v>
      </c>
      <c r="N28" s="38">
        <f t="shared" si="33"/>
        <v>-2</v>
      </c>
      <c r="O28" s="61">
        <f t="shared" si="34"/>
        <v>5.2872712927761985</v>
      </c>
      <c r="P28" s="39" t="str">
        <f>INDEX(powers!$H$2:$H$75,33+N28)</f>
        <v>dino</v>
      </c>
      <c r="Q28" s="40" t="str">
        <f t="shared" si="35"/>
        <v>5</v>
      </c>
      <c r="R28" s="24">
        <f t="shared" si="36"/>
        <v>3.4472555133143814</v>
      </c>
      <c r="S28" s="41" t="str">
        <f t="shared" si="37"/>
        <v>3</v>
      </c>
      <c r="T28" s="24">
        <f t="shared" si="38"/>
        <v>5.3670661597725768</v>
      </c>
      <c r="U28" s="41" t="str">
        <f t="shared" si="39"/>
        <v>5</v>
      </c>
      <c r="V28" s="24">
        <f t="shared" si="40"/>
        <v>4.4047939172709221</v>
      </c>
      <c r="W28" s="41" t="str">
        <f t="shared" si="41"/>
        <v>4</v>
      </c>
      <c r="X28" s="24">
        <f t="shared" si="42"/>
        <v>4.8575270072510648</v>
      </c>
      <c r="Y28" s="41" t="str">
        <f t="shared" si="43"/>
        <v>4</v>
      </c>
      <c r="Z28" s="24">
        <f t="shared" si="44"/>
        <v>10.290324087012777</v>
      </c>
      <c r="AA28" s="41" t="str">
        <f t="shared" si="45"/>
        <v>X</v>
      </c>
      <c r="AB28" s="24">
        <f t="shared" si="46"/>
        <v>3.4838890441533295</v>
      </c>
      <c r="AC28" s="41" t="str">
        <f t="shared" si="47"/>
        <v>3</v>
      </c>
      <c r="AD28" s="24">
        <f t="shared" si="48"/>
        <v>5.8066685298399534</v>
      </c>
      <c r="AE28" s="41" t="str">
        <f t="shared" si="49"/>
        <v>5</v>
      </c>
      <c r="AF28" s="24">
        <f t="shared" si="50"/>
        <v>9.6800223580794409</v>
      </c>
      <c r="AG28" s="41" t="str">
        <f t="shared" si="51"/>
        <v>9</v>
      </c>
      <c r="AH28" s="24">
        <f t="shared" si="52"/>
        <v>8.1602682969532907</v>
      </c>
      <c r="AI28" s="41" t="str">
        <f t="shared" si="53"/>
        <v>8</v>
      </c>
      <c r="AJ28" s="24">
        <f t="shared" si="54"/>
        <v>1.9232195634394884</v>
      </c>
      <c r="AK28" s="41" t="str">
        <f t="shared" si="55"/>
        <v/>
      </c>
      <c r="AL28" s="24">
        <f t="shared" si="56"/>
        <v>11.078634761273861</v>
      </c>
      <c r="AM28" s="41" t="str">
        <f t="shared" si="57"/>
        <v/>
      </c>
      <c r="AN28" s="24">
        <f t="shared" si="58"/>
        <v>0.94361713528633118</v>
      </c>
      <c r="AO28" s="41" t="str">
        <f t="shared" si="59"/>
        <v/>
      </c>
    </row>
    <row r="29" spans="1:41" ht="14.25" customHeight="1" x14ac:dyDescent="0.2">
      <c r="A29" s="602"/>
      <c r="B29" s="604"/>
      <c r="C29" s="172" t="s">
        <v>542</v>
      </c>
      <c r="D29" s="3" t="str">
        <f t="shared" si="60"/>
        <v>m</v>
      </c>
      <c r="E29" s="151">
        <f>E30/12</f>
        <v>2.2696017161811147E-2</v>
      </c>
      <c r="F29" s="15">
        <v>-3</v>
      </c>
      <c r="G29" s="166">
        <f t="shared" si="29"/>
        <v>22.696017161811145</v>
      </c>
      <c r="H29" s="167" t="s">
        <v>226</v>
      </c>
      <c r="I29" s="161">
        <f>I30/10</f>
        <v>0.1</v>
      </c>
      <c r="J29" s="2" t="s">
        <v>534</v>
      </c>
      <c r="K29" s="8">
        <v>9</v>
      </c>
      <c r="L29" s="21">
        <f>L30/10</f>
        <v>0.36717161755390265</v>
      </c>
      <c r="M29" s="37" t="str">
        <f>Q29&amp;";"&amp;S29&amp;U29&amp;W29&amp;Y29&amp;AA29&amp;AC29&amp;AE29&amp;AG29&amp;AI29&amp;AK29&amp;AM29&amp;AO29</f>
        <v>4;4X5806XX1</v>
      </c>
      <c r="N29" s="38">
        <f>N30-1</f>
        <v>-1</v>
      </c>
      <c r="O29" s="61">
        <f t="shared" ref="O29" si="61">L29/POWER(12,N29)</f>
        <v>4.406059410646832</v>
      </c>
      <c r="P29" s="39" t="str">
        <f>INDEX(powers!$H$2:$H$75,33+N29)</f>
        <v>unino</v>
      </c>
      <c r="Q29" s="40" t="str">
        <f t="shared" si="35"/>
        <v>4</v>
      </c>
      <c r="R29" s="24">
        <f>(O29-INT(O29))*12</f>
        <v>4.8727129277619845</v>
      </c>
      <c r="S29" s="41" t="str">
        <f t="shared" si="37"/>
        <v>4</v>
      </c>
      <c r="T29" s="24">
        <f>(R29-INT(R29))*12</f>
        <v>10.472555133143814</v>
      </c>
      <c r="U29" s="41" t="str">
        <f t="shared" si="39"/>
        <v>X</v>
      </c>
      <c r="V29" s="24">
        <f>(T29-INT(T29))*12</f>
        <v>5.6706615977257684</v>
      </c>
      <c r="W29" s="41" t="str">
        <f t="shared" si="41"/>
        <v>5</v>
      </c>
      <c r="X29" s="24">
        <f>(V29-INT(V29))*12</f>
        <v>8.0479391727092207</v>
      </c>
      <c r="Y29" s="41" t="str">
        <f t="shared" si="43"/>
        <v>8</v>
      </c>
      <c r="Z29" s="24">
        <f>(X29-INT(X29))*12</f>
        <v>0.57527007251064788</v>
      </c>
      <c r="AA29" s="41" t="str">
        <f t="shared" si="45"/>
        <v>0</v>
      </c>
      <c r="AB29" s="24">
        <f>(Z29-INT(Z29))*12</f>
        <v>6.9032408701277745</v>
      </c>
      <c r="AC29" s="41" t="str">
        <f t="shared" si="47"/>
        <v>6</v>
      </c>
      <c r="AD29" s="24">
        <f>(AB29-INT(AB29))*12</f>
        <v>10.838890441533295</v>
      </c>
      <c r="AE29" s="41" t="str">
        <f t="shared" si="49"/>
        <v>X</v>
      </c>
      <c r="AF29" s="24">
        <f>(AD29-INT(AD29))*12</f>
        <v>10.066685298399534</v>
      </c>
      <c r="AG29" s="41" t="str">
        <f t="shared" si="51"/>
        <v>X</v>
      </c>
      <c r="AH29" s="24">
        <f>(AF29-INT(AF29))*12</f>
        <v>0.80022358079440892</v>
      </c>
      <c r="AI29" s="41" t="str">
        <f t="shared" si="53"/>
        <v>1</v>
      </c>
      <c r="AJ29" s="24">
        <f>(AH29-INT(AH29))*12</f>
        <v>9.602682969532907</v>
      </c>
      <c r="AK29" s="41" t="str">
        <f t="shared" si="55"/>
        <v/>
      </c>
      <c r="AL29" s="24">
        <f>(AJ29-INT(AJ29))*12</f>
        <v>7.2321956343948841</v>
      </c>
      <c r="AM29" s="41" t="str">
        <f t="shared" si="57"/>
        <v/>
      </c>
      <c r="AN29" s="24">
        <f>(AL29-INT(AL29))*12</f>
        <v>2.7863476127386093</v>
      </c>
      <c r="AO29" s="41" t="str">
        <f t="shared" si="59"/>
        <v/>
      </c>
    </row>
    <row r="30" spans="1:41" ht="14.25" customHeight="1" x14ac:dyDescent="0.2">
      <c r="A30" s="602"/>
      <c r="B30" s="604"/>
      <c r="C30" s="173" t="s">
        <v>583</v>
      </c>
      <c r="D30" s="3" t="str">
        <f t="shared" si="60"/>
        <v>m</v>
      </c>
      <c r="E30" s="151">
        <f>E3</f>
        <v>0.27235220594173376</v>
      </c>
      <c r="F30" s="15">
        <v>-3</v>
      </c>
      <c r="G30" s="166">
        <f t="shared" si="29"/>
        <v>272.35220594173376</v>
      </c>
      <c r="H30" s="167" t="s">
        <v>226</v>
      </c>
      <c r="I30" s="162">
        <v>1</v>
      </c>
      <c r="J30" s="2" t="s">
        <v>534</v>
      </c>
      <c r="K30" s="8">
        <v>9</v>
      </c>
      <c r="L30" s="21">
        <f>1/E30</f>
        <v>3.6717161755390264</v>
      </c>
      <c r="M30" s="37" t="str">
        <f>Q30&amp;";"&amp;S30&amp;U30&amp;W30&amp;Y30&amp;AA30&amp;AC30&amp;AE30&amp;AG30&amp;AI30&amp;AK30&amp;AM30&amp;AO30</f>
        <v>3;808885905</v>
      </c>
      <c r="N30" s="38">
        <v>0</v>
      </c>
      <c r="O30" s="61">
        <f t="shared" ref="O30" si="62">L30/POWER(12,N30)</f>
        <v>3.6717161755390264</v>
      </c>
      <c r="P30" s="39" t="str">
        <f>INDEX(powers!$H$2:$H$75,33+N30)</f>
        <v xml:space="preserve"> </v>
      </c>
      <c r="Q30" s="40" t="str">
        <f t="shared" si="35"/>
        <v>3</v>
      </c>
      <c r="R30" s="24">
        <f>(O30-INT(O30))*12</f>
        <v>8.0605941064683169</v>
      </c>
      <c r="S30" s="41" t="str">
        <f t="shared" si="37"/>
        <v>8</v>
      </c>
      <c r="T30" s="24">
        <f>(R30-INT(R30))*12</f>
        <v>0.72712927761980239</v>
      </c>
      <c r="U30" s="41" t="str">
        <f t="shared" si="39"/>
        <v>0</v>
      </c>
      <c r="V30" s="24">
        <f>(T30-INT(T30))*12</f>
        <v>8.7255513314376287</v>
      </c>
      <c r="W30" s="41" t="str">
        <f t="shared" si="41"/>
        <v>8</v>
      </c>
      <c r="X30" s="24">
        <f>(V30-INT(V30))*12</f>
        <v>8.7066159772515448</v>
      </c>
      <c r="Y30" s="41" t="str">
        <f t="shared" si="43"/>
        <v>8</v>
      </c>
      <c r="Z30" s="24">
        <f>(X30-INT(X30))*12</f>
        <v>8.4793917270185375</v>
      </c>
      <c r="AA30" s="41" t="str">
        <f t="shared" si="45"/>
        <v>8</v>
      </c>
      <c r="AB30" s="24">
        <f>(Z30-INT(Z30))*12</f>
        <v>5.7527007242224499</v>
      </c>
      <c r="AC30" s="41" t="str">
        <f t="shared" si="47"/>
        <v>5</v>
      </c>
      <c r="AD30" s="24">
        <f>(AB30-INT(AB30))*12</f>
        <v>9.0324086906693992</v>
      </c>
      <c r="AE30" s="41" t="str">
        <f t="shared" si="49"/>
        <v>9</v>
      </c>
      <c r="AF30" s="24">
        <f>(AD30-INT(AD30))*12</f>
        <v>0.38890428803279065</v>
      </c>
      <c r="AG30" s="41" t="str">
        <f t="shared" si="51"/>
        <v>0</v>
      </c>
      <c r="AH30" s="24">
        <f>(AF30-INT(AF30))*12</f>
        <v>4.6668514563934878</v>
      </c>
      <c r="AI30" s="41" t="str">
        <f t="shared" si="53"/>
        <v>5</v>
      </c>
      <c r="AJ30" s="24">
        <f>(AH30-INT(AH30))*12</f>
        <v>8.002217476721853</v>
      </c>
      <c r="AK30" s="41" t="str">
        <f t="shared" si="55"/>
        <v/>
      </c>
      <c r="AL30" s="24">
        <f>(AJ30-INT(AJ30))*12</f>
        <v>2.6609720662236214E-2</v>
      </c>
      <c r="AM30" s="41" t="str">
        <f t="shared" si="57"/>
        <v/>
      </c>
      <c r="AN30" s="24">
        <f>(AL30-INT(AL30))*12</f>
        <v>0.31931664794683456</v>
      </c>
      <c r="AO30" s="41" t="str">
        <f t="shared" si="59"/>
        <v/>
      </c>
    </row>
    <row r="31" spans="1:41" ht="14.25" customHeight="1" x14ac:dyDescent="0.2">
      <c r="A31" s="602"/>
      <c r="B31" s="604"/>
      <c r="C31" s="173" t="s">
        <v>584</v>
      </c>
      <c r="D31" s="3" t="str">
        <f t="shared" si="60"/>
        <v>m</v>
      </c>
      <c r="E31" s="151">
        <f>E30*12</f>
        <v>3.2682264713008049</v>
      </c>
      <c r="F31" s="15">
        <v>0</v>
      </c>
      <c r="G31" s="166">
        <f t="shared" si="29"/>
        <v>3.2682264713008049</v>
      </c>
      <c r="H31" s="167" t="s">
        <v>57</v>
      </c>
      <c r="I31" s="162">
        <f>I30*10</f>
        <v>10</v>
      </c>
      <c r="J31" s="2" t="s">
        <v>534</v>
      </c>
      <c r="K31" s="8">
        <v>9</v>
      </c>
      <c r="L31" s="21">
        <f>L30*10</f>
        <v>36.717161755390265</v>
      </c>
      <c r="M31" s="37" t="str">
        <f>Q31&amp;";"&amp;S31&amp;U31&amp;W31&amp;Y31&amp;AA31&amp;AC31&amp;AE31&amp;AG31&amp;AI31&amp;AK31&amp;AM31&amp;AO31</f>
        <v>3;087330964</v>
      </c>
      <c r="N31" s="38">
        <f>N30+1</f>
        <v>1</v>
      </c>
      <c r="O31" s="61">
        <f t="shared" ref="O31" si="63">L31/POWER(12,N31)</f>
        <v>3.0597634796158553</v>
      </c>
      <c r="P31" s="39" t="str">
        <f>INDEX(powers!$H$2:$H$75,33+N31)</f>
        <v>dozen</v>
      </c>
      <c r="Q31" s="40" t="str">
        <f t="shared" si="35"/>
        <v>3</v>
      </c>
      <c r="R31" s="24">
        <f>(O31-INT(O31))*12</f>
        <v>0.71716175539026317</v>
      </c>
      <c r="S31" s="41" t="str">
        <f t="shared" si="37"/>
        <v>0</v>
      </c>
      <c r="T31" s="24">
        <f>(R31-INT(R31))*12</f>
        <v>8.605941064683158</v>
      </c>
      <c r="U31" s="41" t="str">
        <f t="shared" si="39"/>
        <v>8</v>
      </c>
      <c r="V31" s="24">
        <f>(T31-INT(T31))*12</f>
        <v>7.271292776197896</v>
      </c>
      <c r="W31" s="41" t="str">
        <f t="shared" si="41"/>
        <v>7</v>
      </c>
      <c r="X31" s="24">
        <f>(V31-INT(V31))*12</f>
        <v>3.2555133143747526</v>
      </c>
      <c r="Y31" s="41" t="str">
        <f t="shared" si="43"/>
        <v>3</v>
      </c>
      <c r="Z31" s="24">
        <f>(X31-INT(X31))*12</f>
        <v>3.0661597724970306</v>
      </c>
      <c r="AA31" s="41" t="str">
        <f t="shared" si="45"/>
        <v>3</v>
      </c>
      <c r="AB31" s="24">
        <f>(Z31-INT(Z31))*12</f>
        <v>0.79391726996436773</v>
      </c>
      <c r="AC31" s="41" t="str">
        <f t="shared" si="47"/>
        <v>0</v>
      </c>
      <c r="AD31" s="24">
        <f>(AB31-INT(AB31))*12</f>
        <v>9.5270072395724128</v>
      </c>
      <c r="AE31" s="41" t="str">
        <f t="shared" si="49"/>
        <v>9</v>
      </c>
      <c r="AF31" s="24">
        <f>(AD31-INT(AD31))*12</f>
        <v>6.3240868748689536</v>
      </c>
      <c r="AG31" s="41" t="str">
        <f t="shared" si="51"/>
        <v>6</v>
      </c>
      <c r="AH31" s="24">
        <f>(AF31-INT(AF31))*12</f>
        <v>3.8890424984274432</v>
      </c>
      <c r="AI31" s="41" t="str">
        <f t="shared" si="53"/>
        <v>4</v>
      </c>
      <c r="AJ31" s="24">
        <f>(AH31-INT(AH31))*12</f>
        <v>10.668509981129318</v>
      </c>
      <c r="AK31" s="41" t="str">
        <f t="shared" si="55"/>
        <v/>
      </c>
      <c r="AL31" s="24">
        <f>(AJ31-INT(AJ31))*12</f>
        <v>8.0221197735518217</v>
      </c>
      <c r="AM31" s="41" t="str">
        <f t="shared" si="57"/>
        <v/>
      </c>
      <c r="AN31" s="24">
        <f>(AL31-INT(AL31))*12</f>
        <v>0.2654372826218605</v>
      </c>
      <c r="AO31" s="41" t="str">
        <f t="shared" si="59"/>
        <v/>
      </c>
    </row>
    <row r="32" spans="1:41" ht="14.25" customHeight="1" x14ac:dyDescent="0.2">
      <c r="A32" s="602"/>
      <c r="B32" s="604"/>
      <c r="C32" s="173" t="s">
        <v>585</v>
      </c>
      <c r="D32" s="3" t="str">
        <f t="shared" si="60"/>
        <v>m</v>
      </c>
      <c r="E32" s="151">
        <f t="shared" ref="E32:E34" si="64">E31*12</f>
        <v>39.218717655609659</v>
      </c>
      <c r="F32" s="15">
        <v>0</v>
      </c>
      <c r="G32" s="166">
        <f t="shared" si="29"/>
        <v>39.218717655609659</v>
      </c>
      <c r="H32" s="167" t="s">
        <v>534</v>
      </c>
      <c r="I32" s="162">
        <f>I31*10</f>
        <v>100</v>
      </c>
      <c r="J32" s="2" t="s">
        <v>57</v>
      </c>
      <c r="K32" s="8">
        <v>9</v>
      </c>
      <c r="L32" s="21">
        <f>L31*10</f>
        <v>367.17161755390265</v>
      </c>
      <c r="M32" s="37" t="str">
        <f>Q32&amp;";"&amp;S32&amp;U32&amp;W32&amp;Y32&amp;AA32&amp;AC32&amp;AE32&amp;AG32&amp;AI32&amp;AK32&amp;AM32&amp;AO32</f>
        <v>2;6720867E3</v>
      </c>
      <c r="N32" s="38">
        <f>N31+1</f>
        <v>2</v>
      </c>
      <c r="O32" s="61">
        <f t="shared" ref="O32" si="65">L32/POWER(12,N32)</f>
        <v>2.5498028996798796</v>
      </c>
      <c r="P32" s="39" t="str">
        <f>INDEX(powers!$H$2:$H$75,33+N32)</f>
        <v>gross</v>
      </c>
      <c r="Q32" s="40" t="str">
        <f t="shared" si="35"/>
        <v>2</v>
      </c>
      <c r="R32" s="24">
        <f>(O32-INT(O32))*12</f>
        <v>6.5976347961585553</v>
      </c>
      <c r="S32" s="41" t="str">
        <f t="shared" si="37"/>
        <v>6</v>
      </c>
      <c r="T32" s="24">
        <f>(R32-INT(R32))*12</f>
        <v>7.1716175539026636</v>
      </c>
      <c r="U32" s="41" t="str">
        <f t="shared" si="39"/>
        <v>7</v>
      </c>
      <c r="V32" s="24">
        <f>(T32-INT(T32))*12</f>
        <v>2.0594106468319637</v>
      </c>
      <c r="W32" s="41" t="str">
        <f t="shared" si="41"/>
        <v>2</v>
      </c>
      <c r="X32" s="24">
        <f>(V32-INT(V32))*12</f>
        <v>0.71292776198356478</v>
      </c>
      <c r="Y32" s="41" t="str">
        <f t="shared" si="43"/>
        <v>0</v>
      </c>
      <c r="Z32" s="24">
        <f>(X32-INT(X32))*12</f>
        <v>8.5551331438027773</v>
      </c>
      <c r="AA32" s="41" t="str">
        <f t="shared" si="45"/>
        <v>8</v>
      </c>
      <c r="AB32" s="24">
        <f>(Z32-INT(Z32))*12</f>
        <v>6.6615977256333281</v>
      </c>
      <c r="AC32" s="41" t="str">
        <f t="shared" si="47"/>
        <v>6</v>
      </c>
      <c r="AD32" s="24">
        <f>(AB32-INT(AB32))*12</f>
        <v>7.939172707599937</v>
      </c>
      <c r="AE32" s="41" t="str">
        <f t="shared" si="49"/>
        <v>7</v>
      </c>
      <c r="AF32" s="24">
        <f>(AD32-INT(AD32))*12</f>
        <v>11.270072491199244</v>
      </c>
      <c r="AG32" s="41" t="str">
        <f t="shared" si="51"/>
        <v>E</v>
      </c>
      <c r="AH32" s="24">
        <f>(AF32-INT(AF32))*12</f>
        <v>3.2408698943909258</v>
      </c>
      <c r="AI32" s="41" t="str">
        <f t="shared" si="53"/>
        <v>3</v>
      </c>
      <c r="AJ32" s="24">
        <f>(AH32-INT(AH32))*12</f>
        <v>2.8904387326911092</v>
      </c>
      <c r="AK32" s="41" t="str">
        <f t="shared" si="55"/>
        <v/>
      </c>
      <c r="AL32" s="24">
        <f>(AJ32-INT(AJ32))*12</f>
        <v>10.68526479229331</v>
      </c>
      <c r="AM32" s="41" t="str">
        <f t="shared" si="57"/>
        <v/>
      </c>
      <c r="AN32" s="24">
        <f>(AL32-INT(AL32))*12</f>
        <v>8.223177507519722</v>
      </c>
      <c r="AO32" s="41" t="str">
        <f t="shared" si="59"/>
        <v/>
      </c>
    </row>
    <row r="33" spans="1:41" ht="14.25" customHeight="1" x14ac:dyDescent="0.2">
      <c r="A33" s="602"/>
      <c r="B33" s="604"/>
      <c r="C33" s="190" t="s">
        <v>586</v>
      </c>
      <c r="D33" s="3" t="str">
        <f t="shared" si="60"/>
        <v>m</v>
      </c>
      <c r="E33" s="151">
        <f t="shared" si="64"/>
        <v>470.62461186731593</v>
      </c>
      <c r="F33" s="15">
        <v>0</v>
      </c>
      <c r="G33" s="166">
        <f t="shared" si="29"/>
        <v>470.62461186731593</v>
      </c>
      <c r="H33" s="167" t="s">
        <v>57</v>
      </c>
      <c r="I33" s="162">
        <f t="shared" ref="I33:I34" si="66">I32*10</f>
        <v>1000</v>
      </c>
      <c r="J33" s="2" t="s">
        <v>57</v>
      </c>
      <c r="K33" s="8">
        <v>9</v>
      </c>
      <c r="L33" s="21">
        <f t="shared" ref="L33:L34" si="67">L32*10</f>
        <v>3671.7161755390266</v>
      </c>
      <c r="M33" s="37" t="str">
        <f t="shared" ref="M33:M71" si="68">Q33&amp;";"&amp;S33&amp;U33&amp;W33&amp;Y33&amp;AA33&amp;AC33&amp;AE33&amp;AG33&amp;AI33&amp;AK33&amp;AM33&amp;AO33</f>
        <v>2;15E871675</v>
      </c>
      <c r="N33" s="38">
        <f t="shared" ref="N33:N34" si="69">N32+1</f>
        <v>3</v>
      </c>
      <c r="O33" s="61">
        <f t="shared" ref="O33:O75" si="70">L33/POWER(12,N33)</f>
        <v>2.1248357497332329</v>
      </c>
      <c r="P33" s="39" t="str">
        <f>INDEX(powers!$H$2:$H$75,33+N33)</f>
        <v>doz gross</v>
      </c>
      <c r="Q33" s="40" t="str">
        <f t="shared" si="35"/>
        <v>2</v>
      </c>
      <c r="R33" s="24">
        <f t="shared" ref="R33:R71" si="71">(O33-INT(O33))*12</f>
        <v>1.4980289967987943</v>
      </c>
      <c r="S33" s="41" t="str">
        <f t="shared" si="37"/>
        <v>1</v>
      </c>
      <c r="T33" s="24">
        <f t="shared" ref="T33:T71" si="72">(R33-INT(R33))*12</f>
        <v>5.9763479615855317</v>
      </c>
      <c r="U33" s="41" t="str">
        <f t="shared" si="39"/>
        <v>5</v>
      </c>
      <c r="V33" s="24">
        <f t="shared" ref="V33:V71" si="73">(T33-INT(T33))*12</f>
        <v>11.716175539026381</v>
      </c>
      <c r="W33" s="41" t="str">
        <f t="shared" si="41"/>
        <v>E</v>
      </c>
      <c r="X33" s="24">
        <f t="shared" ref="X33:X71" si="74">(V33-INT(V33))*12</f>
        <v>8.5941064683165678</v>
      </c>
      <c r="Y33" s="41" t="str">
        <f t="shared" si="43"/>
        <v>8</v>
      </c>
      <c r="Z33" s="24">
        <f t="shared" ref="Z33:Z71" si="75">(X33-INT(X33))*12</f>
        <v>7.1292776197988132</v>
      </c>
      <c r="AA33" s="41" t="str">
        <f t="shared" si="45"/>
        <v>7</v>
      </c>
      <c r="AB33" s="24">
        <f t="shared" ref="AB33:AB71" si="76">(Z33-INT(Z33))*12</f>
        <v>1.551331437585759</v>
      </c>
      <c r="AC33" s="41" t="str">
        <f t="shared" si="47"/>
        <v>1</v>
      </c>
      <c r="AD33" s="24">
        <f t="shared" ref="AD33:AD71" si="77">(AB33-INT(AB33))*12</f>
        <v>6.6159772510291077</v>
      </c>
      <c r="AE33" s="41" t="str">
        <f t="shared" si="49"/>
        <v>6</v>
      </c>
      <c r="AF33" s="24">
        <f t="shared" ref="AF33:AF71" si="78">(AD33-INT(AD33))*12</f>
        <v>7.3917270123492926</v>
      </c>
      <c r="AG33" s="41" t="str">
        <f t="shared" si="51"/>
        <v>7</v>
      </c>
      <c r="AH33" s="24">
        <f t="shared" ref="AH33:AH71" si="79">(AF33-INT(AF33))*12</f>
        <v>4.7007241481915116</v>
      </c>
      <c r="AI33" s="41" t="str">
        <f t="shared" si="53"/>
        <v>5</v>
      </c>
      <c r="AJ33" s="24">
        <f t="shared" ref="AJ33:AJ71" si="80">(AH33-INT(AH33))*12</f>
        <v>8.4086897782981396</v>
      </c>
      <c r="AK33" s="41" t="str">
        <f t="shared" si="55"/>
        <v/>
      </c>
      <c r="AL33" s="24">
        <f t="shared" ref="AL33:AL71" si="81">(AJ33-INT(AJ33))*12</f>
        <v>4.9042773395776749</v>
      </c>
      <c r="AM33" s="41" t="str">
        <f t="shared" si="57"/>
        <v/>
      </c>
      <c r="AN33" s="24">
        <f t="shared" ref="AN33:AN71" si="82">(AL33-INT(AL33))*12</f>
        <v>10.851328074932098</v>
      </c>
      <c r="AO33" s="41" t="str">
        <f t="shared" si="59"/>
        <v/>
      </c>
    </row>
    <row r="34" spans="1:41" ht="14.25" customHeight="1" x14ac:dyDescent="0.2">
      <c r="A34" s="602"/>
      <c r="B34" s="604"/>
      <c r="C34" s="188" t="s">
        <v>344</v>
      </c>
      <c r="D34" s="3" t="str">
        <f t="shared" si="60"/>
        <v>m</v>
      </c>
      <c r="E34" s="151">
        <f t="shared" si="64"/>
        <v>5647.4953424077912</v>
      </c>
      <c r="F34" s="15">
        <v>3</v>
      </c>
      <c r="G34" s="166">
        <f t="shared" si="29"/>
        <v>5.6474953424077912</v>
      </c>
      <c r="H34" s="167" t="s">
        <v>535</v>
      </c>
      <c r="I34" s="162">
        <f t="shared" si="66"/>
        <v>10000</v>
      </c>
      <c r="J34" s="2" t="s">
        <v>57</v>
      </c>
      <c r="K34" s="8">
        <v>9</v>
      </c>
      <c r="L34" s="21">
        <f t="shared" si="67"/>
        <v>36717.161755390269</v>
      </c>
      <c r="M34" s="37" t="str">
        <f t="shared" si="68"/>
        <v>1;92E91E362</v>
      </c>
      <c r="N34" s="38">
        <f t="shared" si="69"/>
        <v>4</v>
      </c>
      <c r="O34" s="61">
        <f t="shared" si="70"/>
        <v>1.7706964581110276</v>
      </c>
      <c r="P34" s="39" t="str">
        <f>INDEX(powers!$H$2:$H$75,33+N34)</f>
        <v>hyper</v>
      </c>
      <c r="Q34" s="40" t="str">
        <f t="shared" si="35"/>
        <v>1</v>
      </c>
      <c r="R34" s="24">
        <f t="shared" si="71"/>
        <v>9.2483574973323321</v>
      </c>
      <c r="S34" s="41" t="str">
        <f t="shared" si="37"/>
        <v>9</v>
      </c>
      <c r="T34" s="24">
        <f t="shared" si="72"/>
        <v>2.9802899679879857</v>
      </c>
      <c r="U34" s="41" t="str">
        <f t="shared" si="39"/>
        <v>2</v>
      </c>
      <c r="V34" s="24">
        <f t="shared" si="73"/>
        <v>11.763479615855829</v>
      </c>
      <c r="W34" s="41" t="str">
        <f t="shared" si="41"/>
        <v>E</v>
      </c>
      <c r="X34" s="24">
        <f t="shared" si="74"/>
        <v>9.1617553902699456</v>
      </c>
      <c r="Y34" s="41" t="str">
        <f t="shared" si="43"/>
        <v>9</v>
      </c>
      <c r="Z34" s="24">
        <f t="shared" si="75"/>
        <v>1.9410646832393468</v>
      </c>
      <c r="AA34" s="41" t="str">
        <f t="shared" si="45"/>
        <v>1</v>
      </c>
      <c r="AB34" s="24">
        <f t="shared" si="76"/>
        <v>11.292776198872161</v>
      </c>
      <c r="AC34" s="41" t="str">
        <f t="shared" si="47"/>
        <v>E</v>
      </c>
      <c r="AD34" s="24">
        <f t="shared" si="77"/>
        <v>3.513314386465936</v>
      </c>
      <c r="AE34" s="41" t="str">
        <f t="shared" si="49"/>
        <v>3</v>
      </c>
      <c r="AF34" s="24">
        <f t="shared" si="78"/>
        <v>6.1597726375912316</v>
      </c>
      <c r="AG34" s="41" t="str">
        <f t="shared" si="51"/>
        <v>6</v>
      </c>
      <c r="AH34" s="24">
        <f t="shared" si="79"/>
        <v>1.9172716510947794</v>
      </c>
      <c r="AI34" s="41" t="str">
        <f t="shared" si="53"/>
        <v>2</v>
      </c>
      <c r="AJ34" s="24">
        <f t="shared" si="80"/>
        <v>11.007259813137352</v>
      </c>
      <c r="AK34" s="41" t="str">
        <f t="shared" si="55"/>
        <v/>
      </c>
      <c r="AL34" s="24">
        <f t="shared" si="81"/>
        <v>8.7117757648229599E-2</v>
      </c>
      <c r="AM34" s="41" t="str">
        <f t="shared" si="57"/>
        <v/>
      </c>
      <c r="AN34" s="24">
        <f t="shared" si="82"/>
        <v>1.0454130917787552</v>
      </c>
      <c r="AO34" s="41" t="str">
        <f t="shared" si="59"/>
        <v/>
      </c>
    </row>
    <row r="35" spans="1:41" ht="14.25" customHeight="1" x14ac:dyDescent="0.2">
      <c r="A35" s="602"/>
      <c r="B35" s="604"/>
      <c r="C35" s="188" t="s">
        <v>344</v>
      </c>
      <c r="D35" s="3" t="str">
        <f t="shared" si="60"/>
        <v>m</v>
      </c>
      <c r="E35" s="151">
        <f>E34</f>
        <v>5647.4953424077912</v>
      </c>
      <c r="F35" s="15">
        <v>0</v>
      </c>
      <c r="G35" s="166">
        <f>E35*POWER(10,-F35)/1852</f>
        <v>3.0494035326175979</v>
      </c>
      <c r="H35" s="167" t="s">
        <v>1065</v>
      </c>
      <c r="I35" s="162">
        <v>3</v>
      </c>
      <c r="J35" s="2" t="s">
        <v>1065</v>
      </c>
      <c r="K35" s="8">
        <v>9</v>
      </c>
      <c r="L35" s="21">
        <f>1852*I35/E3</f>
        <v>20400.055071294832</v>
      </c>
      <c r="M35" s="37" t="str">
        <f t="shared" ref="M35" si="83">Q35&amp;";"&amp;S35&amp;U35&amp;W35&amp;Y35&amp;AA35&amp;AC35&amp;AE35&amp;AG35&amp;AI35&amp;AK35&amp;AM35&amp;AO35</f>
        <v>0;E98007E1</v>
      </c>
      <c r="N35" s="38">
        <v>4</v>
      </c>
      <c r="O35" s="61">
        <f t="shared" ref="O35" si="84">L35/POWER(12,N35)</f>
        <v>0.98379895212648683</v>
      </c>
      <c r="P35" s="39" t="str">
        <f>INDEX(powers!$H$2:$H$75,33+N35)</f>
        <v>hyper</v>
      </c>
      <c r="Q35" s="40" t="str">
        <f t="shared" ref="Q35" si="85">IF($K35&gt;=Q$23,MID($N$23,IF($K35&gt;Q$23,INT(O35),ROUND(O35,0))+1,1),"")</f>
        <v>0</v>
      </c>
      <c r="R35" s="24">
        <f t="shared" ref="R35" si="86">(O35-INT(O35))*12</f>
        <v>11.805587425517842</v>
      </c>
      <c r="S35" s="41" t="str">
        <f t="shared" ref="S35" si="87">IF($K35&gt;=S$23,MID($N$23,IF($K35&gt;S$23,INT(R35),ROUND(R35,0))+1,1),"")</f>
        <v>E</v>
      </c>
      <c r="T35" s="24">
        <f t="shared" ref="T35" si="88">(R35-INT(R35))*12</f>
        <v>9.6670491062141082</v>
      </c>
      <c r="U35" s="41" t="str">
        <f t="shared" ref="U35" si="89">IF($K35&gt;=U$23,MID($N$23,IF($K35&gt;U$23,INT(T35),ROUND(T35,0))+1,1),"")</f>
        <v>9</v>
      </c>
      <c r="V35" s="24">
        <f t="shared" ref="V35" si="90">(T35-INT(T35))*12</f>
        <v>8.0045892745692981</v>
      </c>
      <c r="W35" s="41" t="str">
        <f t="shared" ref="W35" si="91">IF($K35&gt;=W$23,MID($N$23,IF($K35&gt;W$23,INT(V35),ROUND(V35,0))+1,1),"")</f>
        <v>8</v>
      </c>
      <c r="X35" s="24">
        <f t="shared" ref="X35" si="92">(V35-INT(V35))*12</f>
        <v>5.5071294831577688E-2</v>
      </c>
      <c r="Y35" s="41" t="str">
        <f t="shared" ref="Y35" si="93">IF($K35&gt;=Y$23,MID($N$23,IF($K35&gt;Y$23,INT(X35),ROUND(X35,0))+1,1),"")</f>
        <v>0</v>
      </c>
      <c r="Z35" s="24">
        <f t="shared" ref="Z35" si="94">(X35-INT(X35))*12</f>
        <v>0.66085553797893226</v>
      </c>
      <c r="AA35" s="41" t="str">
        <f t="shared" ref="AA35" si="95">IF($K35&gt;=AA$23,MID($N$23,IF($K35&gt;AA$23,INT(Z35),ROUND(Z35,0))+1,1),"")</f>
        <v>0</v>
      </c>
      <c r="AB35" s="24">
        <f t="shared" ref="AB35" si="96">(Z35-INT(Z35))*12</f>
        <v>7.9302664557471871</v>
      </c>
      <c r="AC35" s="41" t="str">
        <f t="shared" ref="AC35" si="97">IF($K35&gt;=AC$23,MID($N$23,IF($K35&gt;AC$23,INT(AB35),ROUND(AB35,0))+1,1),"")</f>
        <v>7</v>
      </c>
      <c r="AD35" s="24">
        <f t="shared" ref="AD35" si="98">(AB35-INT(AB35))*12</f>
        <v>11.163197468966246</v>
      </c>
      <c r="AE35" s="41" t="str">
        <f t="shared" ref="AE35" si="99">IF($K35&gt;=AE$23,MID($N$23,IF($K35&gt;AE$23,INT(AD35),ROUND(AD35,0))+1,1),"")</f>
        <v>E</v>
      </c>
      <c r="AF35" s="24">
        <f t="shared" ref="AF35" si="100">(AD35-INT(AD35))*12</f>
        <v>1.9583696275949478</v>
      </c>
      <c r="AG35" s="41" t="str">
        <f t="shared" ref="AG35" si="101">IF($K35&gt;=AG$23,MID($N$23,IF($K35&gt;AG$23,INT(AF35),ROUND(AF35,0))+1,1),"")</f>
        <v>1</v>
      </c>
      <c r="AH35" s="24">
        <f t="shared" ref="AH35" si="102">(AF35-INT(AF35))*12</f>
        <v>11.500435531139374</v>
      </c>
      <c r="AI35" s="41" t="str">
        <f t="shared" ref="AI35" si="103">IF($K35&gt;=AI$23,MID($N$23,IF($K35&gt;AI$23,INT(AH35),ROUND(AH35,0))+1,1),"")</f>
        <v/>
      </c>
      <c r="AJ35" s="24">
        <f t="shared" ref="AJ35" si="104">(AH35-INT(AH35))*12</f>
        <v>6.0052263736724854</v>
      </c>
      <c r="AK35" s="41" t="str">
        <f t="shared" ref="AK35" si="105">IF($K35&gt;=AK$23,MID($N$23,IF($K35&gt;AK$23,INT(AJ35),ROUND(AJ35,0))+1,1),"")</f>
        <v/>
      </c>
      <c r="AL35" s="24">
        <f t="shared" ref="AL35" si="106">(AJ35-INT(AJ35))*12</f>
        <v>6.2716484069824219E-2</v>
      </c>
      <c r="AM35" s="41" t="str">
        <f t="shared" ref="AM35" si="107">IF($K35&gt;=AM$23,MID($N$23,IF($K35&gt;AM$23,INT(AL35),ROUND(AL35,0))+1,1),"")</f>
        <v/>
      </c>
      <c r="AN35" s="24">
        <f t="shared" ref="AN35" si="108">(AL35-INT(AL35))*12</f>
        <v>0.75259780883789063</v>
      </c>
      <c r="AO35" s="41" t="str">
        <f t="shared" ref="AO35" si="109">IF($K35&gt;=AO$23,MID($N$23,IF($K35&gt;AO$23,INT(AN35),ROUND(AN35,0))+1,1),"")</f>
        <v/>
      </c>
    </row>
    <row r="36" spans="1:41" ht="14.25" customHeight="1" x14ac:dyDescent="0.2">
      <c r="A36" s="602"/>
      <c r="B36" s="604"/>
      <c r="C36" s="188" t="s">
        <v>345</v>
      </c>
      <c r="D36" s="3" t="str">
        <f>D34</f>
        <v>m</v>
      </c>
      <c r="E36" s="151">
        <f>E34*12</f>
        <v>67769.944108893498</v>
      </c>
      <c r="F36" s="15">
        <v>3</v>
      </c>
      <c r="G36" s="166">
        <f t="shared" si="29"/>
        <v>67.769944108893498</v>
      </c>
      <c r="H36" s="167" t="s">
        <v>535</v>
      </c>
      <c r="I36" s="162">
        <f>I34*10</f>
        <v>100000</v>
      </c>
      <c r="J36" s="2" t="s">
        <v>57</v>
      </c>
      <c r="K36" s="8">
        <v>9</v>
      </c>
      <c r="L36" s="21">
        <f>L34*10</f>
        <v>367171.61755390267</v>
      </c>
      <c r="M36" s="37" t="str">
        <f t="shared" si="68"/>
        <v>1;5859774E2</v>
      </c>
      <c r="N36" s="38">
        <f>N34+1</f>
        <v>5</v>
      </c>
      <c r="O36" s="61">
        <f t="shared" si="70"/>
        <v>1.4755803817591897</v>
      </c>
      <c r="P36" s="39" t="str">
        <f>INDEX(powers!$H$2:$H$75,33+N36)</f>
        <v>terno cosmic</v>
      </c>
      <c r="Q36" s="40" t="str">
        <f t="shared" si="35"/>
        <v>1</v>
      </c>
      <c r="R36" s="24">
        <f t="shared" si="71"/>
        <v>5.7069645811102765</v>
      </c>
      <c r="S36" s="41" t="str">
        <f t="shared" si="37"/>
        <v>5</v>
      </c>
      <c r="T36" s="24">
        <f t="shared" si="72"/>
        <v>8.4835749733233179</v>
      </c>
      <c r="U36" s="41" t="str">
        <f t="shared" si="39"/>
        <v>8</v>
      </c>
      <c r="V36" s="24">
        <f t="shared" si="73"/>
        <v>5.8028996798798147</v>
      </c>
      <c r="W36" s="41" t="str">
        <f t="shared" si="41"/>
        <v>5</v>
      </c>
      <c r="X36" s="24">
        <f t="shared" si="74"/>
        <v>9.6347961585577764</v>
      </c>
      <c r="Y36" s="41" t="str">
        <f t="shared" si="43"/>
        <v>9</v>
      </c>
      <c r="Z36" s="24">
        <f t="shared" si="75"/>
        <v>7.6175539026933166</v>
      </c>
      <c r="AA36" s="41" t="str">
        <f t="shared" si="45"/>
        <v>7</v>
      </c>
      <c r="AB36" s="24">
        <f t="shared" si="76"/>
        <v>7.4106468323197987</v>
      </c>
      <c r="AC36" s="41" t="str">
        <f t="shared" si="47"/>
        <v>7</v>
      </c>
      <c r="AD36" s="24">
        <f t="shared" si="77"/>
        <v>4.9277619878375845</v>
      </c>
      <c r="AE36" s="41" t="str">
        <f t="shared" si="49"/>
        <v>4</v>
      </c>
      <c r="AF36" s="24">
        <f t="shared" si="78"/>
        <v>11.133143854051013</v>
      </c>
      <c r="AG36" s="41" t="str">
        <f t="shared" si="51"/>
        <v>E</v>
      </c>
      <c r="AH36" s="24">
        <f t="shared" si="79"/>
        <v>1.5977262486121617</v>
      </c>
      <c r="AI36" s="41" t="str">
        <f t="shared" si="53"/>
        <v>2</v>
      </c>
      <c r="AJ36" s="24">
        <f t="shared" si="80"/>
        <v>7.1727149833459407</v>
      </c>
      <c r="AK36" s="41" t="str">
        <f t="shared" si="55"/>
        <v/>
      </c>
      <c r="AL36" s="24">
        <f t="shared" si="81"/>
        <v>2.0725798001512885</v>
      </c>
      <c r="AM36" s="41" t="str">
        <f t="shared" si="57"/>
        <v/>
      </c>
      <c r="AN36" s="24">
        <f t="shared" si="82"/>
        <v>0.87095760181546211</v>
      </c>
      <c r="AO36" s="41" t="str">
        <f t="shared" si="59"/>
        <v/>
      </c>
    </row>
    <row r="37" spans="1:41" ht="14.25" customHeight="1" x14ac:dyDescent="0.2">
      <c r="A37" s="602"/>
      <c r="B37" s="604"/>
      <c r="C37" s="212" t="s">
        <v>346</v>
      </c>
      <c r="D37" s="5" t="str">
        <f>D34</f>
        <v>m</v>
      </c>
      <c r="E37" s="249">
        <f>E36*12</f>
        <v>813239.32930672192</v>
      </c>
      <c r="F37" s="250">
        <v>3</v>
      </c>
      <c r="G37" s="251">
        <f t="shared" ref="G37" si="110">E37*POWER(10,-F37)</f>
        <v>813.23932930672197</v>
      </c>
      <c r="H37" s="252" t="s">
        <v>535</v>
      </c>
      <c r="I37" s="163">
        <f>I36*10</f>
        <v>1000000</v>
      </c>
      <c r="J37" s="6" t="s">
        <v>57</v>
      </c>
      <c r="K37" s="30">
        <v>9</v>
      </c>
      <c r="L37" s="29">
        <f>L36*10</f>
        <v>3671716.175539027</v>
      </c>
      <c r="M37" s="108" t="str">
        <f t="shared" ref="M37" si="111">Q37&amp;";"&amp;S37&amp;U37&amp;W37&amp;Y37&amp;AA37&amp;AC37&amp;AE37&amp;AG37&amp;AI37&amp;AK37&amp;AM37&amp;AO37</f>
        <v>1;290X04213</v>
      </c>
      <c r="N37" s="43">
        <v>6</v>
      </c>
      <c r="O37" s="62">
        <f t="shared" ref="O37" si="112">L37/POWER(12,N37)</f>
        <v>1.2296503181326581</v>
      </c>
      <c r="P37" s="44" t="str">
        <f>INDEX(powers!$H$2:$H$75,33+N37)</f>
        <v>dino cosmic</v>
      </c>
      <c r="Q37" s="40" t="str">
        <f t="shared" ref="Q37" si="113">IF($K37&gt;=Q$23,MID($N$23,IF($K37&gt;Q$23,INT(O37),ROUND(O37,0))+1,1),"")</f>
        <v>1</v>
      </c>
      <c r="R37" s="24">
        <f t="shared" ref="R37" si="114">(O37-INT(O37))*12</f>
        <v>2.7558038175918975</v>
      </c>
      <c r="S37" s="41" t="str">
        <f t="shared" ref="S37" si="115">IF($K37&gt;=S$23,MID($N$23,IF($K37&gt;S$23,INT(R37),ROUND(R37,0))+1,1),"")</f>
        <v>2</v>
      </c>
      <c r="T37" s="24">
        <f t="shared" ref="T37" si="116">(R37-INT(R37))*12</f>
        <v>9.0696458111027702</v>
      </c>
      <c r="U37" s="41" t="str">
        <f t="shared" ref="U37" si="117">IF($K37&gt;=U$23,MID($N$23,IF($K37&gt;U$23,INT(T37),ROUND(T37,0))+1,1),"")</f>
        <v>9</v>
      </c>
      <c r="V37" s="24">
        <f t="shared" ref="V37" si="118">(T37-INT(T37))*12</f>
        <v>0.83574973323324286</v>
      </c>
      <c r="W37" s="41" t="str">
        <f t="shared" ref="W37" si="119">IF($K37&gt;=W$23,MID($N$23,IF($K37&gt;W$23,INT(V37),ROUND(V37,0))+1,1),"")</f>
        <v>0</v>
      </c>
      <c r="X37" s="24">
        <f t="shared" ref="X37" si="120">(V37-INT(V37))*12</f>
        <v>10.028996798798914</v>
      </c>
      <c r="Y37" s="41" t="str">
        <f t="shared" ref="Y37" si="121">IF($K37&gt;=Y$23,MID($N$23,IF($K37&gt;Y$23,INT(X37),ROUND(X37,0))+1,1),"")</f>
        <v>X</v>
      </c>
      <c r="Z37" s="24">
        <f t="shared" ref="Z37" si="122">(X37-INT(X37))*12</f>
        <v>0.34796158558697243</v>
      </c>
      <c r="AA37" s="41" t="str">
        <f t="shared" ref="AA37" si="123">IF($K37&gt;=AA$23,MID($N$23,IF($K37&gt;AA$23,INT(Z37),ROUND(Z37,0))+1,1),"")</f>
        <v>0</v>
      </c>
      <c r="AB37" s="24">
        <f t="shared" ref="AB37" si="124">(Z37-INT(Z37))*12</f>
        <v>4.1755390270436692</v>
      </c>
      <c r="AC37" s="41" t="str">
        <f t="shared" ref="AC37" si="125">IF($K37&gt;=AC$23,MID($N$23,IF($K37&gt;AC$23,INT(AB37),ROUND(AB37,0))+1,1),"")</f>
        <v>4</v>
      </c>
      <c r="AD37" s="24">
        <f t="shared" ref="AD37" si="126">(AB37-INT(AB37))*12</f>
        <v>2.1064683245240303</v>
      </c>
      <c r="AE37" s="41" t="str">
        <f t="shared" ref="AE37" si="127">IF($K37&gt;=AE$23,MID($N$23,IF($K37&gt;AE$23,INT(AD37),ROUND(AD37,0))+1,1),"")</f>
        <v>2</v>
      </c>
      <c r="AF37" s="24">
        <f t="shared" ref="AF37" si="128">(AD37-INT(AD37))*12</f>
        <v>1.2776198942883639</v>
      </c>
      <c r="AG37" s="41" t="str">
        <f t="shared" ref="AG37" si="129">IF($K37&gt;=AG$23,MID($N$23,IF($K37&gt;AG$23,INT(AF37),ROUND(AF37,0))+1,1),"")</f>
        <v>1</v>
      </c>
      <c r="AH37" s="24">
        <f t="shared" ref="AH37" si="130">(AF37-INT(AF37))*12</f>
        <v>3.3314387314603664</v>
      </c>
      <c r="AI37" s="41" t="str">
        <f t="shared" ref="AI37" si="131">IF($K37&gt;=AI$23,MID($N$23,IF($K37&gt;AI$23,INT(AH37),ROUND(AH37,0))+1,1),"")</f>
        <v>3</v>
      </c>
      <c r="AJ37" s="24">
        <f t="shared" ref="AJ37" si="132">(AH37-INT(AH37))*12</f>
        <v>3.9772647775243968</v>
      </c>
      <c r="AK37" s="41" t="str">
        <f t="shared" ref="AK37" si="133">IF($K37&gt;=AK$23,MID($N$23,IF($K37&gt;AK$23,INT(AJ37),ROUND(AJ37,0))+1,1),"")</f>
        <v/>
      </c>
      <c r="AL37" s="24">
        <f t="shared" ref="AL37" si="134">(AJ37-INT(AJ37))*12</f>
        <v>11.727177330292761</v>
      </c>
      <c r="AM37" s="41" t="str">
        <f t="shared" ref="AM37" si="135">IF($K37&gt;=AM$23,MID($N$23,IF($K37&gt;AM$23,INT(AL37),ROUND(AL37,0))+1,1),"")</f>
        <v/>
      </c>
      <c r="AN37" s="24">
        <f t="shared" ref="AN37" si="136">(AL37-INT(AL37))*12</f>
        <v>8.7261279635131359</v>
      </c>
      <c r="AO37" s="41" t="str">
        <f t="shared" ref="AO37" si="137">IF($K37&gt;=AO$23,MID($N$23,IF($K37&gt;AO$23,INT(AN37),ROUND(AN37,0))+1,1),"")</f>
        <v/>
      </c>
    </row>
    <row r="38" spans="1:41" ht="14.25" customHeight="1" thickBot="1" x14ac:dyDescent="0.25">
      <c r="A38" s="602"/>
      <c r="B38" s="605"/>
      <c r="C38" s="189" t="s">
        <v>347</v>
      </c>
      <c r="D38" s="89" t="str">
        <f>D36</f>
        <v>m</v>
      </c>
      <c r="E38" s="175">
        <f>E37*12</f>
        <v>9758871.951680664</v>
      </c>
      <c r="F38" s="176">
        <v>3</v>
      </c>
      <c r="G38" s="177">
        <f t="shared" si="29"/>
        <v>9758.871951680665</v>
      </c>
      <c r="H38" s="178" t="s">
        <v>535</v>
      </c>
      <c r="I38" s="163">
        <f>I37*10</f>
        <v>10000000</v>
      </c>
      <c r="J38" s="6" t="s">
        <v>57</v>
      </c>
      <c r="K38" s="30">
        <v>9</v>
      </c>
      <c r="L38" s="29">
        <f>L37*10</f>
        <v>36717161.755390272</v>
      </c>
      <c r="M38" s="108" t="str">
        <f t="shared" si="68"/>
        <v>1;036843591</v>
      </c>
      <c r="N38" s="43">
        <v>7</v>
      </c>
      <c r="O38" s="62">
        <f t="shared" si="70"/>
        <v>1.0247085984438817</v>
      </c>
      <c r="P38" s="44" t="str">
        <f>INDEX(powers!$H$2:$H$75,33+N38)</f>
        <v>unino cosmic</v>
      </c>
      <c r="Q38" s="40" t="str">
        <f t="shared" si="35"/>
        <v>1</v>
      </c>
      <c r="R38" s="24">
        <f t="shared" si="71"/>
        <v>0.29650318132658082</v>
      </c>
      <c r="S38" s="41" t="str">
        <f t="shared" si="37"/>
        <v>0</v>
      </c>
      <c r="T38" s="24">
        <f t="shared" si="72"/>
        <v>3.5580381759189699</v>
      </c>
      <c r="U38" s="41" t="str">
        <f t="shared" si="39"/>
        <v>3</v>
      </c>
      <c r="V38" s="24">
        <f t="shared" si="73"/>
        <v>6.6964581110276384</v>
      </c>
      <c r="W38" s="41" t="str">
        <f t="shared" si="41"/>
        <v>6</v>
      </c>
      <c r="X38" s="24">
        <f t="shared" si="74"/>
        <v>8.3574973323316613</v>
      </c>
      <c r="Y38" s="41" t="str">
        <f t="shared" si="43"/>
        <v>8</v>
      </c>
      <c r="Z38" s="24">
        <f t="shared" si="75"/>
        <v>4.2899679879799351</v>
      </c>
      <c r="AA38" s="41" t="str">
        <f t="shared" si="45"/>
        <v>4</v>
      </c>
      <c r="AB38" s="24">
        <f t="shared" si="76"/>
        <v>3.4796158557592207</v>
      </c>
      <c r="AC38" s="41" t="str">
        <f t="shared" si="47"/>
        <v>3</v>
      </c>
      <c r="AD38" s="24">
        <f t="shared" si="77"/>
        <v>5.7553902691106487</v>
      </c>
      <c r="AE38" s="41" t="str">
        <f t="shared" si="49"/>
        <v>5</v>
      </c>
      <c r="AF38" s="24">
        <f t="shared" si="78"/>
        <v>9.0646832293277839</v>
      </c>
      <c r="AG38" s="41" t="str">
        <f t="shared" si="51"/>
        <v>9</v>
      </c>
      <c r="AH38" s="24">
        <f t="shared" si="79"/>
        <v>0.77619875193340704</v>
      </c>
      <c r="AI38" s="41" t="str">
        <f t="shared" si="53"/>
        <v>1</v>
      </c>
      <c r="AJ38" s="24">
        <f t="shared" si="80"/>
        <v>9.3143850232008845</v>
      </c>
      <c r="AK38" s="41" t="str">
        <f t="shared" si="55"/>
        <v/>
      </c>
      <c r="AL38" s="24">
        <f t="shared" si="81"/>
        <v>3.7726202784106135</v>
      </c>
      <c r="AM38" s="41" t="str">
        <f t="shared" si="57"/>
        <v/>
      </c>
      <c r="AN38" s="24">
        <f t="shared" si="82"/>
        <v>9.2714433409273624</v>
      </c>
      <c r="AO38" s="41" t="str">
        <f t="shared" si="59"/>
        <v/>
      </c>
    </row>
    <row r="39" spans="1:41" ht="14.25" customHeight="1" x14ac:dyDescent="0.2">
      <c r="A39" s="602"/>
      <c r="B39" s="604" t="s">
        <v>738</v>
      </c>
      <c r="C39" s="165" t="s">
        <v>537</v>
      </c>
      <c r="D39" s="3" t="str">
        <f t="shared" ref="D39:D43" si="138">D40</f>
        <v>m^2</v>
      </c>
      <c r="E39" s="151">
        <f t="shared" ref="E39:E43" si="139">E40/12</f>
        <v>2.4841299913639373E-8</v>
      </c>
      <c r="F39" s="15">
        <v>-6</v>
      </c>
      <c r="G39" s="166">
        <f t="shared" ref="G39:G52" si="140">E39*POWER(10,-F39)</f>
        <v>2.4841299913639373E-2</v>
      </c>
      <c r="H39" s="167" t="s">
        <v>739</v>
      </c>
      <c r="I39" s="266">
        <f t="shared" ref="I39:I43" si="141">I40/10</f>
        <v>1.0000000000000002E-6</v>
      </c>
      <c r="J39" s="205" t="str">
        <f t="shared" ref="J39:J43" si="142">J40</f>
        <v>m^2</v>
      </c>
      <c r="K39" s="143">
        <v>9</v>
      </c>
      <c r="L39" s="142">
        <f t="shared" ref="L39:L43" si="143">L40/10</f>
        <v>1.3481499673714936E-5</v>
      </c>
      <c r="M39" s="145" t="str">
        <f t="shared" si="68"/>
        <v>3;43096E135</v>
      </c>
      <c r="N39" s="146">
        <v>-5</v>
      </c>
      <c r="O39" s="154">
        <f t="shared" si="70"/>
        <v>3.3546285268098348</v>
      </c>
      <c r="P39" s="147" t="str">
        <f>INDEX(powers!$H$2:$H$75,33+N39)</f>
        <v>doz gross atomic</v>
      </c>
      <c r="Q39" s="40" t="str">
        <f t="shared" ref="Q39:Q52" si="144">IF($K39&gt;=Q$23,MID($N$23,IF($K39&gt;Q$23,INT(O39),ROUND(O39,0))+1,1),"")</f>
        <v>3</v>
      </c>
      <c r="R39" s="24">
        <f t="shared" si="71"/>
        <v>4.2555423217180177</v>
      </c>
      <c r="S39" s="41" t="str">
        <f t="shared" ref="S39:S52" si="145">IF($K39&gt;=S$23,MID($N$23,IF($K39&gt;S$23,INT(R39),ROUND(R39,0))+1,1),"")</f>
        <v>4</v>
      </c>
      <c r="T39" s="24">
        <f t="shared" si="72"/>
        <v>3.0665078606162126</v>
      </c>
      <c r="U39" s="41" t="str">
        <f t="shared" ref="U39:U52" si="146">IF($K39&gt;=U$23,MID($N$23,IF($K39&gt;U$23,INT(T39),ROUND(T39,0))+1,1),"")</f>
        <v>3</v>
      </c>
      <c r="V39" s="24">
        <f t="shared" si="73"/>
        <v>0.79809432739455133</v>
      </c>
      <c r="W39" s="41" t="str">
        <f t="shared" ref="W39:W52" si="147">IF($K39&gt;=W$23,MID($N$23,IF($K39&gt;W$23,INT(V39),ROUND(V39,0))+1,1),"")</f>
        <v>0</v>
      </c>
      <c r="X39" s="24">
        <f t="shared" si="74"/>
        <v>9.5771319287346159</v>
      </c>
      <c r="Y39" s="41" t="str">
        <f t="shared" ref="Y39:Y52" si="148">IF($K39&gt;=Y$23,MID($N$23,IF($K39&gt;Y$23,INT(X39),ROUND(X39,0))+1,1),"")</f>
        <v>9</v>
      </c>
      <c r="Z39" s="24">
        <f t="shared" si="75"/>
        <v>6.9255831448153913</v>
      </c>
      <c r="AA39" s="41" t="str">
        <f t="shared" ref="AA39:AA52" si="149">IF($K39&gt;=AA$23,MID($N$23,IF($K39&gt;AA$23,INT(Z39),ROUND(Z39,0))+1,1),"")</f>
        <v>6</v>
      </c>
      <c r="AB39" s="24">
        <f t="shared" si="76"/>
        <v>11.106997737784695</v>
      </c>
      <c r="AC39" s="41" t="str">
        <f t="shared" ref="AC39:AC52" si="150">IF($K39&gt;=AC$23,MID($N$23,IF($K39&gt;AC$23,INT(AB39),ROUND(AB39,0))+1,1),"")</f>
        <v>E</v>
      </c>
      <c r="AD39" s="24">
        <f t="shared" si="77"/>
        <v>1.2839728534163442</v>
      </c>
      <c r="AE39" s="41" t="str">
        <f t="shared" ref="AE39:AE52" si="151">IF($K39&gt;=AE$23,MID($N$23,IF($K39&gt;AE$23,INT(AD39),ROUND(AD39,0))+1,1),"")</f>
        <v>1</v>
      </c>
      <c r="AF39" s="24">
        <f t="shared" si="78"/>
        <v>3.4076742409961298</v>
      </c>
      <c r="AG39" s="41" t="str">
        <f t="shared" ref="AG39:AG52" si="152">IF($K39&gt;=AG$23,MID($N$23,IF($K39&gt;AG$23,INT(AF39),ROUND(AF39,0))+1,1),"")</f>
        <v>3</v>
      </c>
      <c r="AH39" s="24">
        <f t="shared" si="79"/>
        <v>4.8920908919535577</v>
      </c>
      <c r="AI39" s="41" t="str">
        <f t="shared" ref="AI39:AI52" si="153">IF($K39&gt;=AI$23,MID($N$23,IF($K39&gt;AI$23,INT(AH39),ROUND(AH39,0))+1,1),"")</f>
        <v>5</v>
      </c>
      <c r="AJ39" s="24">
        <f t="shared" si="80"/>
        <v>10.705090703442693</v>
      </c>
      <c r="AK39" s="41" t="str">
        <f t="shared" ref="AK39:AK52" si="154">IF($K39&gt;=AK$23,MID($N$23,IF($K39&gt;AK$23,INT(AJ39),ROUND(AJ39,0))+1,1),"")</f>
        <v/>
      </c>
      <c r="AL39" s="24">
        <f t="shared" si="81"/>
        <v>8.4610884413123131</v>
      </c>
      <c r="AM39" s="41" t="str">
        <f t="shared" ref="AM39:AM52" si="155">IF($K39&gt;=AM$23,MID($N$23,IF($K39&gt;AM$23,INT(AL39),ROUND(AL39,0))+1,1),"")</f>
        <v/>
      </c>
      <c r="AN39" s="24">
        <f t="shared" si="82"/>
        <v>5.533061295747757</v>
      </c>
      <c r="AO39" s="41" t="str">
        <f t="shared" ref="AO39:AO52" si="156">IF($K39&gt;=AO$23,MID($N$23,IF($K39&gt;AO$23,INT(AN39),ROUND(AN39,0))+1,1),"")</f>
        <v/>
      </c>
    </row>
    <row r="40" spans="1:41" ht="14.25" customHeight="1" x14ac:dyDescent="0.2">
      <c r="A40" s="602"/>
      <c r="B40" s="604"/>
      <c r="C40" s="168" t="s">
        <v>538</v>
      </c>
      <c r="D40" s="3" t="str">
        <f t="shared" si="138"/>
        <v>m^2</v>
      </c>
      <c r="E40" s="151">
        <f t="shared" si="139"/>
        <v>2.9809559896367248E-7</v>
      </c>
      <c r="F40" s="15">
        <v>-6</v>
      </c>
      <c r="G40" s="166">
        <f t="shared" si="140"/>
        <v>0.29809559896367249</v>
      </c>
      <c r="H40" s="167" t="s">
        <v>739</v>
      </c>
      <c r="I40" s="157">
        <f t="shared" si="141"/>
        <v>1.0000000000000001E-5</v>
      </c>
      <c r="J40" s="3" t="str">
        <f t="shared" si="142"/>
        <v>m^2</v>
      </c>
      <c r="K40" s="8">
        <v>9</v>
      </c>
      <c r="L40" s="21">
        <f t="shared" si="143"/>
        <v>1.3481499673714936E-4</v>
      </c>
      <c r="M40" s="37" t="str">
        <f t="shared" si="68"/>
        <v>2;9667E930X</v>
      </c>
      <c r="N40" s="38">
        <f t="shared" ref="N40:N43" si="157">N41-1</f>
        <v>-4</v>
      </c>
      <c r="O40" s="61">
        <f t="shared" si="70"/>
        <v>2.7955237723415292</v>
      </c>
      <c r="P40" s="39" t="str">
        <f>INDEX(powers!$H$2:$H$75,33+N40)</f>
        <v>sub</v>
      </c>
      <c r="Q40" s="40" t="str">
        <f t="shared" si="144"/>
        <v>2</v>
      </c>
      <c r="R40" s="24">
        <f t="shared" si="71"/>
        <v>9.5462852680983499</v>
      </c>
      <c r="S40" s="41" t="str">
        <f t="shared" si="145"/>
        <v>9</v>
      </c>
      <c r="T40" s="24">
        <f t="shared" si="72"/>
        <v>6.5554232171801985</v>
      </c>
      <c r="U40" s="41" t="str">
        <f t="shared" si="146"/>
        <v>6</v>
      </c>
      <c r="V40" s="24">
        <f t="shared" si="73"/>
        <v>6.6650786061623819</v>
      </c>
      <c r="W40" s="41" t="str">
        <f t="shared" si="147"/>
        <v>6</v>
      </c>
      <c r="X40" s="24">
        <f t="shared" si="74"/>
        <v>7.9809432739485828</v>
      </c>
      <c r="Y40" s="41" t="str">
        <f t="shared" si="148"/>
        <v>7</v>
      </c>
      <c r="Z40" s="24">
        <f t="shared" si="75"/>
        <v>11.771319287382994</v>
      </c>
      <c r="AA40" s="41" t="str">
        <f t="shared" si="149"/>
        <v>E</v>
      </c>
      <c r="AB40" s="24">
        <f t="shared" si="76"/>
        <v>9.2558314485959272</v>
      </c>
      <c r="AC40" s="41" t="str">
        <f t="shared" si="150"/>
        <v>9</v>
      </c>
      <c r="AD40" s="24">
        <f t="shared" si="77"/>
        <v>3.0699773831511266</v>
      </c>
      <c r="AE40" s="41" t="str">
        <f t="shared" si="151"/>
        <v>3</v>
      </c>
      <c r="AF40" s="24">
        <f t="shared" si="78"/>
        <v>0.83972859781351872</v>
      </c>
      <c r="AG40" s="41" t="str">
        <f t="shared" si="152"/>
        <v>0</v>
      </c>
      <c r="AH40" s="24">
        <f t="shared" si="79"/>
        <v>10.076743173762225</v>
      </c>
      <c r="AI40" s="41" t="str">
        <f t="shared" si="153"/>
        <v>X</v>
      </c>
      <c r="AJ40" s="24">
        <f t="shared" si="80"/>
        <v>0.92091808514669538</v>
      </c>
      <c r="AK40" s="41" t="str">
        <f t="shared" si="154"/>
        <v/>
      </c>
      <c r="AL40" s="24">
        <f t="shared" si="81"/>
        <v>11.051017021760345</v>
      </c>
      <c r="AM40" s="41" t="str">
        <f t="shared" si="155"/>
        <v/>
      </c>
      <c r="AN40" s="24">
        <f t="shared" si="82"/>
        <v>0.61220426112413406</v>
      </c>
      <c r="AO40" s="41" t="str">
        <f t="shared" si="156"/>
        <v/>
      </c>
    </row>
    <row r="41" spans="1:41" ht="14.25" customHeight="1" x14ac:dyDescent="0.2">
      <c r="A41" s="602"/>
      <c r="B41" s="604"/>
      <c r="C41" s="169" t="s">
        <v>539</v>
      </c>
      <c r="D41" s="3" t="str">
        <f t="shared" si="138"/>
        <v>m^2</v>
      </c>
      <c r="E41" s="151">
        <f t="shared" si="139"/>
        <v>3.5771471875640695E-6</v>
      </c>
      <c r="F41" s="15">
        <v>-6</v>
      </c>
      <c r="G41" s="166">
        <f t="shared" si="140"/>
        <v>3.5771471875640697</v>
      </c>
      <c r="H41" s="167" t="s">
        <v>739</v>
      </c>
      <c r="I41" s="158">
        <f t="shared" si="141"/>
        <v>1E-4</v>
      </c>
      <c r="J41" s="3" t="str">
        <f t="shared" si="142"/>
        <v>m^2</v>
      </c>
      <c r="K41" s="8">
        <v>9</v>
      </c>
      <c r="L41" s="21">
        <f t="shared" si="143"/>
        <v>1.3481499673714935E-3</v>
      </c>
      <c r="M41" s="37" t="str">
        <f t="shared" si="68"/>
        <v>2;3E5679868</v>
      </c>
      <c r="N41" s="38">
        <f t="shared" si="157"/>
        <v>-3</v>
      </c>
      <c r="O41" s="61">
        <f t="shared" si="70"/>
        <v>2.3296031436179412</v>
      </c>
      <c r="P41" s="39" t="str">
        <f>INDEX(powers!$H$2:$H$75,33+N41)</f>
        <v>terno</v>
      </c>
      <c r="Q41" s="40" t="str">
        <f t="shared" si="144"/>
        <v>2</v>
      </c>
      <c r="R41" s="24">
        <f t="shared" si="71"/>
        <v>3.9552377234152942</v>
      </c>
      <c r="S41" s="41" t="str">
        <f t="shared" si="145"/>
        <v>3</v>
      </c>
      <c r="T41" s="24">
        <f t="shared" si="72"/>
        <v>11.462852680983531</v>
      </c>
      <c r="U41" s="41" t="str">
        <f t="shared" si="146"/>
        <v>E</v>
      </c>
      <c r="V41" s="24">
        <f t="shared" si="73"/>
        <v>5.5542321718023686</v>
      </c>
      <c r="W41" s="41" t="str">
        <f t="shared" si="147"/>
        <v>5</v>
      </c>
      <c r="X41" s="24">
        <f t="shared" si="74"/>
        <v>6.6507860616284233</v>
      </c>
      <c r="Y41" s="41" t="str">
        <f t="shared" si="148"/>
        <v>6</v>
      </c>
      <c r="Z41" s="24">
        <f t="shared" si="75"/>
        <v>7.8094327395410801</v>
      </c>
      <c r="AA41" s="41" t="str">
        <f t="shared" si="149"/>
        <v>7</v>
      </c>
      <c r="AB41" s="24">
        <f t="shared" si="76"/>
        <v>9.713192874492961</v>
      </c>
      <c r="AC41" s="41" t="str">
        <f t="shared" si="150"/>
        <v>9</v>
      </c>
      <c r="AD41" s="24">
        <f t="shared" si="77"/>
        <v>8.5583144939155318</v>
      </c>
      <c r="AE41" s="41" t="str">
        <f t="shared" si="151"/>
        <v>8</v>
      </c>
      <c r="AF41" s="24">
        <f t="shared" si="78"/>
        <v>6.6997739269863814</v>
      </c>
      <c r="AG41" s="41" t="str">
        <f t="shared" si="152"/>
        <v>6</v>
      </c>
      <c r="AH41" s="24">
        <f t="shared" si="79"/>
        <v>8.3972871238365769</v>
      </c>
      <c r="AI41" s="41" t="str">
        <f t="shared" si="153"/>
        <v>8</v>
      </c>
      <c r="AJ41" s="24">
        <f t="shared" si="80"/>
        <v>4.7674454860389233</v>
      </c>
      <c r="AK41" s="41" t="str">
        <f t="shared" si="154"/>
        <v/>
      </c>
      <c r="AL41" s="24">
        <f t="shared" si="81"/>
        <v>9.2093458324670792</v>
      </c>
      <c r="AM41" s="41" t="str">
        <f t="shared" si="155"/>
        <v/>
      </c>
      <c r="AN41" s="24">
        <f t="shared" si="82"/>
        <v>2.51214998960495</v>
      </c>
      <c r="AO41" s="41" t="str">
        <f t="shared" si="156"/>
        <v/>
      </c>
    </row>
    <row r="42" spans="1:41" ht="14.25" customHeight="1" x14ac:dyDescent="0.2">
      <c r="A42" s="602"/>
      <c r="B42" s="604"/>
      <c r="C42" s="170" t="s">
        <v>540</v>
      </c>
      <c r="D42" s="3" t="str">
        <f t="shared" si="138"/>
        <v>m^2</v>
      </c>
      <c r="E42" s="151">
        <f t="shared" si="139"/>
        <v>4.2925766250768836E-5</v>
      </c>
      <c r="F42" s="15">
        <v>-6</v>
      </c>
      <c r="G42" s="166">
        <f t="shared" si="140"/>
        <v>42.925766250768838</v>
      </c>
      <c r="H42" s="167" t="s">
        <v>739</v>
      </c>
      <c r="I42" s="159">
        <f t="shared" si="141"/>
        <v>1E-3</v>
      </c>
      <c r="J42" s="3" t="str">
        <f t="shared" si="142"/>
        <v>m^2</v>
      </c>
      <c r="K42" s="8">
        <v>9</v>
      </c>
      <c r="L42" s="21">
        <f t="shared" si="143"/>
        <v>1.3481499673714935E-2</v>
      </c>
      <c r="M42" s="37" t="str">
        <f t="shared" si="68"/>
        <v>1;E36766117</v>
      </c>
      <c r="N42" s="38">
        <f t="shared" si="157"/>
        <v>-2</v>
      </c>
      <c r="O42" s="61">
        <f t="shared" si="70"/>
        <v>1.9413359530149508</v>
      </c>
      <c r="P42" s="39" t="str">
        <f>INDEX(powers!$H$2:$H$75,33+N42)</f>
        <v>dino</v>
      </c>
      <c r="Q42" s="40" t="str">
        <f t="shared" si="144"/>
        <v>1</v>
      </c>
      <c r="R42" s="24">
        <f t="shared" si="71"/>
        <v>11.296031436179408</v>
      </c>
      <c r="S42" s="41" t="str">
        <f t="shared" si="145"/>
        <v>E</v>
      </c>
      <c r="T42" s="24">
        <f t="shared" si="72"/>
        <v>3.5523772341528996</v>
      </c>
      <c r="U42" s="41" t="str">
        <f t="shared" si="146"/>
        <v>3</v>
      </c>
      <c r="V42" s="24">
        <f t="shared" si="73"/>
        <v>6.6285268098347956</v>
      </c>
      <c r="W42" s="41" t="str">
        <f t="shared" si="147"/>
        <v>6</v>
      </c>
      <c r="X42" s="24">
        <f t="shared" si="74"/>
        <v>7.542321718017547</v>
      </c>
      <c r="Y42" s="41" t="str">
        <f t="shared" si="148"/>
        <v>7</v>
      </c>
      <c r="Z42" s="24">
        <f t="shared" si="75"/>
        <v>6.5078606162105643</v>
      </c>
      <c r="AA42" s="41" t="str">
        <f t="shared" si="149"/>
        <v>6</v>
      </c>
      <c r="AB42" s="24">
        <f t="shared" si="76"/>
        <v>6.094327394526772</v>
      </c>
      <c r="AC42" s="41" t="str">
        <f t="shared" si="150"/>
        <v>6</v>
      </c>
      <c r="AD42" s="24">
        <f t="shared" si="77"/>
        <v>1.1319287343212636</v>
      </c>
      <c r="AE42" s="41" t="str">
        <f t="shared" si="151"/>
        <v>1</v>
      </c>
      <c r="AF42" s="24">
        <f t="shared" si="78"/>
        <v>1.5831448118551634</v>
      </c>
      <c r="AG42" s="41" t="str">
        <f t="shared" si="152"/>
        <v>1</v>
      </c>
      <c r="AH42" s="24">
        <f t="shared" si="79"/>
        <v>6.9977377422619611</v>
      </c>
      <c r="AI42" s="41" t="str">
        <f t="shared" si="153"/>
        <v>7</v>
      </c>
      <c r="AJ42" s="24">
        <f t="shared" si="80"/>
        <v>11.972852907143533</v>
      </c>
      <c r="AK42" s="41" t="str">
        <f t="shared" si="154"/>
        <v/>
      </c>
      <c r="AL42" s="24">
        <f t="shared" si="81"/>
        <v>11.674234885722399</v>
      </c>
      <c r="AM42" s="41" t="str">
        <f t="shared" si="155"/>
        <v/>
      </c>
      <c r="AN42" s="24">
        <f t="shared" si="82"/>
        <v>8.0908186286687851</v>
      </c>
      <c r="AO42" s="41" t="str">
        <f t="shared" si="156"/>
        <v/>
      </c>
    </row>
    <row r="43" spans="1:41" ht="14.25" customHeight="1" x14ac:dyDescent="0.2">
      <c r="A43" s="602"/>
      <c r="B43" s="604"/>
      <c r="C43" s="171" t="s">
        <v>541</v>
      </c>
      <c r="D43" s="3" t="str">
        <f t="shared" si="138"/>
        <v>m^2</v>
      </c>
      <c r="E43" s="151">
        <f t="shared" si="139"/>
        <v>5.1510919500922603E-4</v>
      </c>
      <c r="F43" s="15">
        <v>-4</v>
      </c>
      <c r="G43" s="166">
        <f t="shared" si="140"/>
        <v>5.1510919500922601</v>
      </c>
      <c r="H43" s="167" t="s">
        <v>740</v>
      </c>
      <c r="I43" s="160">
        <f t="shared" si="141"/>
        <v>0.01</v>
      </c>
      <c r="J43" s="3" t="str">
        <f t="shared" si="142"/>
        <v>m^2</v>
      </c>
      <c r="K43" s="8">
        <v>9</v>
      </c>
      <c r="L43" s="21">
        <f t="shared" si="143"/>
        <v>0.13481499673714936</v>
      </c>
      <c r="M43" s="37" t="str">
        <f t="shared" si="68"/>
        <v>1;74E6350E4</v>
      </c>
      <c r="N43" s="38">
        <f t="shared" si="157"/>
        <v>-1</v>
      </c>
      <c r="O43" s="61">
        <f t="shared" si="70"/>
        <v>1.6177799608457923</v>
      </c>
      <c r="P43" s="39" t="str">
        <f>INDEX(powers!$H$2:$H$75,33+N43)</f>
        <v>unino</v>
      </c>
      <c r="Q43" s="40" t="str">
        <f t="shared" si="144"/>
        <v>1</v>
      </c>
      <c r="R43" s="24">
        <f t="shared" si="71"/>
        <v>7.4133595301495081</v>
      </c>
      <c r="S43" s="41" t="str">
        <f t="shared" si="145"/>
        <v>7</v>
      </c>
      <c r="T43" s="24">
        <f t="shared" si="72"/>
        <v>4.9603143617940972</v>
      </c>
      <c r="U43" s="41" t="str">
        <f t="shared" si="146"/>
        <v>4</v>
      </c>
      <c r="V43" s="24">
        <f t="shared" si="73"/>
        <v>11.523772341529167</v>
      </c>
      <c r="W43" s="41" t="str">
        <f t="shared" si="147"/>
        <v>E</v>
      </c>
      <c r="X43" s="24">
        <f t="shared" si="74"/>
        <v>6.2852680983500022</v>
      </c>
      <c r="Y43" s="41" t="str">
        <f t="shared" si="148"/>
        <v>6</v>
      </c>
      <c r="Z43" s="24">
        <f t="shared" si="75"/>
        <v>3.4232171802000266</v>
      </c>
      <c r="AA43" s="41" t="str">
        <f t="shared" si="149"/>
        <v>3</v>
      </c>
      <c r="AB43" s="24">
        <f t="shared" si="76"/>
        <v>5.0786061624003196</v>
      </c>
      <c r="AC43" s="41" t="str">
        <f t="shared" si="150"/>
        <v>5</v>
      </c>
      <c r="AD43" s="24">
        <f t="shared" si="77"/>
        <v>0.94327394880383508</v>
      </c>
      <c r="AE43" s="41" t="str">
        <f t="shared" si="151"/>
        <v>0</v>
      </c>
      <c r="AF43" s="24">
        <f t="shared" si="78"/>
        <v>11.319287385646021</v>
      </c>
      <c r="AG43" s="41" t="str">
        <f t="shared" si="152"/>
        <v>E</v>
      </c>
      <c r="AH43" s="24">
        <f t="shared" si="79"/>
        <v>3.8314486277522519</v>
      </c>
      <c r="AI43" s="41" t="str">
        <f t="shared" si="153"/>
        <v>4</v>
      </c>
      <c r="AJ43" s="24">
        <f t="shared" si="80"/>
        <v>9.9773835330270231</v>
      </c>
      <c r="AK43" s="41" t="str">
        <f t="shared" si="154"/>
        <v/>
      </c>
      <c r="AL43" s="24">
        <f t="shared" si="81"/>
        <v>11.728602396324277</v>
      </c>
      <c r="AM43" s="41" t="str">
        <f t="shared" si="155"/>
        <v/>
      </c>
      <c r="AN43" s="24">
        <f t="shared" si="82"/>
        <v>8.7432287558913231</v>
      </c>
      <c r="AO43" s="41" t="str">
        <f t="shared" si="156"/>
        <v/>
      </c>
    </row>
    <row r="44" spans="1:41" ht="14.25" customHeight="1" x14ac:dyDescent="0.2">
      <c r="A44" s="602"/>
      <c r="B44" s="604"/>
      <c r="C44" s="172" t="s">
        <v>542</v>
      </c>
      <c r="D44" s="3" t="str">
        <f>D45</f>
        <v>m^2</v>
      </c>
      <c r="E44" s="151">
        <f>E45/12</f>
        <v>6.1813103401107128E-3</v>
      </c>
      <c r="F44" s="15">
        <v>-4</v>
      </c>
      <c r="G44" s="166">
        <f t="shared" si="140"/>
        <v>61.813103401107128</v>
      </c>
      <c r="H44" s="167" t="s">
        <v>740</v>
      </c>
      <c r="I44" s="161">
        <f>I45/10</f>
        <v>0.1</v>
      </c>
      <c r="J44" s="3" t="str">
        <f>J45</f>
        <v>m^2</v>
      </c>
      <c r="K44" s="8">
        <v>9</v>
      </c>
      <c r="L44" s="21">
        <f>L45/10</f>
        <v>1.3481499673714936</v>
      </c>
      <c r="M44" s="37" t="str">
        <f>Q44&amp;";"&amp;S44&amp;U44&amp;W44&amp;Y44&amp;AA44&amp;AC44&amp;AE44&amp;AG44&amp;AI44&amp;AK44&amp;AM44&amp;AO44</f>
        <v>1;42172X295</v>
      </c>
      <c r="N44" s="38">
        <f>N45-1</f>
        <v>0</v>
      </c>
      <c r="O44" s="61">
        <f t="shared" si="70"/>
        <v>1.3481499673714936</v>
      </c>
      <c r="P44" s="39" t="str">
        <f>INDEX(powers!$H$2:$H$75,33+N44)</f>
        <v xml:space="preserve"> </v>
      </c>
      <c r="Q44" s="40" t="str">
        <f t="shared" si="144"/>
        <v>1</v>
      </c>
      <c r="R44" s="24">
        <f>(O44-INT(O44))*12</f>
        <v>4.1777996084579234</v>
      </c>
      <c r="S44" s="41" t="str">
        <f t="shared" si="145"/>
        <v>4</v>
      </c>
      <c r="T44" s="24">
        <f>(R44-INT(R44))*12</f>
        <v>2.133595301495081</v>
      </c>
      <c r="U44" s="41" t="str">
        <f t="shared" si="146"/>
        <v>2</v>
      </c>
      <c r="V44" s="24">
        <f>(T44-INT(T44))*12</f>
        <v>1.6031436179409724</v>
      </c>
      <c r="W44" s="41" t="str">
        <f t="shared" si="147"/>
        <v>1</v>
      </c>
      <c r="X44" s="24">
        <f>(V44-INT(V44))*12</f>
        <v>7.2377234152916685</v>
      </c>
      <c r="Y44" s="41" t="str">
        <f t="shared" si="148"/>
        <v>7</v>
      </c>
      <c r="Z44" s="24">
        <f>(X44-INT(X44))*12</f>
        <v>2.8526809835000222</v>
      </c>
      <c r="AA44" s="41" t="str">
        <f t="shared" si="149"/>
        <v>2</v>
      </c>
      <c r="AB44" s="24">
        <f>(Z44-INT(Z44))*12</f>
        <v>10.232171802000266</v>
      </c>
      <c r="AC44" s="41" t="str">
        <f t="shared" si="150"/>
        <v>X</v>
      </c>
      <c r="AD44" s="24">
        <f>(AB44-INT(AB44))*12</f>
        <v>2.7860616240031959</v>
      </c>
      <c r="AE44" s="41" t="str">
        <f t="shared" si="151"/>
        <v>2</v>
      </c>
      <c r="AF44" s="24">
        <f>(AD44-INT(AD44))*12</f>
        <v>9.4327394880383508</v>
      </c>
      <c r="AG44" s="41" t="str">
        <f t="shared" si="152"/>
        <v>9</v>
      </c>
      <c r="AH44" s="24">
        <f>(AF44-INT(AF44))*12</f>
        <v>5.1928738564602099</v>
      </c>
      <c r="AI44" s="41" t="str">
        <f t="shared" si="153"/>
        <v>5</v>
      </c>
      <c r="AJ44" s="24">
        <f>(AH44-INT(AH44))*12</f>
        <v>2.3144862775225192</v>
      </c>
      <c r="AK44" s="41" t="str">
        <f t="shared" si="154"/>
        <v/>
      </c>
      <c r="AL44" s="24">
        <f>(AJ44-INT(AJ44))*12</f>
        <v>3.7738353302702308</v>
      </c>
      <c r="AM44" s="41" t="str">
        <f t="shared" si="155"/>
        <v/>
      </c>
      <c r="AN44" s="24">
        <f>(AL44-INT(AL44))*12</f>
        <v>9.2860239632427692</v>
      </c>
      <c r="AO44" s="41" t="str">
        <f t="shared" si="156"/>
        <v/>
      </c>
    </row>
    <row r="45" spans="1:41" ht="14.25" customHeight="1" x14ac:dyDescent="0.2">
      <c r="A45" s="602"/>
      <c r="B45" s="604"/>
      <c r="C45" s="173" t="s">
        <v>583</v>
      </c>
      <c r="D45" s="3" t="s">
        <v>592</v>
      </c>
      <c r="E45" s="151">
        <f>E3*E3</f>
        <v>7.4175724081328553E-2</v>
      </c>
      <c r="F45" s="15">
        <v>-2</v>
      </c>
      <c r="G45" s="166">
        <f t="shared" si="140"/>
        <v>7.4175724081328553</v>
      </c>
      <c r="H45" s="167" t="s">
        <v>741</v>
      </c>
      <c r="I45" s="162">
        <v>1</v>
      </c>
      <c r="J45" s="3" t="s">
        <v>592</v>
      </c>
      <c r="K45" s="8">
        <v>9</v>
      </c>
      <c r="L45" s="21">
        <f>1/E45</f>
        <v>13.481499673714936</v>
      </c>
      <c r="M45" s="37" t="str">
        <f>Q45&amp;";"&amp;S45&amp;U45&amp;W45&amp;Y45&amp;AA45&amp;AC45&amp;AE45&amp;AG45&amp;AI45&amp;AK45&amp;AM45&amp;AO45</f>
        <v>1;15940463X</v>
      </c>
      <c r="N45" s="38">
        <v>1</v>
      </c>
      <c r="O45" s="61">
        <f t="shared" si="70"/>
        <v>1.1234583061429113</v>
      </c>
      <c r="P45" s="39" t="str">
        <f>INDEX(powers!$H$2:$H$75,33+N45)</f>
        <v>dozen</v>
      </c>
      <c r="Q45" s="40" t="str">
        <f t="shared" si="144"/>
        <v>1</v>
      </c>
      <c r="R45" s="24">
        <f>(O45-INT(O45))*12</f>
        <v>1.4814996737149357</v>
      </c>
      <c r="S45" s="41" t="str">
        <f t="shared" si="145"/>
        <v>1</v>
      </c>
      <c r="T45" s="24">
        <f>(R45-INT(R45))*12</f>
        <v>5.7779960845792289</v>
      </c>
      <c r="U45" s="41" t="str">
        <f t="shared" si="146"/>
        <v>5</v>
      </c>
      <c r="V45" s="24">
        <f>(T45-INT(T45))*12</f>
        <v>9.3359530149507464</v>
      </c>
      <c r="W45" s="41" t="str">
        <f t="shared" si="147"/>
        <v>9</v>
      </c>
      <c r="X45" s="24">
        <f>(V45-INT(V45))*12</f>
        <v>4.0314361794089564</v>
      </c>
      <c r="Y45" s="41" t="str">
        <f t="shared" si="148"/>
        <v>4</v>
      </c>
      <c r="Z45" s="24">
        <f>(X45-INT(X45))*12</f>
        <v>0.37723415290747653</v>
      </c>
      <c r="AA45" s="41" t="str">
        <f t="shared" si="149"/>
        <v>0</v>
      </c>
      <c r="AB45" s="24">
        <f>(Z45-INT(Z45))*12</f>
        <v>4.5268098348897183</v>
      </c>
      <c r="AC45" s="41" t="str">
        <f t="shared" si="150"/>
        <v>4</v>
      </c>
      <c r="AD45" s="24">
        <f>(AB45-INT(AB45))*12</f>
        <v>6.32171801867662</v>
      </c>
      <c r="AE45" s="41" t="str">
        <f t="shared" si="151"/>
        <v>6</v>
      </c>
      <c r="AF45" s="24">
        <f>(AD45-INT(AD45))*12</f>
        <v>3.8606162241194397</v>
      </c>
      <c r="AG45" s="41" t="str">
        <f t="shared" si="152"/>
        <v>3</v>
      </c>
      <c r="AH45" s="24">
        <f>(AF45-INT(AF45))*12</f>
        <v>10.327394689433277</v>
      </c>
      <c r="AI45" s="41" t="str">
        <f t="shared" si="153"/>
        <v>X</v>
      </c>
      <c r="AJ45" s="24">
        <f>(AH45-INT(AH45))*12</f>
        <v>3.9287362731993198</v>
      </c>
      <c r="AK45" s="41" t="str">
        <f t="shared" si="154"/>
        <v/>
      </c>
      <c r="AL45" s="24">
        <f>(AJ45-INT(AJ45))*12</f>
        <v>11.144835278391838</v>
      </c>
      <c r="AM45" s="41" t="str">
        <f t="shared" si="155"/>
        <v/>
      </c>
      <c r="AN45" s="24">
        <f>(AL45-INT(AL45))*12</f>
        <v>1.7380233407020569</v>
      </c>
      <c r="AO45" s="41" t="str">
        <f t="shared" si="156"/>
        <v/>
      </c>
    </row>
    <row r="46" spans="1:41" ht="14.25" customHeight="1" x14ac:dyDescent="0.2">
      <c r="A46" s="602"/>
      <c r="B46" s="604"/>
      <c r="C46" s="173" t="s">
        <v>341</v>
      </c>
      <c r="D46" s="3" t="str">
        <f t="shared" ref="D46:D50" si="158">D45</f>
        <v>m^2</v>
      </c>
      <c r="E46" s="151">
        <f>E45*12</f>
        <v>0.89010868897594264</v>
      </c>
      <c r="F46" s="15">
        <v>-2</v>
      </c>
      <c r="G46" s="166">
        <f t="shared" si="140"/>
        <v>89.010868897594264</v>
      </c>
      <c r="H46" s="167" t="s">
        <v>741</v>
      </c>
      <c r="I46" s="162">
        <f>I45*10</f>
        <v>10</v>
      </c>
      <c r="J46" s="3" t="str">
        <f t="shared" ref="J46:J50" si="159">J45</f>
        <v>m^2</v>
      </c>
      <c r="K46" s="8">
        <v>9</v>
      </c>
      <c r="L46" s="21">
        <f>L45*10</f>
        <v>134.81499673714936</v>
      </c>
      <c r="M46" s="37" t="str">
        <f>Q46&amp;";"&amp;S46&amp;U46&amp;W46&amp;Y46&amp;AA46&amp;AC46&amp;AE46&amp;AG46&amp;AI46&amp;AK46&amp;AM46&amp;AO46</f>
        <v>E;299439327</v>
      </c>
      <c r="N46" s="38">
        <v>1</v>
      </c>
      <c r="O46" s="61">
        <f t="shared" si="70"/>
        <v>11.234583061429113</v>
      </c>
      <c r="P46" s="39" t="str">
        <f>INDEX(powers!$H$2:$H$75,33+N46)</f>
        <v>dozen</v>
      </c>
      <c r="Q46" s="40" t="str">
        <f t="shared" si="144"/>
        <v>E</v>
      </c>
      <c r="R46" s="24">
        <f>(O46-INT(O46))*12</f>
        <v>2.8149967371493574</v>
      </c>
      <c r="S46" s="41" t="str">
        <f t="shared" si="145"/>
        <v>2</v>
      </c>
      <c r="T46" s="24">
        <f>(R46-INT(R46))*12</f>
        <v>9.7799608457922886</v>
      </c>
      <c r="U46" s="41" t="str">
        <f t="shared" si="146"/>
        <v>9</v>
      </c>
      <c r="V46" s="24">
        <f>(T46-INT(T46))*12</f>
        <v>9.3595301495074636</v>
      </c>
      <c r="W46" s="41" t="str">
        <f t="shared" si="147"/>
        <v>9</v>
      </c>
      <c r="X46" s="24">
        <f>(V46-INT(V46))*12</f>
        <v>4.3143617940895638</v>
      </c>
      <c r="Y46" s="41" t="str">
        <f t="shared" si="148"/>
        <v>4</v>
      </c>
      <c r="Z46" s="24">
        <f>(X46-INT(X46))*12</f>
        <v>3.7723415290747653</v>
      </c>
      <c r="AA46" s="41" t="str">
        <f t="shared" si="149"/>
        <v>3</v>
      </c>
      <c r="AB46" s="24">
        <f>(Z46-INT(Z46))*12</f>
        <v>9.2680983488971833</v>
      </c>
      <c r="AC46" s="41" t="str">
        <f t="shared" si="150"/>
        <v>9</v>
      </c>
      <c r="AD46" s="24">
        <f>(AB46-INT(AB46))*12</f>
        <v>3.2171801867661998</v>
      </c>
      <c r="AE46" s="41" t="str">
        <f t="shared" si="151"/>
        <v>3</v>
      </c>
      <c r="AF46" s="24">
        <f>(AD46-INT(AD46))*12</f>
        <v>2.6061622411943972</v>
      </c>
      <c r="AG46" s="41" t="str">
        <f t="shared" si="152"/>
        <v>2</v>
      </c>
      <c r="AH46" s="24">
        <f>(AF46-INT(AF46))*12</f>
        <v>7.2739468943327665</v>
      </c>
      <c r="AI46" s="41" t="str">
        <f t="shared" si="153"/>
        <v>7</v>
      </c>
      <c r="AJ46" s="24">
        <f>(AH46-INT(AH46))*12</f>
        <v>3.2873627319931984</v>
      </c>
      <c r="AK46" s="41" t="str">
        <f t="shared" si="154"/>
        <v/>
      </c>
      <c r="AL46" s="24">
        <f>(AJ46-INT(AJ46))*12</f>
        <v>3.4483527839183807</v>
      </c>
      <c r="AM46" s="41" t="str">
        <f t="shared" si="155"/>
        <v/>
      </c>
      <c r="AN46" s="24">
        <f>(AL46-INT(AL46))*12</f>
        <v>5.3802334070205688</v>
      </c>
      <c r="AO46" s="41" t="str">
        <f t="shared" si="156"/>
        <v/>
      </c>
    </row>
    <row r="47" spans="1:41" ht="14.25" customHeight="1" x14ac:dyDescent="0.2">
      <c r="A47" s="602"/>
      <c r="B47" s="604"/>
      <c r="C47" s="173" t="s">
        <v>342</v>
      </c>
      <c r="D47" s="3" t="str">
        <f t="shared" si="158"/>
        <v>m^2</v>
      </c>
      <c r="E47" s="151">
        <f t="shared" ref="E47:E50" si="160">E46*12</f>
        <v>10.681304267711312</v>
      </c>
      <c r="F47" s="15">
        <v>0</v>
      </c>
      <c r="G47" s="166">
        <f t="shared" si="140"/>
        <v>10.681304267711312</v>
      </c>
      <c r="H47" s="167" t="s">
        <v>592</v>
      </c>
      <c r="I47" s="162">
        <f>I46*10</f>
        <v>100</v>
      </c>
      <c r="J47" s="3" t="str">
        <f t="shared" si="159"/>
        <v>m^2</v>
      </c>
      <c r="K47" s="8">
        <v>9</v>
      </c>
      <c r="L47" s="21">
        <f>L46*10</f>
        <v>1348.1499673714936</v>
      </c>
      <c r="M47" s="37" t="str">
        <f>Q47&amp;";"&amp;S47&amp;U47&amp;W47&amp;Y47&amp;AA47&amp;AC47&amp;AE47&amp;AG47&amp;AI47&amp;AK47&amp;AM47&amp;AO47</f>
        <v>9;441971882</v>
      </c>
      <c r="N47" s="38">
        <f>N46+1</f>
        <v>2</v>
      </c>
      <c r="O47" s="61">
        <f t="shared" si="70"/>
        <v>9.3621525511909276</v>
      </c>
      <c r="P47" s="39" t="str">
        <f>INDEX(powers!$H$2:$H$75,33+N47)</f>
        <v>gross</v>
      </c>
      <c r="Q47" s="40" t="str">
        <f t="shared" si="144"/>
        <v>9</v>
      </c>
      <c r="R47" s="24">
        <f>(O47-INT(O47))*12</f>
        <v>4.3458306142911312</v>
      </c>
      <c r="S47" s="41" t="str">
        <f t="shared" si="145"/>
        <v>4</v>
      </c>
      <c r="T47" s="24">
        <f>(R47-INT(R47))*12</f>
        <v>4.1499673714935739</v>
      </c>
      <c r="U47" s="41" t="str">
        <f t="shared" si="146"/>
        <v>4</v>
      </c>
      <c r="V47" s="24">
        <f>(T47-INT(T47))*12</f>
        <v>1.7996084579228864</v>
      </c>
      <c r="W47" s="41" t="str">
        <f t="shared" si="147"/>
        <v>1</v>
      </c>
      <c r="X47" s="24">
        <f>(V47-INT(V47))*12</f>
        <v>9.5953014950746365</v>
      </c>
      <c r="Y47" s="41" t="str">
        <f t="shared" si="148"/>
        <v>9</v>
      </c>
      <c r="Z47" s="24">
        <f>(X47-INT(X47))*12</f>
        <v>7.1436179408956377</v>
      </c>
      <c r="AA47" s="41" t="str">
        <f t="shared" si="149"/>
        <v>7</v>
      </c>
      <c r="AB47" s="24">
        <f>(Z47-INT(Z47))*12</f>
        <v>1.7234152907476528</v>
      </c>
      <c r="AC47" s="41" t="str">
        <f t="shared" si="150"/>
        <v>1</v>
      </c>
      <c r="AD47" s="24">
        <f>(AB47-INT(AB47))*12</f>
        <v>8.6809834889718331</v>
      </c>
      <c r="AE47" s="41" t="str">
        <f t="shared" si="151"/>
        <v>8</v>
      </c>
      <c r="AF47" s="24">
        <f>(AD47-INT(AD47))*12</f>
        <v>8.1718018676619977</v>
      </c>
      <c r="AG47" s="41" t="str">
        <f t="shared" si="152"/>
        <v>8</v>
      </c>
      <c r="AH47" s="24">
        <f>(AF47-INT(AF47))*12</f>
        <v>2.0616224119439721</v>
      </c>
      <c r="AI47" s="41" t="str">
        <f t="shared" si="153"/>
        <v>2</v>
      </c>
      <c r="AJ47" s="24">
        <f>(AH47-INT(AH47))*12</f>
        <v>0.73946894332766533</v>
      </c>
      <c r="AK47" s="41" t="str">
        <f t="shared" si="154"/>
        <v/>
      </c>
      <c r="AL47" s="24">
        <f>(AJ47-INT(AJ47))*12</f>
        <v>8.8736273199319839</v>
      </c>
      <c r="AM47" s="41" t="str">
        <f t="shared" si="155"/>
        <v/>
      </c>
      <c r="AN47" s="24">
        <f>(AL47-INT(AL47))*12</f>
        <v>10.483527839183807</v>
      </c>
      <c r="AO47" s="41" t="str">
        <f t="shared" si="156"/>
        <v/>
      </c>
    </row>
    <row r="48" spans="1:41" ht="14.25" customHeight="1" x14ac:dyDescent="0.2">
      <c r="A48" s="602"/>
      <c r="B48" s="604"/>
      <c r="C48" s="190" t="s">
        <v>343</v>
      </c>
      <c r="D48" s="3" t="str">
        <f t="shared" si="158"/>
        <v>m^2</v>
      </c>
      <c r="E48" s="151">
        <f t="shared" si="160"/>
        <v>128.17565121253574</v>
      </c>
      <c r="F48" s="15">
        <v>2</v>
      </c>
      <c r="G48" s="166">
        <f t="shared" si="140"/>
        <v>1.2817565121253574</v>
      </c>
      <c r="H48" s="167" t="s">
        <v>742</v>
      </c>
      <c r="I48" s="162">
        <f t="shared" ref="I48:I50" si="161">I47*10</f>
        <v>1000</v>
      </c>
      <c r="J48" s="3" t="str">
        <f t="shared" si="159"/>
        <v>m^2</v>
      </c>
      <c r="K48" s="8">
        <v>9</v>
      </c>
      <c r="L48" s="21">
        <f t="shared" ref="L48:L50" si="162">L47*10</f>
        <v>13481.499673714936</v>
      </c>
      <c r="M48" s="37" t="str">
        <f t="shared" ref="M48:M57" si="163">Q48&amp;";"&amp;S48&amp;U48&amp;W48&amp;Y48&amp;AA48&amp;AC48&amp;AE48&amp;AG48&amp;AI48&amp;AK48&amp;AM48&amp;AO48</f>
        <v>7;9755EE52X</v>
      </c>
      <c r="N48" s="38">
        <f t="shared" ref="N48:N50" si="164">N47+1</f>
        <v>3</v>
      </c>
      <c r="O48" s="61">
        <f t="shared" ref="O48:O61" si="165">L48/POWER(12,N48)</f>
        <v>7.8017937926591063</v>
      </c>
      <c r="P48" s="39" t="str">
        <f>INDEX(powers!$H$2:$H$75,33+N48)</f>
        <v>doz gross</v>
      </c>
      <c r="Q48" s="40" t="str">
        <f t="shared" si="144"/>
        <v>7</v>
      </c>
      <c r="R48" s="24">
        <f t="shared" ref="R48:R57" si="166">(O48-INT(O48))*12</f>
        <v>9.621525511909276</v>
      </c>
      <c r="S48" s="41" t="str">
        <f t="shared" si="145"/>
        <v>9</v>
      </c>
      <c r="T48" s="24">
        <f t="shared" ref="T48:T57" si="167">(R48-INT(R48))*12</f>
        <v>7.4583061429113116</v>
      </c>
      <c r="U48" s="41" t="str">
        <f t="shared" si="146"/>
        <v>7</v>
      </c>
      <c r="V48" s="24">
        <f t="shared" ref="V48:V57" si="168">(T48-INT(T48))*12</f>
        <v>5.4996737149357386</v>
      </c>
      <c r="W48" s="41" t="str">
        <f t="shared" si="147"/>
        <v>5</v>
      </c>
      <c r="X48" s="24">
        <f t="shared" ref="X48:X57" si="169">(V48-INT(V48))*12</f>
        <v>5.9960845792288637</v>
      </c>
      <c r="Y48" s="41" t="str">
        <f t="shared" si="148"/>
        <v>5</v>
      </c>
      <c r="Z48" s="24">
        <f t="shared" ref="Z48:Z57" si="170">(X48-INT(X48))*12</f>
        <v>11.953014950746365</v>
      </c>
      <c r="AA48" s="41" t="str">
        <f t="shared" si="149"/>
        <v>E</v>
      </c>
      <c r="AB48" s="24">
        <f t="shared" ref="AB48:AB57" si="171">(Z48-INT(Z48))*12</f>
        <v>11.436179408956377</v>
      </c>
      <c r="AC48" s="41" t="str">
        <f t="shared" si="150"/>
        <v>E</v>
      </c>
      <c r="AD48" s="24">
        <f t="shared" ref="AD48:AD57" si="172">(AB48-INT(AB48))*12</f>
        <v>5.2341529074765276</v>
      </c>
      <c r="AE48" s="41" t="str">
        <f t="shared" si="151"/>
        <v>5</v>
      </c>
      <c r="AF48" s="24">
        <f t="shared" ref="AF48:AF57" si="173">(AD48-INT(AD48))*12</f>
        <v>2.8098348897183314</v>
      </c>
      <c r="AG48" s="41" t="str">
        <f t="shared" si="152"/>
        <v>2</v>
      </c>
      <c r="AH48" s="24">
        <f t="shared" ref="AH48:AH57" si="174">(AF48-INT(AF48))*12</f>
        <v>9.7180186766199768</v>
      </c>
      <c r="AI48" s="41" t="str">
        <f t="shared" si="153"/>
        <v>X</v>
      </c>
      <c r="AJ48" s="24">
        <f t="shared" ref="AJ48:AJ57" si="175">(AH48-INT(AH48))*12</f>
        <v>8.6162241194397211</v>
      </c>
      <c r="AK48" s="41" t="str">
        <f t="shared" si="154"/>
        <v/>
      </c>
      <c r="AL48" s="24">
        <f t="shared" ref="AL48:AL57" si="176">(AJ48-INT(AJ48))*12</f>
        <v>7.3946894332766533</v>
      </c>
      <c r="AM48" s="41" t="str">
        <f t="shared" si="155"/>
        <v/>
      </c>
      <c r="AN48" s="24">
        <f t="shared" ref="AN48:AN57" si="177">(AL48-INT(AL48))*12</f>
        <v>4.7362731993198395</v>
      </c>
      <c r="AO48" s="41" t="str">
        <f t="shared" si="156"/>
        <v/>
      </c>
    </row>
    <row r="49" spans="1:41" ht="14.25" customHeight="1" x14ac:dyDescent="0.2">
      <c r="A49" s="602"/>
      <c r="B49" s="604"/>
      <c r="C49" s="188" t="s">
        <v>344</v>
      </c>
      <c r="D49" s="3" t="str">
        <f t="shared" si="158"/>
        <v>m^2</v>
      </c>
      <c r="E49" s="151">
        <f t="shared" si="160"/>
        <v>1538.1078145504289</v>
      </c>
      <c r="F49" s="15">
        <v>2</v>
      </c>
      <c r="G49" s="166">
        <f t="shared" si="140"/>
        <v>15.38107814550429</v>
      </c>
      <c r="H49" s="167" t="s">
        <v>742</v>
      </c>
      <c r="I49" s="162">
        <f t="shared" si="161"/>
        <v>10000</v>
      </c>
      <c r="J49" s="3" t="str">
        <f t="shared" si="159"/>
        <v>m^2</v>
      </c>
      <c r="K49" s="8">
        <v>9</v>
      </c>
      <c r="L49" s="21">
        <f t="shared" si="162"/>
        <v>134814.99673714937</v>
      </c>
      <c r="M49" s="37" t="str">
        <f t="shared" si="163"/>
        <v>6;6026EE644</v>
      </c>
      <c r="N49" s="38">
        <f t="shared" si="164"/>
        <v>4</v>
      </c>
      <c r="O49" s="61">
        <f t="shared" si="165"/>
        <v>6.5014948272159225</v>
      </c>
      <c r="P49" s="39" t="str">
        <f>INDEX(powers!$H$2:$H$75,33+N49)</f>
        <v>hyper</v>
      </c>
      <c r="Q49" s="40" t="str">
        <f t="shared" si="144"/>
        <v>6</v>
      </c>
      <c r="R49" s="24">
        <f t="shared" si="166"/>
        <v>6.0179379265910704</v>
      </c>
      <c r="S49" s="41" t="str">
        <f t="shared" si="145"/>
        <v>6</v>
      </c>
      <c r="T49" s="24">
        <f t="shared" si="167"/>
        <v>0.21525511909284489</v>
      </c>
      <c r="U49" s="41" t="str">
        <f t="shared" si="146"/>
        <v>0</v>
      </c>
      <c r="V49" s="24">
        <f t="shared" si="168"/>
        <v>2.5830614291141387</v>
      </c>
      <c r="W49" s="41" t="str">
        <f t="shared" si="147"/>
        <v>2</v>
      </c>
      <c r="X49" s="24">
        <f t="shared" si="169"/>
        <v>6.9967371493696646</v>
      </c>
      <c r="Y49" s="41" t="str">
        <f t="shared" si="148"/>
        <v>6</v>
      </c>
      <c r="Z49" s="24">
        <f t="shared" si="170"/>
        <v>11.960845792435975</v>
      </c>
      <c r="AA49" s="41" t="str">
        <f t="shared" si="149"/>
        <v>E</v>
      </c>
      <c r="AB49" s="24">
        <f t="shared" si="171"/>
        <v>11.530149509231705</v>
      </c>
      <c r="AC49" s="41" t="str">
        <f t="shared" si="150"/>
        <v>E</v>
      </c>
      <c r="AD49" s="24">
        <f t="shared" si="172"/>
        <v>6.3617941107804654</v>
      </c>
      <c r="AE49" s="41" t="str">
        <f t="shared" si="151"/>
        <v>6</v>
      </c>
      <c r="AF49" s="24">
        <f t="shared" si="173"/>
        <v>4.341529329365585</v>
      </c>
      <c r="AG49" s="41" t="str">
        <f t="shared" si="152"/>
        <v>4</v>
      </c>
      <c r="AH49" s="24">
        <f t="shared" si="174"/>
        <v>4.09835195238702</v>
      </c>
      <c r="AI49" s="41" t="str">
        <f t="shared" si="153"/>
        <v>4</v>
      </c>
      <c r="AJ49" s="24">
        <f t="shared" si="175"/>
        <v>1.1802234286442399</v>
      </c>
      <c r="AK49" s="41" t="str">
        <f t="shared" si="154"/>
        <v/>
      </c>
      <c r="AL49" s="24">
        <f t="shared" si="176"/>
        <v>2.1626811437308788</v>
      </c>
      <c r="AM49" s="41" t="str">
        <f t="shared" si="155"/>
        <v/>
      </c>
      <c r="AN49" s="24">
        <f t="shared" si="177"/>
        <v>1.952173724770546</v>
      </c>
      <c r="AO49" s="41" t="str">
        <f t="shared" si="156"/>
        <v/>
      </c>
    </row>
    <row r="50" spans="1:41" ht="14.25" customHeight="1" x14ac:dyDescent="0.2">
      <c r="A50" s="602"/>
      <c r="B50" s="604"/>
      <c r="C50" s="188" t="s">
        <v>345</v>
      </c>
      <c r="D50" s="3" t="str">
        <f t="shared" si="158"/>
        <v>m^2</v>
      </c>
      <c r="E50" s="151">
        <f t="shared" si="160"/>
        <v>18457.293774605147</v>
      </c>
      <c r="F50" s="15">
        <v>4</v>
      </c>
      <c r="G50" s="166">
        <f t="shared" si="140"/>
        <v>1.8457293774605148</v>
      </c>
      <c r="H50" s="167" t="s">
        <v>743</v>
      </c>
      <c r="I50" s="162">
        <f t="shared" si="161"/>
        <v>100000</v>
      </c>
      <c r="J50" s="3" t="str">
        <f t="shared" si="159"/>
        <v>m^2</v>
      </c>
      <c r="K50" s="8">
        <v>9</v>
      </c>
      <c r="L50" s="21">
        <f t="shared" si="162"/>
        <v>1348149.9673714936</v>
      </c>
      <c r="M50" s="37" t="str">
        <f t="shared" si="163"/>
        <v>5;50219E737</v>
      </c>
      <c r="N50" s="38">
        <f t="shared" si="164"/>
        <v>5</v>
      </c>
      <c r="O50" s="61">
        <f t="shared" si="165"/>
        <v>5.417912356013268</v>
      </c>
      <c r="P50" s="39" t="str">
        <f>INDEX(powers!$H$2:$H$75,33+N50)</f>
        <v>terno cosmic</v>
      </c>
      <c r="Q50" s="40" t="str">
        <f t="shared" si="144"/>
        <v>5</v>
      </c>
      <c r="R50" s="24">
        <f t="shared" si="166"/>
        <v>5.0149482721592165</v>
      </c>
      <c r="S50" s="41" t="str">
        <f t="shared" si="145"/>
        <v>5</v>
      </c>
      <c r="T50" s="24">
        <f t="shared" si="167"/>
        <v>0.1793792659105975</v>
      </c>
      <c r="U50" s="41" t="str">
        <f t="shared" si="146"/>
        <v>0</v>
      </c>
      <c r="V50" s="24">
        <f t="shared" si="168"/>
        <v>2.15255119092717</v>
      </c>
      <c r="W50" s="41" t="str">
        <f t="shared" si="147"/>
        <v>2</v>
      </c>
      <c r="X50" s="24">
        <f t="shared" si="169"/>
        <v>1.8306142911260395</v>
      </c>
      <c r="Y50" s="41" t="str">
        <f t="shared" si="148"/>
        <v>1</v>
      </c>
      <c r="Z50" s="24">
        <f t="shared" si="170"/>
        <v>9.9673714935124735</v>
      </c>
      <c r="AA50" s="41" t="str">
        <f t="shared" si="149"/>
        <v>9</v>
      </c>
      <c r="AB50" s="24">
        <f t="shared" si="171"/>
        <v>11.608457922149682</v>
      </c>
      <c r="AC50" s="41" t="str">
        <f t="shared" si="150"/>
        <v>E</v>
      </c>
      <c r="AD50" s="24">
        <f t="shared" si="172"/>
        <v>7.301495065796189</v>
      </c>
      <c r="AE50" s="41" t="str">
        <f t="shared" si="151"/>
        <v>7</v>
      </c>
      <c r="AF50" s="24">
        <f t="shared" si="173"/>
        <v>3.6179407895542681</v>
      </c>
      <c r="AG50" s="41" t="str">
        <f t="shared" si="152"/>
        <v>3</v>
      </c>
      <c r="AH50" s="24">
        <f t="shared" si="174"/>
        <v>7.4152894746512175</v>
      </c>
      <c r="AI50" s="41" t="str">
        <f t="shared" si="153"/>
        <v>7</v>
      </c>
      <c r="AJ50" s="24">
        <f t="shared" si="175"/>
        <v>4.9834736958146095</v>
      </c>
      <c r="AK50" s="41" t="str">
        <f t="shared" si="154"/>
        <v/>
      </c>
      <c r="AL50" s="24">
        <f t="shared" si="176"/>
        <v>11.801684349775314</v>
      </c>
      <c r="AM50" s="41" t="str">
        <f t="shared" si="155"/>
        <v/>
      </c>
      <c r="AN50" s="24">
        <f t="shared" si="177"/>
        <v>9.620212197303772</v>
      </c>
      <c r="AO50" s="41" t="str">
        <f t="shared" si="156"/>
        <v/>
      </c>
    </row>
    <row r="51" spans="1:41" ht="14.25" customHeight="1" x14ac:dyDescent="0.2">
      <c r="A51" s="602"/>
      <c r="B51" s="604"/>
      <c r="C51" s="212" t="s">
        <v>346</v>
      </c>
      <c r="D51" s="5" t="str">
        <f>D49</f>
        <v>m^2</v>
      </c>
      <c r="E51" s="249">
        <f>E50*12</f>
        <v>221487.52529526176</v>
      </c>
      <c r="F51" s="250">
        <v>4</v>
      </c>
      <c r="G51" s="251">
        <f t="shared" si="140"/>
        <v>22.148752529526178</v>
      </c>
      <c r="H51" s="252" t="s">
        <v>743</v>
      </c>
      <c r="I51" s="163">
        <f>I50*10</f>
        <v>1000000</v>
      </c>
      <c r="J51" s="5" t="str">
        <f>J49</f>
        <v>m^2</v>
      </c>
      <c r="K51" s="30">
        <v>9</v>
      </c>
      <c r="L51" s="29">
        <f>L50*10</f>
        <v>13481499.673714936</v>
      </c>
      <c r="M51" s="108" t="str">
        <f t="shared" si="163"/>
        <v>4;621963810</v>
      </c>
      <c r="N51" s="43">
        <v>6</v>
      </c>
      <c r="O51" s="62">
        <f t="shared" si="165"/>
        <v>4.51492696334439</v>
      </c>
      <c r="P51" s="44" t="str">
        <f>INDEX(powers!$H$2:$H$75,33+N51)</f>
        <v>dino cosmic</v>
      </c>
      <c r="Q51" s="40" t="str">
        <f t="shared" si="144"/>
        <v>4</v>
      </c>
      <c r="R51" s="24">
        <f t="shared" si="166"/>
        <v>6.1791235601326804</v>
      </c>
      <c r="S51" s="41" t="str">
        <f t="shared" si="145"/>
        <v>6</v>
      </c>
      <c r="T51" s="24">
        <f t="shared" si="167"/>
        <v>2.1494827215921646</v>
      </c>
      <c r="U51" s="41" t="str">
        <f t="shared" si="146"/>
        <v>2</v>
      </c>
      <c r="V51" s="24">
        <f t="shared" si="168"/>
        <v>1.793792659105975</v>
      </c>
      <c r="W51" s="41" t="str">
        <f t="shared" si="147"/>
        <v>1</v>
      </c>
      <c r="X51" s="24">
        <f t="shared" si="169"/>
        <v>9.5255119092716996</v>
      </c>
      <c r="Y51" s="41" t="str">
        <f t="shared" si="148"/>
        <v>9</v>
      </c>
      <c r="Z51" s="24">
        <f t="shared" si="170"/>
        <v>6.3061429112603946</v>
      </c>
      <c r="AA51" s="41" t="str">
        <f t="shared" si="149"/>
        <v>6</v>
      </c>
      <c r="AB51" s="24">
        <f t="shared" si="171"/>
        <v>3.6737149351247353</v>
      </c>
      <c r="AC51" s="41" t="str">
        <f t="shared" si="150"/>
        <v>3</v>
      </c>
      <c r="AD51" s="24">
        <f t="shared" si="172"/>
        <v>8.0845792214968242</v>
      </c>
      <c r="AE51" s="41" t="str">
        <f t="shared" si="151"/>
        <v>8</v>
      </c>
      <c r="AF51" s="24">
        <f t="shared" si="173"/>
        <v>1.0149506579618901</v>
      </c>
      <c r="AG51" s="41" t="str">
        <f t="shared" si="152"/>
        <v>1</v>
      </c>
      <c r="AH51" s="24">
        <f t="shared" si="174"/>
        <v>0.17940789554268122</v>
      </c>
      <c r="AI51" s="41" t="str">
        <f t="shared" si="153"/>
        <v>0</v>
      </c>
      <c r="AJ51" s="24">
        <f t="shared" si="175"/>
        <v>2.1528947465121746</v>
      </c>
      <c r="AK51" s="41" t="str">
        <f t="shared" si="154"/>
        <v/>
      </c>
      <c r="AL51" s="24">
        <f t="shared" si="176"/>
        <v>1.8347369581460953</v>
      </c>
      <c r="AM51" s="41" t="str">
        <f t="shared" si="155"/>
        <v/>
      </c>
      <c r="AN51" s="24">
        <f t="shared" si="177"/>
        <v>10.016843497753143</v>
      </c>
      <c r="AO51" s="41" t="str">
        <f t="shared" si="156"/>
        <v/>
      </c>
    </row>
    <row r="52" spans="1:41" ht="14.25" customHeight="1" thickBot="1" x14ac:dyDescent="0.25">
      <c r="A52" s="602"/>
      <c r="B52" s="605"/>
      <c r="C52" s="189" t="s">
        <v>347</v>
      </c>
      <c r="D52" s="89" t="str">
        <f>D50</f>
        <v>m^2</v>
      </c>
      <c r="E52" s="175">
        <f>E51*12</f>
        <v>2657850.3035431411</v>
      </c>
      <c r="F52" s="176">
        <v>6</v>
      </c>
      <c r="G52" s="177">
        <f t="shared" si="140"/>
        <v>2.6578503035431411</v>
      </c>
      <c r="H52" s="178" t="s">
        <v>744</v>
      </c>
      <c r="I52" s="163">
        <f>I51*10</f>
        <v>10000000</v>
      </c>
      <c r="J52" s="89" t="str">
        <f>J50</f>
        <v>m^2</v>
      </c>
      <c r="K52" s="30">
        <v>9</v>
      </c>
      <c r="L52" s="29">
        <f>L51*10</f>
        <v>134814996.73714936</v>
      </c>
      <c r="M52" s="108" t="str">
        <f t="shared" si="163"/>
        <v>3;9195E308X</v>
      </c>
      <c r="N52" s="43">
        <v>7</v>
      </c>
      <c r="O52" s="62">
        <f t="shared" si="165"/>
        <v>3.7624391361203253</v>
      </c>
      <c r="P52" s="44" t="str">
        <f>INDEX(powers!$H$2:$H$75,33+N52)</f>
        <v>unino cosmic</v>
      </c>
      <c r="Q52" s="40" t="str">
        <f t="shared" si="144"/>
        <v>3</v>
      </c>
      <c r="R52" s="24">
        <f t="shared" si="166"/>
        <v>9.1492696334439039</v>
      </c>
      <c r="S52" s="41" t="str">
        <f t="shared" si="145"/>
        <v>9</v>
      </c>
      <c r="T52" s="24">
        <f t="shared" si="167"/>
        <v>1.7912356013268464</v>
      </c>
      <c r="U52" s="41" t="str">
        <f t="shared" si="146"/>
        <v>1</v>
      </c>
      <c r="V52" s="24">
        <f t="shared" si="168"/>
        <v>9.4948272159221574</v>
      </c>
      <c r="W52" s="41" t="str">
        <f t="shared" si="147"/>
        <v>9</v>
      </c>
      <c r="X52" s="24">
        <f t="shared" si="169"/>
        <v>5.9379265910658887</v>
      </c>
      <c r="Y52" s="41" t="str">
        <f t="shared" si="148"/>
        <v>5</v>
      </c>
      <c r="Z52" s="24">
        <f t="shared" si="170"/>
        <v>11.255119092790665</v>
      </c>
      <c r="AA52" s="41" t="str">
        <f t="shared" si="149"/>
        <v>E</v>
      </c>
      <c r="AB52" s="24">
        <f t="shared" si="171"/>
        <v>3.061429113487975</v>
      </c>
      <c r="AC52" s="41" t="str">
        <f t="shared" si="150"/>
        <v>3</v>
      </c>
      <c r="AD52" s="24">
        <f t="shared" si="172"/>
        <v>0.73714936185569968</v>
      </c>
      <c r="AE52" s="41" t="str">
        <f t="shared" si="151"/>
        <v>0</v>
      </c>
      <c r="AF52" s="24">
        <f t="shared" si="173"/>
        <v>8.8457923422683962</v>
      </c>
      <c r="AG52" s="41" t="str">
        <f t="shared" si="152"/>
        <v>8</v>
      </c>
      <c r="AH52" s="24">
        <f t="shared" si="174"/>
        <v>10.149508107220754</v>
      </c>
      <c r="AI52" s="41" t="str">
        <f t="shared" si="153"/>
        <v>X</v>
      </c>
      <c r="AJ52" s="24">
        <f t="shared" si="175"/>
        <v>1.7940972866490483</v>
      </c>
      <c r="AK52" s="41" t="str">
        <f t="shared" si="154"/>
        <v/>
      </c>
      <c r="AL52" s="24">
        <f t="shared" si="176"/>
        <v>9.5291674397885799</v>
      </c>
      <c r="AM52" s="41" t="str">
        <f t="shared" si="155"/>
        <v/>
      </c>
      <c r="AN52" s="24">
        <f t="shared" si="177"/>
        <v>6.3500092774629593</v>
      </c>
      <c r="AO52" s="41" t="str">
        <f t="shared" si="156"/>
        <v/>
      </c>
    </row>
    <row r="53" spans="1:41" ht="14.25" customHeight="1" x14ac:dyDescent="0.2">
      <c r="A53" s="602"/>
      <c r="B53" s="604" t="s">
        <v>704</v>
      </c>
      <c r="C53" s="165" t="s">
        <v>537</v>
      </c>
      <c r="D53" s="3" t="str">
        <f t="shared" ref="D53:D57" si="178">D54</f>
        <v>m^3</v>
      </c>
      <c r="E53" s="151">
        <f t="shared" ref="E53:E57" si="179">E54/12</f>
        <v>6.7655828299398827E-9</v>
      </c>
      <c r="F53" s="15">
        <v>-9</v>
      </c>
      <c r="G53" s="166">
        <f t="shared" ref="G53:G66" si="180">E53*POWER(10,-F53)</f>
        <v>6.7655828299398824</v>
      </c>
      <c r="H53" s="167" t="s">
        <v>708</v>
      </c>
      <c r="I53" s="266">
        <f t="shared" ref="I53:I57" si="181">I54/10</f>
        <v>1.0000000000000002E-6</v>
      </c>
      <c r="J53" s="205" t="str">
        <f t="shared" ref="J53:J57" si="182">J54</f>
        <v>m^3</v>
      </c>
      <c r="K53" s="143">
        <v>9</v>
      </c>
      <c r="L53" s="142">
        <f t="shared" ref="L53:L57" si="183">L54/10</f>
        <v>4.950024042250324E-5</v>
      </c>
      <c r="M53" s="145" t="str">
        <f t="shared" si="163"/>
        <v>1;0398244EX</v>
      </c>
      <c r="N53" s="146">
        <f>N54</f>
        <v>-4</v>
      </c>
      <c r="O53" s="154">
        <f t="shared" si="165"/>
        <v>1.0264369854010271</v>
      </c>
      <c r="P53" s="147" t="str">
        <f>INDEX(powers!$H$2:$H$75,33+N53)</f>
        <v>sub</v>
      </c>
      <c r="Q53" s="40" t="str">
        <f t="shared" ref="Q53:Q66" si="184">IF($K53&gt;=Q$23,MID($N$23,IF($K53&gt;Q$23,INT(O53),ROUND(O53,0))+1,1),"")</f>
        <v>1</v>
      </c>
      <c r="R53" s="24">
        <f t="shared" si="166"/>
        <v>0.31724382481232549</v>
      </c>
      <c r="S53" s="41" t="str">
        <f t="shared" ref="S53:S66" si="185">IF($K53&gt;=S$23,MID($N$23,IF($K53&gt;S$23,INT(R53),ROUND(R53,0))+1,1),"")</f>
        <v>0</v>
      </c>
      <c r="T53" s="24">
        <f t="shared" si="167"/>
        <v>3.8069258977479059</v>
      </c>
      <c r="U53" s="41" t="str">
        <f t="shared" ref="U53:U66" si="186">IF($K53&gt;=U$23,MID($N$23,IF($K53&gt;U$23,INT(T53),ROUND(T53,0))+1,1),"")</f>
        <v>3</v>
      </c>
      <c r="V53" s="24">
        <f t="shared" si="168"/>
        <v>9.6831107729748709</v>
      </c>
      <c r="W53" s="41" t="str">
        <f t="shared" ref="W53:W66" si="187">IF($K53&gt;=W$23,MID($N$23,IF($K53&gt;W$23,INT(V53),ROUND(V53,0))+1,1),"")</f>
        <v>9</v>
      </c>
      <c r="X53" s="24">
        <f t="shared" si="169"/>
        <v>8.1973292756984506</v>
      </c>
      <c r="Y53" s="41" t="str">
        <f t="shared" ref="Y53:Y66" si="188">IF($K53&gt;=Y$23,MID($N$23,IF($K53&gt;Y$23,INT(X53),ROUND(X53,0))+1,1),"")</f>
        <v>8</v>
      </c>
      <c r="Z53" s="24">
        <f t="shared" si="170"/>
        <v>2.3679513083814072</v>
      </c>
      <c r="AA53" s="41" t="str">
        <f t="shared" ref="AA53:AA66" si="189">IF($K53&gt;=AA$23,MID($N$23,IF($K53&gt;AA$23,INT(Z53),ROUND(Z53,0))+1,1),"")</f>
        <v>2</v>
      </c>
      <c r="AB53" s="24">
        <f t="shared" si="171"/>
        <v>4.4154157005768866</v>
      </c>
      <c r="AC53" s="41" t="str">
        <f t="shared" ref="AC53:AC66" si="190">IF($K53&gt;=AC$23,MID($N$23,IF($K53&gt;AC$23,INT(AB53),ROUND(AB53,0))+1,1),"")</f>
        <v>4</v>
      </c>
      <c r="AD53" s="24">
        <f t="shared" si="172"/>
        <v>4.9849884069226391</v>
      </c>
      <c r="AE53" s="41" t="str">
        <f t="shared" ref="AE53:AE66" si="191">IF($K53&gt;=AE$23,MID($N$23,IF($K53&gt;AE$23,INT(AD53),ROUND(AD53,0))+1,1),"")</f>
        <v>4</v>
      </c>
      <c r="AF53" s="24">
        <f t="shared" si="173"/>
        <v>11.819860883071669</v>
      </c>
      <c r="AG53" s="41" t="str">
        <f t="shared" ref="AG53:AG66" si="192">IF($K53&gt;=AG$23,MID($N$23,IF($K53&gt;AG$23,INT(AF53),ROUND(AF53,0))+1,1),"")</f>
        <v>E</v>
      </c>
      <c r="AH53" s="24">
        <f t="shared" si="174"/>
        <v>9.8383305968600325</v>
      </c>
      <c r="AI53" s="41" t="str">
        <f t="shared" ref="AI53:AI66" si="193">IF($K53&gt;=AI$23,MID($N$23,IF($K53&gt;AI$23,INT(AH53),ROUND(AH53,0))+1,1),"")</f>
        <v>X</v>
      </c>
      <c r="AJ53" s="24">
        <f t="shared" si="175"/>
        <v>10.05996716232039</v>
      </c>
      <c r="AK53" s="41" t="str">
        <f t="shared" ref="AK53:AK66" si="194">IF($K53&gt;=AK$23,MID($N$23,IF($K53&gt;AK$23,INT(AJ53),ROUND(AJ53,0))+1,1),"")</f>
        <v/>
      </c>
      <c r="AL53" s="24">
        <f t="shared" si="176"/>
        <v>0.71960594784468412</v>
      </c>
      <c r="AM53" s="41" t="str">
        <f t="shared" ref="AM53:AM66" si="195">IF($K53&gt;=AM$23,MID($N$23,IF($K53&gt;AM$23,INT(AL53),ROUND(AL53,0))+1,1),"")</f>
        <v/>
      </c>
      <c r="AN53" s="24">
        <f t="shared" si="177"/>
        <v>8.6352713741362095</v>
      </c>
      <c r="AO53" s="41" t="str">
        <f t="shared" ref="AO53:AO66" si="196">IF($K53&gt;=AO$23,MID($N$23,IF($K53&gt;AO$23,INT(AN53),ROUND(AN53,0))+1,1),"")</f>
        <v/>
      </c>
    </row>
    <row r="54" spans="1:41" ht="14.25" customHeight="1" x14ac:dyDescent="0.2">
      <c r="A54" s="602"/>
      <c r="B54" s="604"/>
      <c r="C54" s="168" t="s">
        <v>538</v>
      </c>
      <c r="D54" s="3" t="str">
        <f t="shared" si="178"/>
        <v>m^3</v>
      </c>
      <c r="E54" s="151">
        <f t="shared" si="179"/>
        <v>8.1186993959278589E-8</v>
      </c>
      <c r="F54" s="15">
        <v>-9</v>
      </c>
      <c r="G54" s="166">
        <f t="shared" si="180"/>
        <v>81.186993959278595</v>
      </c>
      <c r="H54" s="167" t="s">
        <v>708</v>
      </c>
      <c r="I54" s="157">
        <f t="shared" si="181"/>
        <v>1.0000000000000001E-5</v>
      </c>
      <c r="J54" s="3" t="str">
        <f t="shared" si="182"/>
        <v>m^3</v>
      </c>
      <c r="K54" s="8">
        <v>9</v>
      </c>
      <c r="L54" s="21">
        <f t="shared" si="183"/>
        <v>4.9500240422503238E-4</v>
      </c>
      <c r="M54" s="37" t="str">
        <f t="shared" si="163"/>
        <v>X;3209E81X2</v>
      </c>
      <c r="N54" s="38">
        <f t="shared" ref="N54:N57" si="197">N55-1</f>
        <v>-4</v>
      </c>
      <c r="O54" s="61">
        <f t="shared" si="165"/>
        <v>10.264369854010273</v>
      </c>
      <c r="P54" s="39" t="str">
        <f>INDEX(powers!$H$2:$H$75,33+N54)</f>
        <v>sub</v>
      </c>
      <c r="Q54" s="40" t="str">
        <f t="shared" si="184"/>
        <v>X</v>
      </c>
      <c r="R54" s="24">
        <f t="shared" si="166"/>
        <v>3.1724382481232709</v>
      </c>
      <c r="S54" s="41" t="str">
        <f t="shared" si="185"/>
        <v>3</v>
      </c>
      <c r="T54" s="24">
        <f t="shared" si="167"/>
        <v>2.0692589774792509</v>
      </c>
      <c r="U54" s="41" t="str">
        <f t="shared" si="186"/>
        <v>2</v>
      </c>
      <c r="V54" s="24">
        <f t="shared" si="168"/>
        <v>0.83110772975101099</v>
      </c>
      <c r="W54" s="41" t="str">
        <f t="shared" si="187"/>
        <v>0</v>
      </c>
      <c r="X54" s="24">
        <f t="shared" si="169"/>
        <v>9.9732927570121319</v>
      </c>
      <c r="Y54" s="41" t="str">
        <f t="shared" si="188"/>
        <v>9</v>
      </c>
      <c r="Z54" s="24">
        <f t="shared" si="170"/>
        <v>11.679513084145583</v>
      </c>
      <c r="AA54" s="41" t="str">
        <f t="shared" si="189"/>
        <v>E</v>
      </c>
      <c r="AB54" s="24">
        <f t="shared" si="171"/>
        <v>8.1541570097469958</v>
      </c>
      <c r="AC54" s="41" t="str">
        <f t="shared" si="190"/>
        <v>8</v>
      </c>
      <c r="AD54" s="24">
        <f t="shared" si="172"/>
        <v>1.8498841169639491</v>
      </c>
      <c r="AE54" s="41" t="str">
        <f t="shared" si="191"/>
        <v>1</v>
      </c>
      <c r="AF54" s="24">
        <f t="shared" si="173"/>
        <v>10.198609403567389</v>
      </c>
      <c r="AG54" s="41" t="str">
        <f t="shared" si="192"/>
        <v>X</v>
      </c>
      <c r="AH54" s="24">
        <f t="shared" si="174"/>
        <v>2.3833128428086638</v>
      </c>
      <c r="AI54" s="41" t="str">
        <f t="shared" si="193"/>
        <v>2</v>
      </c>
      <c r="AJ54" s="24">
        <f t="shared" si="175"/>
        <v>4.5997541137039661</v>
      </c>
      <c r="AK54" s="41" t="str">
        <f t="shared" si="194"/>
        <v/>
      </c>
      <c r="AL54" s="24">
        <f t="shared" si="176"/>
        <v>7.1970493644475937</v>
      </c>
      <c r="AM54" s="41" t="str">
        <f t="shared" si="195"/>
        <v/>
      </c>
      <c r="AN54" s="24">
        <f t="shared" si="177"/>
        <v>2.3645923733711243</v>
      </c>
      <c r="AO54" s="41" t="str">
        <f t="shared" si="196"/>
        <v/>
      </c>
    </row>
    <row r="55" spans="1:41" ht="14.25" customHeight="1" x14ac:dyDescent="0.2">
      <c r="A55" s="602"/>
      <c r="B55" s="604"/>
      <c r="C55" s="169" t="s">
        <v>539</v>
      </c>
      <c r="D55" s="3" t="str">
        <f t="shared" si="178"/>
        <v>m^3</v>
      </c>
      <c r="E55" s="151">
        <f t="shared" si="179"/>
        <v>9.7424392751134312E-7</v>
      </c>
      <c r="F55" s="15">
        <v>-6</v>
      </c>
      <c r="G55" s="166">
        <f t="shared" si="180"/>
        <v>0.97424392751134314</v>
      </c>
      <c r="H55" s="167" t="s">
        <v>707</v>
      </c>
      <c r="I55" s="158">
        <f t="shared" si="181"/>
        <v>1E-4</v>
      </c>
      <c r="J55" s="3" t="str">
        <f t="shared" si="182"/>
        <v>m^3</v>
      </c>
      <c r="K55" s="8">
        <v>9</v>
      </c>
      <c r="L55" s="21">
        <f t="shared" si="183"/>
        <v>4.9500240422503238E-3</v>
      </c>
      <c r="M55" s="37" t="str">
        <f t="shared" si="163"/>
        <v>8;678838966</v>
      </c>
      <c r="N55" s="38">
        <f t="shared" si="197"/>
        <v>-3</v>
      </c>
      <c r="O55" s="61">
        <f t="shared" si="165"/>
        <v>8.5536415450085599</v>
      </c>
      <c r="P55" s="39" t="str">
        <f>INDEX(powers!$H$2:$H$75,33+N55)</f>
        <v>terno</v>
      </c>
      <c r="Q55" s="40" t="str">
        <f t="shared" si="184"/>
        <v>8</v>
      </c>
      <c r="R55" s="24">
        <f t="shared" si="166"/>
        <v>6.6436985401027187</v>
      </c>
      <c r="S55" s="41" t="str">
        <f t="shared" si="185"/>
        <v>6</v>
      </c>
      <c r="T55" s="24">
        <f t="shared" si="167"/>
        <v>7.7243824812326238</v>
      </c>
      <c r="U55" s="41" t="str">
        <f t="shared" si="186"/>
        <v>7</v>
      </c>
      <c r="V55" s="24">
        <f t="shared" si="168"/>
        <v>8.692589774791486</v>
      </c>
      <c r="W55" s="41" t="str">
        <f t="shared" si="187"/>
        <v>8</v>
      </c>
      <c r="X55" s="24">
        <f t="shared" si="169"/>
        <v>8.3110772974978318</v>
      </c>
      <c r="Y55" s="41" t="str">
        <f t="shared" si="188"/>
        <v>8</v>
      </c>
      <c r="Z55" s="24">
        <f t="shared" si="170"/>
        <v>3.732927569973981</v>
      </c>
      <c r="AA55" s="41" t="str">
        <f t="shared" si="189"/>
        <v>3</v>
      </c>
      <c r="AB55" s="24">
        <f t="shared" si="171"/>
        <v>8.7951308396877721</v>
      </c>
      <c r="AC55" s="41" t="str">
        <f t="shared" si="190"/>
        <v>8</v>
      </c>
      <c r="AD55" s="24">
        <f t="shared" si="172"/>
        <v>9.5415700762532651</v>
      </c>
      <c r="AE55" s="41" t="str">
        <f t="shared" si="191"/>
        <v>9</v>
      </c>
      <c r="AF55" s="24">
        <f t="shared" si="173"/>
        <v>6.4988409150391817</v>
      </c>
      <c r="AG55" s="41" t="str">
        <f t="shared" si="192"/>
        <v>6</v>
      </c>
      <c r="AH55" s="24">
        <f t="shared" si="174"/>
        <v>5.9860909804701805</v>
      </c>
      <c r="AI55" s="41" t="str">
        <f t="shared" si="193"/>
        <v>6</v>
      </c>
      <c r="AJ55" s="24">
        <f t="shared" si="175"/>
        <v>11.833091765642166</v>
      </c>
      <c r="AK55" s="41" t="str">
        <f t="shared" si="194"/>
        <v/>
      </c>
      <c r="AL55" s="24">
        <f t="shared" si="176"/>
        <v>9.9971011877059937</v>
      </c>
      <c r="AM55" s="41" t="str">
        <f t="shared" si="195"/>
        <v/>
      </c>
      <c r="AN55" s="24">
        <f t="shared" si="177"/>
        <v>11.965214252471924</v>
      </c>
      <c r="AO55" s="41" t="str">
        <f t="shared" si="196"/>
        <v/>
      </c>
    </row>
    <row r="56" spans="1:41" ht="14.25" customHeight="1" x14ac:dyDescent="0.2">
      <c r="A56" s="602"/>
      <c r="B56" s="604"/>
      <c r="C56" s="170" t="s">
        <v>540</v>
      </c>
      <c r="D56" s="3" t="str">
        <f t="shared" si="178"/>
        <v>m^3</v>
      </c>
      <c r="E56" s="151">
        <f t="shared" si="179"/>
        <v>1.1690927130136118E-5</v>
      </c>
      <c r="F56" s="15">
        <v>-6</v>
      </c>
      <c r="G56" s="166">
        <f t="shared" si="180"/>
        <v>11.690927130136119</v>
      </c>
      <c r="H56" s="167" t="s">
        <v>707</v>
      </c>
      <c r="I56" s="159">
        <f t="shared" si="181"/>
        <v>1E-3</v>
      </c>
      <c r="J56" s="3" t="str">
        <f t="shared" si="182"/>
        <v>m^3</v>
      </c>
      <c r="K56" s="8">
        <v>9</v>
      </c>
      <c r="L56" s="21">
        <f t="shared" si="183"/>
        <v>4.9500240422503242E-2</v>
      </c>
      <c r="M56" s="37" t="str">
        <f t="shared" si="163"/>
        <v>7;1652E13E5</v>
      </c>
      <c r="N56" s="38">
        <f t="shared" si="197"/>
        <v>-2</v>
      </c>
      <c r="O56" s="61">
        <f t="shared" si="165"/>
        <v>7.1280346208404675</v>
      </c>
      <c r="P56" s="39" t="str">
        <f>INDEX(powers!$H$2:$H$75,33+N56)</f>
        <v>dino</v>
      </c>
      <c r="Q56" s="40" t="str">
        <f t="shared" si="184"/>
        <v>7</v>
      </c>
      <c r="R56" s="24">
        <f t="shared" si="166"/>
        <v>1.5364154500856095</v>
      </c>
      <c r="S56" s="41" t="str">
        <f t="shared" si="185"/>
        <v>1</v>
      </c>
      <c r="T56" s="24">
        <f t="shared" si="167"/>
        <v>6.4369854010273144</v>
      </c>
      <c r="U56" s="41" t="str">
        <f t="shared" si="186"/>
        <v>6</v>
      </c>
      <c r="V56" s="24">
        <f t="shared" si="168"/>
        <v>5.2438248123277731</v>
      </c>
      <c r="W56" s="41" t="str">
        <f t="shared" si="187"/>
        <v>5</v>
      </c>
      <c r="X56" s="24">
        <f t="shared" si="169"/>
        <v>2.9258977479332771</v>
      </c>
      <c r="Y56" s="41" t="str">
        <f t="shared" si="188"/>
        <v>2</v>
      </c>
      <c r="Z56" s="24">
        <f t="shared" si="170"/>
        <v>11.110772975199325</v>
      </c>
      <c r="AA56" s="41" t="str">
        <f t="shared" si="189"/>
        <v>E</v>
      </c>
      <c r="AB56" s="24">
        <f t="shared" si="171"/>
        <v>1.3292757023918966</v>
      </c>
      <c r="AC56" s="41" t="str">
        <f t="shared" si="190"/>
        <v>1</v>
      </c>
      <c r="AD56" s="24">
        <f t="shared" si="172"/>
        <v>3.9513084287027596</v>
      </c>
      <c r="AE56" s="41" t="str">
        <f t="shared" si="191"/>
        <v>3</v>
      </c>
      <c r="AF56" s="24">
        <f t="shared" si="173"/>
        <v>11.415701144433115</v>
      </c>
      <c r="AG56" s="41" t="str">
        <f t="shared" si="192"/>
        <v>E</v>
      </c>
      <c r="AH56" s="24">
        <f t="shared" si="174"/>
        <v>4.9884137331973761</v>
      </c>
      <c r="AI56" s="41" t="str">
        <f t="shared" si="193"/>
        <v>5</v>
      </c>
      <c r="AJ56" s="24">
        <f t="shared" si="175"/>
        <v>11.860964798368514</v>
      </c>
      <c r="AK56" s="41" t="str">
        <f t="shared" si="194"/>
        <v/>
      </c>
      <c r="AL56" s="24">
        <f t="shared" si="176"/>
        <v>10.331577580422163</v>
      </c>
      <c r="AM56" s="41" t="str">
        <f t="shared" si="195"/>
        <v/>
      </c>
      <c r="AN56" s="24">
        <f t="shared" si="177"/>
        <v>3.9789309650659561</v>
      </c>
      <c r="AO56" s="41" t="str">
        <f t="shared" si="196"/>
        <v/>
      </c>
    </row>
    <row r="57" spans="1:41" ht="14.25" customHeight="1" x14ac:dyDescent="0.2">
      <c r="A57" s="602"/>
      <c r="B57" s="604"/>
      <c r="C57" s="171" t="s">
        <v>541</v>
      </c>
      <c r="D57" s="3" t="str">
        <f t="shared" si="178"/>
        <v>m^3</v>
      </c>
      <c r="E57" s="151">
        <f t="shared" si="179"/>
        <v>1.4029112556163343E-4</v>
      </c>
      <c r="F57" s="15">
        <v>-6</v>
      </c>
      <c r="G57" s="166">
        <f t="shared" si="180"/>
        <v>140.29112556163344</v>
      </c>
      <c r="H57" s="167" t="s">
        <v>707</v>
      </c>
      <c r="I57" s="160">
        <f t="shared" si="181"/>
        <v>0.01</v>
      </c>
      <c r="J57" s="3" t="str">
        <f t="shared" si="182"/>
        <v>m^3</v>
      </c>
      <c r="K57" s="8">
        <v>9</v>
      </c>
      <c r="L57" s="21">
        <f t="shared" si="183"/>
        <v>0.49500240422503239</v>
      </c>
      <c r="M57" s="37" t="str">
        <f t="shared" si="163"/>
        <v>5;E34453136</v>
      </c>
      <c r="N57" s="38">
        <f t="shared" si="197"/>
        <v>-1</v>
      </c>
      <c r="O57" s="61">
        <f t="shared" si="165"/>
        <v>5.9400288507003891</v>
      </c>
      <c r="P57" s="39" t="str">
        <f>INDEX(powers!$H$2:$H$75,33+N57)</f>
        <v>unino</v>
      </c>
      <c r="Q57" s="40" t="str">
        <f t="shared" si="184"/>
        <v>5</v>
      </c>
      <c r="R57" s="24">
        <f t="shared" si="166"/>
        <v>11.280346208404669</v>
      </c>
      <c r="S57" s="41" t="str">
        <f t="shared" si="185"/>
        <v>E</v>
      </c>
      <c r="T57" s="24">
        <f t="shared" si="167"/>
        <v>3.3641545008560314</v>
      </c>
      <c r="U57" s="41" t="str">
        <f t="shared" si="186"/>
        <v>3</v>
      </c>
      <c r="V57" s="24">
        <f t="shared" si="168"/>
        <v>4.3698540102723769</v>
      </c>
      <c r="W57" s="41" t="str">
        <f t="shared" si="187"/>
        <v>4</v>
      </c>
      <c r="X57" s="24">
        <f t="shared" si="169"/>
        <v>4.4382481232685222</v>
      </c>
      <c r="Y57" s="41" t="str">
        <f t="shared" si="188"/>
        <v>4</v>
      </c>
      <c r="Z57" s="24">
        <f t="shared" si="170"/>
        <v>5.258977479222267</v>
      </c>
      <c r="AA57" s="41" t="str">
        <f t="shared" si="189"/>
        <v>5</v>
      </c>
      <c r="AB57" s="24">
        <f t="shared" si="171"/>
        <v>3.1077297506672039</v>
      </c>
      <c r="AC57" s="41" t="str">
        <f t="shared" si="190"/>
        <v>3</v>
      </c>
      <c r="AD57" s="24">
        <f t="shared" si="172"/>
        <v>1.292757008006447</v>
      </c>
      <c r="AE57" s="41" t="str">
        <f t="shared" si="191"/>
        <v>1</v>
      </c>
      <c r="AF57" s="24">
        <f t="shared" si="173"/>
        <v>3.5130840960773639</v>
      </c>
      <c r="AG57" s="41" t="str">
        <f t="shared" si="192"/>
        <v>3</v>
      </c>
      <c r="AH57" s="24">
        <f t="shared" si="174"/>
        <v>6.1570091529283673</v>
      </c>
      <c r="AI57" s="41" t="str">
        <f t="shared" si="193"/>
        <v>6</v>
      </c>
      <c r="AJ57" s="24">
        <f t="shared" si="175"/>
        <v>1.8841098351404071</v>
      </c>
      <c r="AK57" s="41" t="str">
        <f t="shared" si="194"/>
        <v/>
      </c>
      <c r="AL57" s="24">
        <f t="shared" si="176"/>
        <v>10.609318021684885</v>
      </c>
      <c r="AM57" s="41" t="str">
        <f t="shared" si="195"/>
        <v/>
      </c>
      <c r="AN57" s="24">
        <f t="shared" si="177"/>
        <v>7.3118162602186203</v>
      </c>
      <c r="AO57" s="41" t="str">
        <f t="shared" si="196"/>
        <v/>
      </c>
    </row>
    <row r="58" spans="1:41" ht="14.25" customHeight="1" x14ac:dyDescent="0.2">
      <c r="A58" s="602"/>
      <c r="B58" s="604"/>
      <c r="C58" s="172" t="s">
        <v>542</v>
      </c>
      <c r="D58" s="3" t="str">
        <f>D59</f>
        <v>m^3</v>
      </c>
      <c r="E58" s="151">
        <f>E59/12</f>
        <v>1.6834935067396011E-3</v>
      </c>
      <c r="F58" s="15">
        <v>-3</v>
      </c>
      <c r="G58" s="166">
        <f t="shared" si="180"/>
        <v>1.6834935067396011</v>
      </c>
      <c r="H58" s="167" t="s">
        <v>706</v>
      </c>
      <c r="I58" s="161">
        <f>I59/10</f>
        <v>0.1</v>
      </c>
      <c r="J58" s="3" t="str">
        <f>J59</f>
        <v>m^3</v>
      </c>
      <c r="K58" s="8">
        <v>9</v>
      </c>
      <c r="L58" s="21">
        <f>L59/10</f>
        <v>4.9500240422503241</v>
      </c>
      <c r="M58" s="37" t="str">
        <f>Q58&amp;";"&amp;S58&amp;U58&amp;W58&amp;Y58&amp;AA58&amp;AC58&amp;AE58&amp;AG58&amp;AI58&amp;AK58&amp;AM58&amp;AO58</f>
        <v>4;E4978470E</v>
      </c>
      <c r="N58" s="38">
        <f>N59-1</f>
        <v>0</v>
      </c>
      <c r="O58" s="61">
        <f t="shared" si="165"/>
        <v>4.9500240422503241</v>
      </c>
      <c r="P58" s="39" t="str">
        <f>INDEX(powers!$H$2:$H$75,33+N58)</f>
        <v xml:space="preserve"> </v>
      </c>
      <c r="Q58" s="40" t="str">
        <f t="shared" si="184"/>
        <v>4</v>
      </c>
      <c r="R58" s="24">
        <f>(O58-INT(O58))*12</f>
        <v>11.400288507003889</v>
      </c>
      <c r="S58" s="41" t="str">
        <f t="shared" si="185"/>
        <v>E</v>
      </c>
      <c r="T58" s="24">
        <f>(R58-INT(R58))*12</f>
        <v>4.8034620840466715</v>
      </c>
      <c r="U58" s="41" t="str">
        <f t="shared" si="186"/>
        <v>4</v>
      </c>
      <c r="V58" s="24">
        <f>(T58-INT(T58))*12</f>
        <v>9.6415450085600582</v>
      </c>
      <c r="W58" s="41" t="str">
        <f t="shared" si="187"/>
        <v>9</v>
      </c>
      <c r="X58" s="24">
        <f>(V58-INT(V58))*12</f>
        <v>7.698540102720699</v>
      </c>
      <c r="Y58" s="41" t="str">
        <f t="shared" si="188"/>
        <v>7</v>
      </c>
      <c r="Z58" s="24">
        <f>(X58-INT(X58))*12</f>
        <v>8.382481232648388</v>
      </c>
      <c r="AA58" s="41" t="str">
        <f t="shared" si="189"/>
        <v>8</v>
      </c>
      <c r="AB58" s="24">
        <f>(Z58-INT(Z58))*12</f>
        <v>4.5897747917806555</v>
      </c>
      <c r="AC58" s="41" t="str">
        <f t="shared" si="190"/>
        <v>4</v>
      </c>
      <c r="AD58" s="24">
        <f>(AB58-INT(AB58))*12</f>
        <v>7.0772975013678661</v>
      </c>
      <c r="AE58" s="41" t="str">
        <f t="shared" si="191"/>
        <v>7</v>
      </c>
      <c r="AF58" s="24">
        <f>(AD58-INT(AD58))*12</f>
        <v>0.92757001641439274</v>
      </c>
      <c r="AG58" s="41" t="str">
        <f t="shared" si="192"/>
        <v>0</v>
      </c>
      <c r="AH58" s="24">
        <f>(AF58-INT(AF58))*12</f>
        <v>11.130840196972713</v>
      </c>
      <c r="AI58" s="41" t="str">
        <f t="shared" si="193"/>
        <v>E</v>
      </c>
      <c r="AJ58" s="24">
        <f>(AH58-INT(AH58))*12</f>
        <v>1.5700823636725545</v>
      </c>
      <c r="AK58" s="41" t="str">
        <f t="shared" si="194"/>
        <v/>
      </c>
      <c r="AL58" s="24">
        <f>(AJ58-INT(AJ58))*12</f>
        <v>6.8409883640706539</v>
      </c>
      <c r="AM58" s="41" t="str">
        <f t="shared" si="195"/>
        <v/>
      </c>
      <c r="AN58" s="24">
        <f>(AL58-INT(AL58))*12</f>
        <v>10.091860368847847</v>
      </c>
      <c r="AO58" s="41" t="str">
        <f t="shared" si="196"/>
        <v/>
      </c>
    </row>
    <row r="59" spans="1:41" ht="14.25" customHeight="1" x14ac:dyDescent="0.2">
      <c r="A59" s="602"/>
      <c r="B59" s="604"/>
      <c r="C59" s="173" t="s">
        <v>583</v>
      </c>
      <c r="D59" s="3" t="s">
        <v>593</v>
      </c>
      <c r="E59" s="151">
        <f>E3*E3*E3</f>
        <v>2.0201922080875213E-2</v>
      </c>
      <c r="F59" s="15">
        <v>-3</v>
      </c>
      <c r="G59" s="166">
        <f t="shared" si="180"/>
        <v>20.201922080875214</v>
      </c>
      <c r="H59" s="167" t="s">
        <v>706</v>
      </c>
      <c r="I59" s="162">
        <v>1</v>
      </c>
      <c r="J59" s="3" t="s">
        <v>593</v>
      </c>
      <c r="K59" s="8">
        <v>9</v>
      </c>
      <c r="L59" s="21">
        <f>1/E59</f>
        <v>49.500240422503239</v>
      </c>
      <c r="M59" s="37" t="str">
        <f>Q59&amp;";"&amp;S59&amp;U59&amp;W59&amp;Y59&amp;AA59&amp;AC59&amp;AE59&amp;AG59&amp;AI59&amp;AK59&amp;AM59&amp;AO59</f>
        <v>4;16004E9X9</v>
      </c>
      <c r="N59" s="38">
        <v>1</v>
      </c>
      <c r="O59" s="61">
        <f t="shared" si="165"/>
        <v>4.1250200352086033</v>
      </c>
      <c r="P59" s="39" t="str">
        <f>INDEX(powers!$H$2:$H$75,33+N59)</f>
        <v>dozen</v>
      </c>
      <c r="Q59" s="40" t="str">
        <f t="shared" si="184"/>
        <v>4</v>
      </c>
      <c r="R59" s="24">
        <f>(O59-INT(O59))*12</f>
        <v>1.5002404225032393</v>
      </c>
      <c r="S59" s="41" t="str">
        <f t="shared" si="185"/>
        <v>1</v>
      </c>
      <c r="T59" s="24">
        <f>(R59-INT(R59))*12</f>
        <v>6.0028850700388716</v>
      </c>
      <c r="U59" s="41" t="str">
        <f t="shared" si="186"/>
        <v>6</v>
      </c>
      <c r="V59" s="24">
        <f>(T59-INT(T59))*12</f>
        <v>3.4620840466459413E-2</v>
      </c>
      <c r="W59" s="41" t="str">
        <f t="shared" si="187"/>
        <v>0</v>
      </c>
      <c r="X59" s="24">
        <f>(V59-INT(V59))*12</f>
        <v>0.41545008559751295</v>
      </c>
      <c r="Y59" s="41" t="str">
        <f t="shared" si="188"/>
        <v>0</v>
      </c>
      <c r="Z59" s="24">
        <f>(X59-INT(X59))*12</f>
        <v>4.9854010271701554</v>
      </c>
      <c r="AA59" s="41" t="str">
        <f t="shared" si="189"/>
        <v>4</v>
      </c>
      <c r="AB59" s="24">
        <f>(Z59-INT(Z59))*12</f>
        <v>11.824812326041865</v>
      </c>
      <c r="AC59" s="41" t="str">
        <f t="shared" si="190"/>
        <v>E</v>
      </c>
      <c r="AD59" s="24">
        <f>(AB59-INT(AB59))*12</f>
        <v>9.897747912502382</v>
      </c>
      <c r="AE59" s="41" t="str">
        <f t="shared" si="191"/>
        <v>9</v>
      </c>
      <c r="AF59" s="24">
        <f>(AD59-INT(AD59))*12</f>
        <v>10.772974950028583</v>
      </c>
      <c r="AG59" s="41" t="str">
        <f t="shared" si="192"/>
        <v>X</v>
      </c>
      <c r="AH59" s="24">
        <f>(AF59-INT(AF59))*12</f>
        <v>9.2756994003430009</v>
      </c>
      <c r="AI59" s="41" t="str">
        <f t="shared" si="193"/>
        <v>9</v>
      </c>
      <c r="AJ59" s="24">
        <f>(AH59-INT(AH59))*12</f>
        <v>3.3083928041160107</v>
      </c>
      <c r="AK59" s="41" t="str">
        <f t="shared" si="194"/>
        <v/>
      </c>
      <c r="AL59" s="24">
        <f>(AJ59-INT(AJ59))*12</f>
        <v>3.700713649392128</v>
      </c>
      <c r="AM59" s="41" t="str">
        <f t="shared" si="195"/>
        <v/>
      </c>
      <c r="AN59" s="24">
        <f>(AL59-INT(AL59))*12</f>
        <v>8.4085637927055359</v>
      </c>
      <c r="AO59" s="41" t="str">
        <f t="shared" si="196"/>
        <v/>
      </c>
    </row>
    <row r="60" spans="1:41" ht="14.25" customHeight="1" x14ac:dyDescent="0.2">
      <c r="A60" s="602"/>
      <c r="B60" s="604"/>
      <c r="C60" s="173" t="s">
        <v>341</v>
      </c>
      <c r="D60" s="3" t="str">
        <f t="shared" ref="D60:D64" si="198">D59</f>
        <v>m^3</v>
      </c>
      <c r="E60" s="151">
        <f>E59*12</f>
        <v>0.24242306497050256</v>
      </c>
      <c r="F60" s="15">
        <v>-3</v>
      </c>
      <c r="G60" s="166">
        <f t="shared" si="180"/>
        <v>242.42306497050257</v>
      </c>
      <c r="H60" s="167" t="s">
        <v>706</v>
      </c>
      <c r="I60" s="162">
        <f>I59*10</f>
        <v>10</v>
      </c>
      <c r="J60" s="3" t="str">
        <f t="shared" ref="J60:J64" si="199">J59</f>
        <v>m^3</v>
      </c>
      <c r="K60" s="8">
        <v>9</v>
      </c>
      <c r="L60" s="21">
        <f>L59*10</f>
        <v>495.00240422503236</v>
      </c>
      <c r="M60" s="37" t="str">
        <f>Q60&amp;";"&amp;S60&amp;U60&amp;W60&amp;Y60&amp;AA60&amp;AC60&amp;AE60&amp;AG60&amp;AI60&amp;AK60&amp;AM60&amp;AO60</f>
        <v>3;530041X2</v>
      </c>
      <c r="N60" s="38">
        <f>N59+1</f>
        <v>2</v>
      </c>
      <c r="O60" s="61">
        <f t="shared" si="165"/>
        <v>3.4375166960071692</v>
      </c>
      <c r="P60" s="39" t="str">
        <f>INDEX(powers!$H$2:$H$75,33+N60)</f>
        <v>gross</v>
      </c>
      <c r="Q60" s="40" t="str">
        <f t="shared" si="184"/>
        <v>3</v>
      </c>
      <c r="R60" s="24">
        <f>(O60-INT(O60))*12</f>
        <v>5.250200352086031</v>
      </c>
      <c r="S60" s="41" t="str">
        <f t="shared" si="185"/>
        <v>5</v>
      </c>
      <c r="T60" s="24">
        <f>(R60-INT(R60))*12</f>
        <v>3.0024042250323717</v>
      </c>
      <c r="U60" s="41" t="str">
        <f t="shared" si="186"/>
        <v>3</v>
      </c>
      <c r="V60" s="24">
        <f>(T60-INT(T60))*12</f>
        <v>2.8850700388460382E-2</v>
      </c>
      <c r="W60" s="41" t="str">
        <f t="shared" si="187"/>
        <v>0</v>
      </c>
      <c r="X60" s="24">
        <f>(V60-INT(V60))*12</f>
        <v>0.34620840466152458</v>
      </c>
      <c r="Y60" s="41" t="str">
        <f t="shared" si="188"/>
        <v>0</v>
      </c>
      <c r="Z60" s="24">
        <f>(X60-INT(X60))*12</f>
        <v>4.154500855938295</v>
      </c>
      <c r="AA60" s="41" t="str">
        <f t="shared" si="189"/>
        <v>4</v>
      </c>
      <c r="AB60" s="24">
        <f>(Z60-INT(Z60))*12</f>
        <v>1.8540102712595399</v>
      </c>
      <c r="AC60" s="41" t="str">
        <f t="shared" si="190"/>
        <v>1</v>
      </c>
      <c r="AD60" s="24">
        <f>(AB60-INT(AB60))*12</f>
        <v>10.248123255114479</v>
      </c>
      <c r="AE60" s="41" t="str">
        <f t="shared" si="191"/>
        <v>X</v>
      </c>
      <c r="AF60" s="24">
        <f>(AD60-INT(AD60))*12</f>
        <v>2.9774790613737423</v>
      </c>
      <c r="AG60" s="41" t="str">
        <f t="shared" si="192"/>
        <v>2</v>
      </c>
      <c r="AH60" s="24">
        <f>(AF60-INT(AF60))*12</f>
        <v>11.729748736484908</v>
      </c>
      <c r="AI60" s="41" t="str">
        <f t="shared" si="193"/>
        <v/>
      </c>
      <c r="AJ60" s="24">
        <f>(AH60-INT(AH60))*12</f>
        <v>8.7569848378188908</v>
      </c>
      <c r="AK60" s="41" t="str">
        <f t="shared" si="194"/>
        <v/>
      </c>
      <c r="AL60" s="24">
        <f>(AJ60-INT(AJ60))*12</f>
        <v>9.0838180538266897</v>
      </c>
      <c r="AM60" s="41" t="str">
        <f t="shared" si="195"/>
        <v/>
      </c>
      <c r="AN60" s="24">
        <f>(AL60-INT(AL60))*12</f>
        <v>1.0058166459202766</v>
      </c>
      <c r="AO60" s="41" t="str">
        <f t="shared" si="196"/>
        <v/>
      </c>
    </row>
    <row r="61" spans="1:41" ht="14.25" customHeight="1" x14ac:dyDescent="0.2">
      <c r="A61" s="602"/>
      <c r="B61" s="604"/>
      <c r="C61" s="173" t="s">
        <v>342</v>
      </c>
      <c r="D61" s="3" t="str">
        <f t="shared" si="198"/>
        <v>m^3</v>
      </c>
      <c r="E61" s="151">
        <f t="shared" ref="E61:E64" si="200">E60*12</f>
        <v>2.9090767796460306</v>
      </c>
      <c r="F61" s="15">
        <v>0</v>
      </c>
      <c r="G61" s="166">
        <f t="shared" si="180"/>
        <v>2.9090767796460306</v>
      </c>
      <c r="H61" s="167" t="s">
        <v>593</v>
      </c>
      <c r="I61" s="162">
        <f>I60*10</f>
        <v>100</v>
      </c>
      <c r="J61" s="3" t="str">
        <f t="shared" si="199"/>
        <v>m^3</v>
      </c>
      <c r="K61" s="8">
        <v>9</v>
      </c>
      <c r="L61" s="21">
        <f>L60*10</f>
        <v>4950.0240422503239</v>
      </c>
      <c r="M61" s="37" t="str">
        <f>Q61&amp;";"&amp;S61&amp;U61&amp;W61&amp;Y61&amp;AA61&amp;AC61&amp;AE61&amp;AG61&amp;AI61&amp;AK61&amp;AM61&amp;AO61</f>
        <v>2;X46035666</v>
      </c>
      <c r="N61" s="38">
        <f>N60+1</f>
        <v>3</v>
      </c>
      <c r="O61" s="61">
        <f t="shared" si="165"/>
        <v>2.8645972466726413</v>
      </c>
      <c r="P61" s="39" t="str">
        <f>INDEX(powers!$H$2:$H$75,33+N61)</f>
        <v>doz gross</v>
      </c>
      <c r="Q61" s="40" t="str">
        <f t="shared" si="184"/>
        <v>2</v>
      </c>
      <c r="R61" s="24">
        <f>(O61-INT(O61))*12</f>
        <v>10.375166960071695</v>
      </c>
      <c r="S61" s="41" t="str">
        <f t="shared" si="185"/>
        <v>X</v>
      </c>
      <c r="T61" s="24">
        <f>(R61-INT(R61))*12</f>
        <v>4.5020035208603417</v>
      </c>
      <c r="U61" s="41" t="str">
        <f t="shared" si="186"/>
        <v>4</v>
      </c>
      <c r="V61" s="24">
        <f>(T61-INT(T61))*12</f>
        <v>6.0240422503241007</v>
      </c>
      <c r="W61" s="41" t="str">
        <f t="shared" si="187"/>
        <v>6</v>
      </c>
      <c r="X61" s="24">
        <f>(V61-INT(V61))*12</f>
        <v>0.28850700388920814</v>
      </c>
      <c r="Y61" s="41" t="str">
        <f t="shared" si="188"/>
        <v>0</v>
      </c>
      <c r="Z61" s="24">
        <f>(X61-INT(X61))*12</f>
        <v>3.4620840466704976</v>
      </c>
      <c r="AA61" s="41" t="str">
        <f t="shared" si="189"/>
        <v>3</v>
      </c>
      <c r="AB61" s="24">
        <f>(Z61-INT(Z61))*12</f>
        <v>5.5450085600459715</v>
      </c>
      <c r="AC61" s="41" t="str">
        <f t="shared" si="190"/>
        <v>5</v>
      </c>
      <c r="AD61" s="24">
        <f>(AB61-INT(AB61))*12</f>
        <v>6.5401027205516584</v>
      </c>
      <c r="AE61" s="41" t="str">
        <f t="shared" si="191"/>
        <v>6</v>
      </c>
      <c r="AF61" s="24">
        <f>(AD61-INT(AD61))*12</f>
        <v>6.4812326466199011</v>
      </c>
      <c r="AG61" s="41" t="str">
        <f t="shared" si="192"/>
        <v>6</v>
      </c>
      <c r="AH61" s="24">
        <f>(AF61-INT(AF61))*12</f>
        <v>5.7747917594388127</v>
      </c>
      <c r="AI61" s="41" t="str">
        <f t="shared" si="193"/>
        <v>6</v>
      </c>
      <c r="AJ61" s="24">
        <f>(AH61-INT(AH61))*12</f>
        <v>9.2975011132657528</v>
      </c>
      <c r="AK61" s="41" t="str">
        <f t="shared" si="194"/>
        <v/>
      </c>
      <c r="AL61" s="24">
        <f>(AJ61-INT(AJ61))*12</f>
        <v>3.5700133591890335</v>
      </c>
      <c r="AM61" s="41" t="str">
        <f t="shared" si="195"/>
        <v/>
      </c>
      <c r="AN61" s="24">
        <f>(AL61-INT(AL61))*12</f>
        <v>6.8401603102684021</v>
      </c>
      <c r="AO61" s="41" t="str">
        <f t="shared" si="196"/>
        <v/>
      </c>
    </row>
    <row r="62" spans="1:41" ht="14.25" customHeight="1" x14ac:dyDescent="0.2">
      <c r="A62" s="602"/>
      <c r="B62" s="604"/>
      <c r="C62" s="190" t="s">
        <v>343</v>
      </c>
      <c r="D62" s="3" t="str">
        <f t="shared" si="198"/>
        <v>m^3</v>
      </c>
      <c r="E62" s="151">
        <f t="shared" si="200"/>
        <v>34.908921355752369</v>
      </c>
      <c r="F62" s="15">
        <v>0</v>
      </c>
      <c r="G62" s="166">
        <f t="shared" si="180"/>
        <v>34.908921355752369</v>
      </c>
      <c r="H62" s="167" t="s">
        <v>593</v>
      </c>
      <c r="I62" s="162">
        <f t="shared" ref="I62:I64" si="201">I61*10</f>
        <v>1000</v>
      </c>
      <c r="J62" s="3" t="str">
        <f t="shared" si="199"/>
        <v>m^3</v>
      </c>
      <c r="K62" s="8">
        <v>9</v>
      </c>
      <c r="L62" s="21">
        <f t="shared" ref="L62:L64" si="202">L61*10</f>
        <v>49500.240422503237</v>
      </c>
      <c r="M62" s="37" t="str">
        <f t="shared" ref="M62:M66" si="203">Q62&amp;";"&amp;S62&amp;U62&amp;W62&amp;Y62&amp;AA62&amp;AC62&amp;AE62&amp;AG62&amp;AI62&amp;AK62&amp;AM62&amp;AO62</f>
        <v>2;47902X755</v>
      </c>
      <c r="N62" s="38">
        <f t="shared" ref="N62:N64" si="204">N61+1</f>
        <v>4</v>
      </c>
      <c r="O62" s="61">
        <f t="shared" ref="O62:O66" si="205">L62/POWER(12,N62)</f>
        <v>2.3871643722272009</v>
      </c>
      <c r="P62" s="39" t="str">
        <f>INDEX(powers!$H$2:$H$75,33+N62)</f>
        <v>hyper</v>
      </c>
      <c r="Q62" s="40" t="str">
        <f t="shared" si="184"/>
        <v>2</v>
      </c>
      <c r="R62" s="24">
        <f t="shared" ref="R62:R66" si="206">(O62-INT(O62))*12</f>
        <v>4.6459724667264108</v>
      </c>
      <c r="S62" s="41" t="str">
        <f t="shared" si="185"/>
        <v>4</v>
      </c>
      <c r="T62" s="24">
        <f t="shared" ref="T62:T66" si="207">(R62-INT(R62))*12</f>
        <v>7.7516696007169301</v>
      </c>
      <c r="U62" s="41" t="str">
        <f t="shared" si="186"/>
        <v>7</v>
      </c>
      <c r="V62" s="24">
        <f t="shared" ref="V62:V66" si="208">(T62-INT(T62))*12</f>
        <v>9.0200352086031614</v>
      </c>
      <c r="W62" s="41" t="str">
        <f t="shared" si="187"/>
        <v>9</v>
      </c>
      <c r="X62" s="24">
        <f t="shared" ref="X62:X66" si="209">(V62-INT(V62))*12</f>
        <v>0.24042250323793724</v>
      </c>
      <c r="Y62" s="41" t="str">
        <f t="shared" si="188"/>
        <v>0</v>
      </c>
      <c r="Z62" s="24">
        <f t="shared" ref="Z62:Z66" si="210">(X62-INT(X62))*12</f>
        <v>2.8850700388552468</v>
      </c>
      <c r="AA62" s="41" t="str">
        <f t="shared" si="189"/>
        <v>2</v>
      </c>
      <c r="AB62" s="24">
        <f t="shared" ref="AB62:AB66" si="211">(Z62-INT(Z62))*12</f>
        <v>10.620840466262962</v>
      </c>
      <c r="AC62" s="41" t="str">
        <f t="shared" si="190"/>
        <v>X</v>
      </c>
      <c r="AD62" s="24">
        <f t="shared" ref="AD62:AD66" si="212">(AB62-INT(AB62))*12</f>
        <v>7.4500855951555423</v>
      </c>
      <c r="AE62" s="41" t="str">
        <f t="shared" si="191"/>
        <v>7</v>
      </c>
      <c r="AF62" s="24">
        <f t="shared" ref="AF62:AF66" si="213">(AD62-INT(AD62))*12</f>
        <v>5.401027141866507</v>
      </c>
      <c r="AG62" s="41" t="str">
        <f t="shared" si="192"/>
        <v>5</v>
      </c>
      <c r="AH62" s="24">
        <f t="shared" ref="AH62:AH66" si="214">(AF62-INT(AF62))*12</f>
        <v>4.8123257023980841</v>
      </c>
      <c r="AI62" s="41" t="str">
        <f t="shared" si="193"/>
        <v>5</v>
      </c>
      <c r="AJ62" s="24">
        <f t="shared" ref="AJ62:AJ66" si="215">(AH62-INT(AH62))*12</f>
        <v>9.7479084287770092</v>
      </c>
      <c r="AK62" s="41" t="str">
        <f t="shared" si="194"/>
        <v/>
      </c>
      <c r="AL62" s="24">
        <f t="shared" ref="AL62:AL66" si="216">(AJ62-INT(AJ62))*12</f>
        <v>8.974901145324111</v>
      </c>
      <c r="AM62" s="41" t="str">
        <f t="shared" si="195"/>
        <v/>
      </c>
      <c r="AN62" s="24">
        <f t="shared" ref="AN62:AN66" si="217">(AL62-INT(AL62))*12</f>
        <v>11.698813743889332</v>
      </c>
      <c r="AO62" s="41" t="str">
        <f t="shared" si="196"/>
        <v/>
      </c>
    </row>
    <row r="63" spans="1:41" ht="14.25" customHeight="1" x14ac:dyDescent="0.2">
      <c r="A63" s="602"/>
      <c r="B63" s="604"/>
      <c r="C63" s="188" t="s">
        <v>344</v>
      </c>
      <c r="D63" s="3" t="str">
        <f t="shared" si="198"/>
        <v>m^3</v>
      </c>
      <c r="E63" s="151">
        <f t="shared" si="200"/>
        <v>418.90705626902843</v>
      </c>
      <c r="F63" s="15">
        <v>0</v>
      </c>
      <c r="G63" s="166">
        <f t="shared" si="180"/>
        <v>418.90705626902843</v>
      </c>
      <c r="H63" s="167" t="s">
        <v>593</v>
      </c>
      <c r="I63" s="162">
        <f t="shared" si="201"/>
        <v>10000</v>
      </c>
      <c r="J63" s="3" t="str">
        <f t="shared" si="199"/>
        <v>m^3</v>
      </c>
      <c r="K63" s="8">
        <v>9</v>
      </c>
      <c r="L63" s="21">
        <f t="shared" si="202"/>
        <v>495002.40422503237</v>
      </c>
      <c r="M63" s="37" t="str">
        <f t="shared" si="203"/>
        <v>1;EX5624X26</v>
      </c>
      <c r="N63" s="38">
        <f t="shared" si="204"/>
        <v>5</v>
      </c>
      <c r="O63" s="61">
        <f t="shared" si="205"/>
        <v>1.9893036435226674</v>
      </c>
      <c r="P63" s="39" t="str">
        <f>INDEX(powers!$H$2:$H$75,33+N63)</f>
        <v>terno cosmic</v>
      </c>
      <c r="Q63" s="40" t="str">
        <f t="shared" si="184"/>
        <v>1</v>
      </c>
      <c r="R63" s="24">
        <f t="shared" si="206"/>
        <v>11.871643722272008</v>
      </c>
      <c r="S63" s="41" t="str">
        <f t="shared" si="185"/>
        <v>E</v>
      </c>
      <c r="T63" s="24">
        <f t="shared" si="207"/>
        <v>10.459724667264098</v>
      </c>
      <c r="U63" s="41" t="str">
        <f t="shared" si="186"/>
        <v>X</v>
      </c>
      <c r="V63" s="24">
        <f t="shared" si="208"/>
        <v>5.5166960071691733</v>
      </c>
      <c r="W63" s="41" t="str">
        <f t="shared" si="187"/>
        <v>5</v>
      </c>
      <c r="X63" s="24">
        <f t="shared" si="209"/>
        <v>6.2003520860300796</v>
      </c>
      <c r="Y63" s="41" t="str">
        <f t="shared" si="188"/>
        <v>6</v>
      </c>
      <c r="Z63" s="24">
        <f t="shared" si="210"/>
        <v>2.4042250323609551</v>
      </c>
      <c r="AA63" s="41" t="str">
        <f t="shared" si="189"/>
        <v>2</v>
      </c>
      <c r="AB63" s="24">
        <f t="shared" si="211"/>
        <v>4.850700388331461</v>
      </c>
      <c r="AC63" s="41" t="str">
        <f t="shared" si="190"/>
        <v>4</v>
      </c>
      <c r="AD63" s="24">
        <f t="shared" si="212"/>
        <v>10.208404659977532</v>
      </c>
      <c r="AE63" s="41" t="str">
        <f t="shared" si="191"/>
        <v>X</v>
      </c>
      <c r="AF63" s="24">
        <f t="shared" si="213"/>
        <v>2.5008559197303839</v>
      </c>
      <c r="AG63" s="41" t="str">
        <f t="shared" si="192"/>
        <v>2</v>
      </c>
      <c r="AH63" s="24">
        <f t="shared" si="214"/>
        <v>6.0102710367646068</v>
      </c>
      <c r="AI63" s="41" t="str">
        <f t="shared" si="193"/>
        <v>6</v>
      </c>
      <c r="AJ63" s="24">
        <f t="shared" si="215"/>
        <v>0.123252441175282</v>
      </c>
      <c r="AK63" s="41" t="str">
        <f t="shared" si="194"/>
        <v/>
      </c>
      <c r="AL63" s="24">
        <f t="shared" si="216"/>
        <v>1.479029294103384</v>
      </c>
      <c r="AM63" s="41" t="str">
        <f t="shared" si="195"/>
        <v/>
      </c>
      <c r="AN63" s="24">
        <f t="shared" si="217"/>
        <v>5.7483515292406082</v>
      </c>
      <c r="AO63" s="41" t="str">
        <f t="shared" si="196"/>
        <v/>
      </c>
    </row>
    <row r="64" spans="1:41" ht="14.25" customHeight="1" x14ac:dyDescent="0.2">
      <c r="A64" s="602"/>
      <c r="B64" s="604"/>
      <c r="C64" s="188" t="s">
        <v>345</v>
      </c>
      <c r="D64" s="3" t="str">
        <f t="shared" si="198"/>
        <v>m^3</v>
      </c>
      <c r="E64" s="151">
        <f t="shared" si="200"/>
        <v>5026.8846752283407</v>
      </c>
      <c r="F64" s="15">
        <v>3</v>
      </c>
      <c r="G64" s="166">
        <f t="shared" si="180"/>
        <v>5.0268846752283407</v>
      </c>
      <c r="H64" s="167" t="s">
        <v>705</v>
      </c>
      <c r="I64" s="162">
        <f t="shared" si="201"/>
        <v>100000</v>
      </c>
      <c r="J64" s="3" t="str">
        <f t="shared" si="199"/>
        <v>m^3</v>
      </c>
      <c r="K64" s="8">
        <v>9</v>
      </c>
      <c r="L64" s="21">
        <f t="shared" si="202"/>
        <v>4950024.042250324</v>
      </c>
      <c r="M64" s="37" t="str">
        <f t="shared" si="203"/>
        <v>1;7X8720061</v>
      </c>
      <c r="N64" s="38">
        <f t="shared" si="204"/>
        <v>6</v>
      </c>
      <c r="O64" s="61">
        <f t="shared" si="205"/>
        <v>1.6577530362688897</v>
      </c>
      <c r="P64" s="39" t="str">
        <f>INDEX(powers!$H$2:$H$75,33+N64)</f>
        <v>dino cosmic</v>
      </c>
      <c r="Q64" s="40" t="str">
        <f t="shared" si="184"/>
        <v>1</v>
      </c>
      <c r="R64" s="24">
        <f t="shared" si="206"/>
        <v>7.8930364352266764</v>
      </c>
      <c r="S64" s="41" t="str">
        <f t="shared" si="185"/>
        <v>7</v>
      </c>
      <c r="T64" s="24">
        <f t="shared" si="207"/>
        <v>10.716437222720117</v>
      </c>
      <c r="U64" s="41" t="str">
        <f t="shared" si="186"/>
        <v>X</v>
      </c>
      <c r="V64" s="24">
        <f t="shared" si="208"/>
        <v>8.5972466726414041</v>
      </c>
      <c r="W64" s="41" t="str">
        <f t="shared" si="187"/>
        <v>8</v>
      </c>
      <c r="X64" s="24">
        <f t="shared" si="209"/>
        <v>7.1669600716968489</v>
      </c>
      <c r="Y64" s="41" t="str">
        <f t="shared" si="188"/>
        <v>7</v>
      </c>
      <c r="Z64" s="24">
        <f t="shared" si="210"/>
        <v>2.0035208603621868</v>
      </c>
      <c r="AA64" s="41" t="str">
        <f t="shared" si="189"/>
        <v>2</v>
      </c>
      <c r="AB64" s="24">
        <f t="shared" si="211"/>
        <v>4.2250324346241541E-2</v>
      </c>
      <c r="AC64" s="41" t="str">
        <f t="shared" si="190"/>
        <v>0</v>
      </c>
      <c r="AD64" s="24">
        <f t="shared" si="212"/>
        <v>0.50700389215489849</v>
      </c>
      <c r="AE64" s="41" t="str">
        <f t="shared" si="191"/>
        <v>0</v>
      </c>
      <c r="AF64" s="24">
        <f t="shared" si="213"/>
        <v>6.0840467058587819</v>
      </c>
      <c r="AG64" s="41" t="str">
        <f t="shared" si="192"/>
        <v>6</v>
      </c>
      <c r="AH64" s="24">
        <f t="shared" si="214"/>
        <v>1.0085604703053832</v>
      </c>
      <c r="AI64" s="41" t="str">
        <f t="shared" si="193"/>
        <v>1</v>
      </c>
      <c r="AJ64" s="24">
        <f t="shared" si="215"/>
        <v>0.10272564366459846</v>
      </c>
      <c r="AK64" s="41" t="str">
        <f t="shared" si="194"/>
        <v/>
      </c>
      <c r="AL64" s="24">
        <f t="shared" si="216"/>
        <v>1.2327077239751816</v>
      </c>
      <c r="AM64" s="41" t="str">
        <f t="shared" si="195"/>
        <v/>
      </c>
      <c r="AN64" s="24">
        <f t="shared" si="217"/>
        <v>2.792492687702179</v>
      </c>
      <c r="AO64" s="41" t="str">
        <f t="shared" si="196"/>
        <v/>
      </c>
    </row>
    <row r="65" spans="1:41" ht="14.25" customHeight="1" x14ac:dyDescent="0.2">
      <c r="A65" s="602"/>
      <c r="B65" s="604"/>
      <c r="C65" s="212" t="s">
        <v>346</v>
      </c>
      <c r="D65" s="5" t="str">
        <f>D63</f>
        <v>m^3</v>
      </c>
      <c r="E65" s="249">
        <f>E64*12</f>
        <v>60322.616102740089</v>
      </c>
      <c r="F65" s="250">
        <v>3</v>
      </c>
      <c r="G65" s="251">
        <f t="shared" si="180"/>
        <v>60.322616102740092</v>
      </c>
      <c r="H65" s="252" t="s">
        <v>705</v>
      </c>
      <c r="I65" s="163">
        <f>I64*10</f>
        <v>1000000</v>
      </c>
      <c r="J65" s="5" t="str">
        <f>J63</f>
        <v>m^3</v>
      </c>
      <c r="K65" s="30">
        <v>9</v>
      </c>
      <c r="L65" s="29">
        <f>L64*10</f>
        <v>49500240.42250324</v>
      </c>
      <c r="M65" s="108" t="str">
        <f t="shared" si="203"/>
        <v>1;46E1E8051</v>
      </c>
      <c r="N65" s="43">
        <v>7</v>
      </c>
      <c r="O65" s="62">
        <f t="shared" si="205"/>
        <v>1.3814608635574079</v>
      </c>
      <c r="P65" s="44" t="str">
        <f>INDEX(powers!$H$2:$H$75,33+N65)</f>
        <v>unino cosmic</v>
      </c>
      <c r="Q65" s="40" t="str">
        <f t="shared" si="184"/>
        <v>1</v>
      </c>
      <c r="R65" s="24">
        <f t="shared" si="206"/>
        <v>4.5775303626888952</v>
      </c>
      <c r="S65" s="41" t="str">
        <f t="shared" si="185"/>
        <v>4</v>
      </c>
      <c r="T65" s="24">
        <f t="shared" si="207"/>
        <v>6.9303643522667429</v>
      </c>
      <c r="U65" s="41" t="str">
        <f t="shared" si="186"/>
        <v>6</v>
      </c>
      <c r="V65" s="24">
        <f t="shared" si="208"/>
        <v>11.164372227200914</v>
      </c>
      <c r="W65" s="41" t="str">
        <f t="shared" si="187"/>
        <v>E</v>
      </c>
      <c r="X65" s="24">
        <f t="shared" si="209"/>
        <v>1.9724667264109712</v>
      </c>
      <c r="Y65" s="41" t="str">
        <f t="shared" si="188"/>
        <v>1</v>
      </c>
      <c r="Z65" s="24">
        <f t="shared" si="210"/>
        <v>11.669600716931654</v>
      </c>
      <c r="AA65" s="41" t="str">
        <f t="shared" si="189"/>
        <v>E</v>
      </c>
      <c r="AB65" s="24">
        <f t="shared" si="211"/>
        <v>8.0352086031798535</v>
      </c>
      <c r="AC65" s="41" t="str">
        <f t="shared" si="190"/>
        <v>8</v>
      </c>
      <c r="AD65" s="24">
        <f t="shared" si="212"/>
        <v>0.42250323815824231</v>
      </c>
      <c r="AE65" s="41" t="str">
        <f t="shared" si="191"/>
        <v>0</v>
      </c>
      <c r="AF65" s="24">
        <f t="shared" si="213"/>
        <v>5.0700388578989077</v>
      </c>
      <c r="AG65" s="41" t="str">
        <f t="shared" si="192"/>
        <v>5</v>
      </c>
      <c r="AH65" s="24">
        <f t="shared" si="214"/>
        <v>0.84046629478689283</v>
      </c>
      <c r="AI65" s="41" t="str">
        <f t="shared" si="193"/>
        <v>1</v>
      </c>
      <c r="AJ65" s="24">
        <f t="shared" si="215"/>
        <v>10.085595537442714</v>
      </c>
      <c r="AK65" s="41" t="str">
        <f t="shared" si="194"/>
        <v/>
      </c>
      <c r="AL65" s="24">
        <f t="shared" si="216"/>
        <v>1.0271464493125677</v>
      </c>
      <c r="AM65" s="41" t="str">
        <f t="shared" si="195"/>
        <v/>
      </c>
      <c r="AN65" s="24">
        <f t="shared" si="217"/>
        <v>0.32575739175081253</v>
      </c>
      <c r="AO65" s="41" t="str">
        <f t="shared" si="196"/>
        <v/>
      </c>
    </row>
    <row r="66" spans="1:41" ht="14.25" customHeight="1" thickBot="1" x14ac:dyDescent="0.25">
      <c r="A66" s="602"/>
      <c r="B66" s="605"/>
      <c r="C66" s="189" t="s">
        <v>347</v>
      </c>
      <c r="D66" s="89" t="str">
        <f>D64</f>
        <v>m^3</v>
      </c>
      <c r="E66" s="175">
        <f>E65*12</f>
        <v>723871.39323288109</v>
      </c>
      <c r="F66" s="176">
        <v>3</v>
      </c>
      <c r="G66" s="177">
        <f t="shared" si="180"/>
        <v>723.87139323288113</v>
      </c>
      <c r="H66" s="178" t="s">
        <v>705</v>
      </c>
      <c r="I66" s="163">
        <f>I65*10</f>
        <v>10000000</v>
      </c>
      <c r="J66" s="89" t="str">
        <f>J64</f>
        <v>m^3</v>
      </c>
      <c r="K66" s="30">
        <v>9</v>
      </c>
      <c r="L66" s="29">
        <f>L65*10</f>
        <v>495002404.22503239</v>
      </c>
      <c r="M66" s="108" t="str">
        <f t="shared" si="203"/>
        <v>1;199378843</v>
      </c>
      <c r="N66" s="43">
        <v>8</v>
      </c>
      <c r="O66" s="62">
        <f t="shared" si="205"/>
        <v>1.1512173862978399</v>
      </c>
      <c r="P66" s="44" t="str">
        <f>INDEX(powers!$H$2:$H$75,33+N66)</f>
        <v>cosmic</v>
      </c>
      <c r="Q66" s="40" t="str">
        <f t="shared" si="184"/>
        <v>1</v>
      </c>
      <c r="R66" s="24">
        <f t="shared" si="206"/>
        <v>1.8146086355740785</v>
      </c>
      <c r="S66" s="41" t="str">
        <f t="shared" si="185"/>
        <v>1</v>
      </c>
      <c r="T66" s="24">
        <f t="shared" si="207"/>
        <v>9.7753036268889417</v>
      </c>
      <c r="U66" s="41" t="str">
        <f t="shared" si="186"/>
        <v>9</v>
      </c>
      <c r="V66" s="24">
        <f t="shared" si="208"/>
        <v>9.3036435226673007</v>
      </c>
      <c r="W66" s="41" t="str">
        <f t="shared" si="187"/>
        <v>9</v>
      </c>
      <c r="X66" s="24">
        <f t="shared" si="209"/>
        <v>3.6437222720076079</v>
      </c>
      <c r="Y66" s="41" t="str">
        <f t="shared" si="188"/>
        <v>3</v>
      </c>
      <c r="Z66" s="24">
        <f t="shared" si="210"/>
        <v>7.7246672640912948</v>
      </c>
      <c r="AA66" s="41" t="str">
        <f t="shared" si="189"/>
        <v>7</v>
      </c>
      <c r="AB66" s="24">
        <f t="shared" si="211"/>
        <v>8.6960071690955374</v>
      </c>
      <c r="AC66" s="41" t="str">
        <f t="shared" si="190"/>
        <v>8</v>
      </c>
      <c r="AD66" s="24">
        <f t="shared" si="212"/>
        <v>8.3520860291464487</v>
      </c>
      <c r="AE66" s="41" t="str">
        <f t="shared" si="191"/>
        <v>8</v>
      </c>
      <c r="AF66" s="24">
        <f t="shared" si="213"/>
        <v>4.2250323497573845</v>
      </c>
      <c r="AG66" s="41" t="str">
        <f t="shared" si="192"/>
        <v>4</v>
      </c>
      <c r="AH66" s="24">
        <f t="shared" si="214"/>
        <v>2.7003881970886141</v>
      </c>
      <c r="AI66" s="41" t="str">
        <f t="shared" si="193"/>
        <v>3</v>
      </c>
      <c r="AJ66" s="24">
        <f t="shared" si="215"/>
        <v>8.4046583650633693</v>
      </c>
      <c r="AK66" s="41" t="str">
        <f t="shared" si="194"/>
        <v/>
      </c>
      <c r="AL66" s="24">
        <f t="shared" si="216"/>
        <v>4.8559003807604313</v>
      </c>
      <c r="AM66" s="41" t="str">
        <f t="shared" si="195"/>
        <v/>
      </c>
      <c r="AN66" s="24">
        <f t="shared" si="217"/>
        <v>10.270804569125175</v>
      </c>
      <c r="AO66" s="41" t="str">
        <f t="shared" si="196"/>
        <v/>
      </c>
    </row>
    <row r="67" spans="1:41" ht="14.25" customHeight="1" x14ac:dyDescent="0.2">
      <c r="A67" s="602"/>
      <c r="B67" s="606" t="s">
        <v>570</v>
      </c>
      <c r="C67" s="165" t="s">
        <v>537</v>
      </c>
      <c r="D67" s="205" t="s">
        <v>543</v>
      </c>
      <c r="E67" s="148">
        <f t="shared" ref="E67:E71" si="218">E68/12</f>
        <v>1.3081956069625226E-7</v>
      </c>
      <c r="F67" s="149">
        <v>-9</v>
      </c>
      <c r="G67" s="150">
        <f t="shared" si="29"/>
        <v>130.81956069625227</v>
      </c>
      <c r="H67" s="180" t="s">
        <v>546</v>
      </c>
      <c r="I67" s="179">
        <f t="shared" ref="I67:I71" si="219">I68/10</f>
        <v>1.0000000000000002E-6</v>
      </c>
      <c r="J67" s="144" t="s">
        <v>543</v>
      </c>
      <c r="K67" s="143">
        <v>9</v>
      </c>
      <c r="L67" s="142">
        <f t="shared" ref="L67:L71" si="220">L68/10</f>
        <v>2.5599992455102185E-6</v>
      </c>
      <c r="M67" s="145" t="str">
        <f t="shared" si="68"/>
        <v>7;78904X507</v>
      </c>
      <c r="N67" s="146">
        <f t="shared" ref="N67:N71" si="221">N68-1</f>
        <v>-6</v>
      </c>
      <c r="O67" s="154">
        <f t="shared" si="70"/>
        <v>7.6441167871055846</v>
      </c>
      <c r="P67" s="147" t="str">
        <f>INDEX(powers!$H$2:$H$75,33+N67)</f>
        <v>gross atomic</v>
      </c>
      <c r="Q67" s="40" t="str">
        <f t="shared" si="35"/>
        <v>7</v>
      </c>
      <c r="R67" s="24">
        <f t="shared" si="71"/>
        <v>7.7294014452670154</v>
      </c>
      <c r="S67" s="41" t="str">
        <f t="shared" si="37"/>
        <v>7</v>
      </c>
      <c r="T67" s="24">
        <f t="shared" si="72"/>
        <v>8.7528173432041854</v>
      </c>
      <c r="U67" s="41" t="str">
        <f t="shared" si="39"/>
        <v>8</v>
      </c>
      <c r="V67" s="24">
        <f t="shared" si="73"/>
        <v>9.0338081184502244</v>
      </c>
      <c r="W67" s="41" t="str">
        <f t="shared" si="41"/>
        <v>9</v>
      </c>
      <c r="X67" s="24">
        <f t="shared" si="74"/>
        <v>0.40569742140269227</v>
      </c>
      <c r="Y67" s="41" t="str">
        <f t="shared" si="43"/>
        <v>0</v>
      </c>
      <c r="Z67" s="24">
        <f t="shared" si="75"/>
        <v>4.8683690568323073</v>
      </c>
      <c r="AA67" s="41" t="str">
        <f t="shared" si="45"/>
        <v>4</v>
      </c>
      <c r="AB67" s="24">
        <f t="shared" si="76"/>
        <v>10.420428681987687</v>
      </c>
      <c r="AC67" s="41" t="str">
        <f t="shared" si="47"/>
        <v>X</v>
      </c>
      <c r="AD67" s="24">
        <f t="shared" si="77"/>
        <v>5.0451441838522442</v>
      </c>
      <c r="AE67" s="41" t="str">
        <f t="shared" si="49"/>
        <v>5</v>
      </c>
      <c r="AF67" s="24">
        <f t="shared" si="78"/>
        <v>0.54173020622693002</v>
      </c>
      <c r="AG67" s="41" t="str">
        <f t="shared" si="51"/>
        <v>0</v>
      </c>
      <c r="AH67" s="24">
        <f t="shared" si="79"/>
        <v>6.5007624747231603</v>
      </c>
      <c r="AI67" s="41" t="str">
        <f t="shared" si="53"/>
        <v>7</v>
      </c>
      <c r="AJ67" s="24">
        <f t="shared" si="80"/>
        <v>6.0091496966779232</v>
      </c>
      <c r="AK67" s="41" t="str">
        <f t="shared" si="55"/>
        <v/>
      </c>
      <c r="AL67" s="24">
        <f t="shared" si="81"/>
        <v>0.10979636013507843</v>
      </c>
      <c r="AM67" s="41" t="str">
        <f t="shared" si="57"/>
        <v/>
      </c>
      <c r="AN67" s="24">
        <f t="shared" si="82"/>
        <v>1.3175563216209412</v>
      </c>
      <c r="AO67" s="41" t="str">
        <f t="shared" si="59"/>
        <v/>
      </c>
    </row>
    <row r="68" spans="1:41" ht="14.25" customHeight="1" x14ac:dyDescent="0.2">
      <c r="A68" s="602"/>
      <c r="B68" s="604"/>
      <c r="C68" s="168" t="s">
        <v>538</v>
      </c>
      <c r="D68" s="3" t="str">
        <f>D67</f>
        <v>s</v>
      </c>
      <c r="E68" s="151">
        <f t="shared" si="218"/>
        <v>1.5698347283550273E-6</v>
      </c>
      <c r="F68" s="152">
        <v>-6</v>
      </c>
      <c r="G68" s="153">
        <f t="shared" si="29"/>
        <v>1.5698347283550274</v>
      </c>
      <c r="H68" s="181" t="s">
        <v>547</v>
      </c>
      <c r="I68" s="157">
        <f t="shared" si="219"/>
        <v>1.0000000000000001E-5</v>
      </c>
      <c r="J68" s="2" t="s">
        <v>543</v>
      </c>
      <c r="K68" s="8">
        <v>9</v>
      </c>
      <c r="L68" s="21">
        <f t="shared" si="220"/>
        <v>2.5599992455102187E-5</v>
      </c>
      <c r="M68" s="37" t="str">
        <f t="shared" si="68"/>
        <v>6;453640825</v>
      </c>
      <c r="N68" s="38">
        <f t="shared" si="221"/>
        <v>-5</v>
      </c>
      <c r="O68" s="61">
        <f t="shared" si="70"/>
        <v>6.3700973225879869</v>
      </c>
      <c r="P68" s="39" t="str">
        <f>INDEX(powers!$H$2:$H$75,33+N68)</f>
        <v>doz gross atomic</v>
      </c>
      <c r="Q68" s="40" t="str">
        <f t="shared" si="35"/>
        <v>6</v>
      </c>
      <c r="R68" s="24">
        <f t="shared" si="71"/>
        <v>4.4411678710558427</v>
      </c>
      <c r="S68" s="41" t="str">
        <f t="shared" si="37"/>
        <v>4</v>
      </c>
      <c r="T68" s="24">
        <f t="shared" si="72"/>
        <v>5.2940144526701118</v>
      </c>
      <c r="U68" s="41" t="str">
        <f t="shared" si="39"/>
        <v>5</v>
      </c>
      <c r="V68" s="24">
        <f t="shared" si="73"/>
        <v>3.528173432041342</v>
      </c>
      <c r="W68" s="41" t="str">
        <f t="shared" si="41"/>
        <v>3</v>
      </c>
      <c r="X68" s="24">
        <f t="shared" si="74"/>
        <v>6.3380811844961045</v>
      </c>
      <c r="Y68" s="41" t="str">
        <f t="shared" si="43"/>
        <v>6</v>
      </c>
      <c r="Z68" s="24">
        <f t="shared" si="75"/>
        <v>4.0569742139532536</v>
      </c>
      <c r="AA68" s="41" t="str">
        <f t="shared" si="45"/>
        <v>4</v>
      </c>
      <c r="AB68" s="24">
        <f t="shared" si="76"/>
        <v>0.68369056743904366</v>
      </c>
      <c r="AC68" s="41" t="str">
        <f t="shared" si="47"/>
        <v>0</v>
      </c>
      <c r="AD68" s="24">
        <f t="shared" si="77"/>
        <v>8.2042868092685239</v>
      </c>
      <c r="AE68" s="41" t="str">
        <f t="shared" si="49"/>
        <v>8</v>
      </c>
      <c r="AF68" s="24">
        <f t="shared" si="78"/>
        <v>2.4514417112222873</v>
      </c>
      <c r="AG68" s="41" t="str">
        <f t="shared" si="51"/>
        <v>2</v>
      </c>
      <c r="AH68" s="24">
        <f t="shared" si="79"/>
        <v>5.4173005346674472</v>
      </c>
      <c r="AI68" s="41" t="str">
        <f t="shared" si="53"/>
        <v>5</v>
      </c>
      <c r="AJ68" s="24">
        <f t="shared" si="80"/>
        <v>5.0076064160093665</v>
      </c>
      <c r="AK68" s="41" t="str">
        <f t="shared" si="55"/>
        <v/>
      </c>
      <c r="AL68" s="24">
        <f t="shared" si="81"/>
        <v>9.1276992112398148E-2</v>
      </c>
      <c r="AM68" s="41" t="str">
        <f t="shared" si="57"/>
        <v/>
      </c>
      <c r="AN68" s="24">
        <f t="shared" si="82"/>
        <v>1.0953239053487778</v>
      </c>
      <c r="AO68" s="41" t="str">
        <f t="shared" si="59"/>
        <v/>
      </c>
    </row>
    <row r="69" spans="1:41" ht="14.25" customHeight="1" x14ac:dyDescent="0.2">
      <c r="A69" s="602"/>
      <c r="B69" s="604"/>
      <c r="C69" s="169" t="s">
        <v>539</v>
      </c>
      <c r="D69" s="3" t="str">
        <f t="shared" ref="D69:D81" si="222">D68</f>
        <v>s</v>
      </c>
      <c r="E69" s="151">
        <f t="shared" si="218"/>
        <v>1.8838016740260326E-5</v>
      </c>
      <c r="F69" s="152">
        <v>-6</v>
      </c>
      <c r="G69" s="153">
        <f t="shared" si="29"/>
        <v>18.838016740260326</v>
      </c>
      <c r="H69" s="181" t="s">
        <v>547</v>
      </c>
      <c r="I69" s="158">
        <f t="shared" si="219"/>
        <v>1E-4</v>
      </c>
      <c r="J69" s="2" t="s">
        <v>543</v>
      </c>
      <c r="K69" s="8">
        <v>9</v>
      </c>
      <c r="L69" s="21">
        <f t="shared" si="220"/>
        <v>2.5599992455102187E-4</v>
      </c>
      <c r="M69" s="37" t="str">
        <f t="shared" si="68"/>
        <v>5;384E346X1</v>
      </c>
      <c r="N69" s="38">
        <f t="shared" si="221"/>
        <v>-4</v>
      </c>
      <c r="O69" s="61">
        <f t="shared" si="70"/>
        <v>5.3084144354899898</v>
      </c>
      <c r="P69" s="39" t="str">
        <f>INDEX(powers!$H$2:$H$75,33+N69)</f>
        <v>sub</v>
      </c>
      <c r="Q69" s="40" t="str">
        <f t="shared" si="35"/>
        <v>5</v>
      </c>
      <c r="R69" s="24">
        <f t="shared" si="71"/>
        <v>3.7009732258798778</v>
      </c>
      <c r="S69" s="41" t="str">
        <f t="shared" si="37"/>
        <v>3</v>
      </c>
      <c r="T69" s="24">
        <f t="shared" si="72"/>
        <v>8.4116787105585331</v>
      </c>
      <c r="U69" s="41" t="str">
        <f t="shared" si="39"/>
        <v>8</v>
      </c>
      <c r="V69" s="24">
        <f t="shared" si="73"/>
        <v>4.9401445267023973</v>
      </c>
      <c r="W69" s="41" t="str">
        <f t="shared" si="41"/>
        <v>4</v>
      </c>
      <c r="X69" s="24">
        <f t="shared" si="74"/>
        <v>11.281734320428768</v>
      </c>
      <c r="Y69" s="41" t="str">
        <f t="shared" si="43"/>
        <v>E</v>
      </c>
      <c r="Z69" s="24">
        <f t="shared" si="75"/>
        <v>3.3808118451452174</v>
      </c>
      <c r="AA69" s="41" t="str">
        <f t="shared" si="45"/>
        <v>3</v>
      </c>
      <c r="AB69" s="24">
        <f t="shared" si="76"/>
        <v>4.5697421417426085</v>
      </c>
      <c r="AC69" s="41" t="str">
        <f t="shared" si="47"/>
        <v>4</v>
      </c>
      <c r="AD69" s="24">
        <f t="shared" si="77"/>
        <v>6.8369057009113021</v>
      </c>
      <c r="AE69" s="41" t="str">
        <f t="shared" si="49"/>
        <v>6</v>
      </c>
      <c r="AF69" s="24">
        <f t="shared" si="78"/>
        <v>10.042868410935625</v>
      </c>
      <c r="AG69" s="41" t="str">
        <f t="shared" si="51"/>
        <v>X</v>
      </c>
      <c r="AH69" s="24">
        <f t="shared" si="79"/>
        <v>0.51442093122750521</v>
      </c>
      <c r="AI69" s="41" t="str">
        <f t="shared" si="53"/>
        <v>1</v>
      </c>
      <c r="AJ69" s="24">
        <f t="shared" si="80"/>
        <v>6.1730511747300625</v>
      </c>
      <c r="AK69" s="41" t="str">
        <f t="shared" si="55"/>
        <v/>
      </c>
      <c r="AL69" s="24">
        <f t="shared" si="81"/>
        <v>2.0766140967607498</v>
      </c>
      <c r="AM69" s="41" t="str">
        <f t="shared" si="57"/>
        <v/>
      </c>
      <c r="AN69" s="24">
        <f t="shared" si="82"/>
        <v>0.9193691611289978</v>
      </c>
      <c r="AO69" s="41" t="str">
        <f t="shared" si="59"/>
        <v/>
      </c>
    </row>
    <row r="70" spans="1:41" ht="14.25" customHeight="1" x14ac:dyDescent="0.2">
      <c r="A70" s="602"/>
      <c r="B70" s="604"/>
      <c r="C70" s="170" t="s">
        <v>540</v>
      </c>
      <c r="D70" s="3" t="str">
        <f t="shared" si="222"/>
        <v>s</v>
      </c>
      <c r="E70" s="151">
        <f t="shared" si="218"/>
        <v>2.2605620088312392E-4</v>
      </c>
      <c r="F70" s="152">
        <v>-6</v>
      </c>
      <c r="G70" s="153">
        <f t="shared" si="29"/>
        <v>226.05620088312392</v>
      </c>
      <c r="H70" s="181" t="s">
        <v>547</v>
      </c>
      <c r="I70" s="159">
        <f t="shared" si="219"/>
        <v>1E-3</v>
      </c>
      <c r="J70" s="2" t="s">
        <v>56</v>
      </c>
      <c r="K70" s="8">
        <v>9</v>
      </c>
      <c r="L70" s="21">
        <f t="shared" si="220"/>
        <v>2.5599992455102188E-3</v>
      </c>
      <c r="M70" s="37" t="str">
        <f t="shared" si="68"/>
        <v>4;510149984</v>
      </c>
      <c r="N70" s="38">
        <f t="shared" si="221"/>
        <v>-3</v>
      </c>
      <c r="O70" s="61">
        <f t="shared" si="70"/>
        <v>4.4236786962416579</v>
      </c>
      <c r="P70" s="39" t="str">
        <f>INDEX(powers!$H$2:$H$75,33+N70)</f>
        <v>terno</v>
      </c>
      <c r="Q70" s="40" t="str">
        <f t="shared" si="35"/>
        <v>4</v>
      </c>
      <c r="R70" s="24">
        <f t="shared" si="71"/>
        <v>5.0841443548998946</v>
      </c>
      <c r="S70" s="41" t="str">
        <f t="shared" si="37"/>
        <v>5</v>
      </c>
      <c r="T70" s="24">
        <f t="shared" si="72"/>
        <v>1.009732258798735</v>
      </c>
      <c r="U70" s="41" t="str">
        <f t="shared" si="39"/>
        <v>1</v>
      </c>
      <c r="V70" s="24">
        <f t="shared" si="73"/>
        <v>0.11678710558481953</v>
      </c>
      <c r="W70" s="41" t="str">
        <f t="shared" si="41"/>
        <v>0</v>
      </c>
      <c r="X70" s="24">
        <f t="shared" si="74"/>
        <v>1.4014452670178343</v>
      </c>
      <c r="Y70" s="41" t="str">
        <f t="shared" si="43"/>
        <v>1</v>
      </c>
      <c r="Z70" s="24">
        <f t="shared" si="75"/>
        <v>4.8173432042140121</v>
      </c>
      <c r="AA70" s="41" t="str">
        <f t="shared" si="45"/>
        <v>4</v>
      </c>
      <c r="AB70" s="24">
        <f t="shared" si="76"/>
        <v>9.8081184505681449</v>
      </c>
      <c r="AC70" s="41" t="str">
        <f t="shared" si="47"/>
        <v>9</v>
      </c>
      <c r="AD70" s="24">
        <f t="shared" si="77"/>
        <v>9.6974214068177389</v>
      </c>
      <c r="AE70" s="41" t="str">
        <f t="shared" si="49"/>
        <v>9</v>
      </c>
      <c r="AF70" s="24">
        <f t="shared" si="78"/>
        <v>8.3690568818128668</v>
      </c>
      <c r="AG70" s="41" t="str">
        <f t="shared" si="51"/>
        <v>8</v>
      </c>
      <c r="AH70" s="24">
        <f t="shared" si="79"/>
        <v>4.4286825817544013</v>
      </c>
      <c r="AI70" s="41" t="str">
        <f t="shared" si="53"/>
        <v>4</v>
      </c>
      <c r="AJ70" s="24">
        <f t="shared" si="80"/>
        <v>5.1441909810528159</v>
      </c>
      <c r="AK70" s="41" t="str">
        <f t="shared" si="55"/>
        <v/>
      </c>
      <c r="AL70" s="24">
        <f t="shared" si="81"/>
        <v>1.730291772633791</v>
      </c>
      <c r="AM70" s="41" t="str">
        <f t="shared" si="57"/>
        <v/>
      </c>
      <c r="AN70" s="24">
        <f t="shared" si="82"/>
        <v>8.7635012716054916</v>
      </c>
      <c r="AO70" s="41" t="str">
        <f t="shared" si="59"/>
        <v/>
      </c>
    </row>
    <row r="71" spans="1:41" ht="14.25" customHeight="1" x14ac:dyDescent="0.2">
      <c r="A71" s="602"/>
      <c r="B71" s="604"/>
      <c r="C71" s="171" t="s">
        <v>541</v>
      </c>
      <c r="D71" s="3" t="str">
        <f t="shared" si="222"/>
        <v>s</v>
      </c>
      <c r="E71" s="151">
        <f t="shared" si="218"/>
        <v>2.712674410597487E-3</v>
      </c>
      <c r="F71" s="152">
        <v>-3</v>
      </c>
      <c r="G71" s="153">
        <f t="shared" si="29"/>
        <v>2.7126744105974869</v>
      </c>
      <c r="H71" s="181" t="s">
        <v>227</v>
      </c>
      <c r="I71" s="160">
        <f t="shared" si="219"/>
        <v>0.01</v>
      </c>
      <c r="J71" s="2" t="s">
        <v>56</v>
      </c>
      <c r="K71" s="8">
        <v>9</v>
      </c>
      <c r="L71" s="21">
        <f t="shared" si="220"/>
        <v>2.5599992455102187E-2</v>
      </c>
      <c r="M71" s="37" t="str">
        <f t="shared" si="68"/>
        <v>3;82X12020</v>
      </c>
      <c r="N71" s="38">
        <f t="shared" si="221"/>
        <v>-2</v>
      </c>
      <c r="O71" s="61">
        <f t="shared" si="70"/>
        <v>3.686398913534715</v>
      </c>
      <c r="P71" s="39" t="str">
        <f>INDEX(powers!$H$2:$H$75,33+N71)</f>
        <v>dino</v>
      </c>
      <c r="Q71" s="40" t="str">
        <f t="shared" si="35"/>
        <v>3</v>
      </c>
      <c r="R71" s="24">
        <f t="shared" si="71"/>
        <v>8.2367869624165806</v>
      </c>
      <c r="S71" s="41" t="str">
        <f t="shared" si="37"/>
        <v>8</v>
      </c>
      <c r="T71" s="24">
        <f t="shared" si="72"/>
        <v>2.8414435489989671</v>
      </c>
      <c r="U71" s="41" t="str">
        <f t="shared" si="39"/>
        <v>2</v>
      </c>
      <c r="V71" s="24">
        <f t="shared" si="73"/>
        <v>10.097322587987605</v>
      </c>
      <c r="W71" s="41" t="str">
        <f t="shared" si="41"/>
        <v>X</v>
      </c>
      <c r="X71" s="24">
        <f t="shared" si="74"/>
        <v>1.1678710558512648</v>
      </c>
      <c r="Y71" s="41" t="str">
        <f t="shared" si="43"/>
        <v>1</v>
      </c>
      <c r="Z71" s="24">
        <f t="shared" si="75"/>
        <v>2.0144526702151779</v>
      </c>
      <c r="AA71" s="41" t="str">
        <f t="shared" si="45"/>
        <v>2</v>
      </c>
      <c r="AB71" s="24">
        <f t="shared" si="76"/>
        <v>0.17343204258213518</v>
      </c>
      <c r="AC71" s="41" t="str">
        <f t="shared" si="47"/>
        <v>0</v>
      </c>
      <c r="AD71" s="24">
        <f t="shared" si="77"/>
        <v>2.0811845109856222</v>
      </c>
      <c r="AE71" s="41" t="str">
        <f t="shared" si="49"/>
        <v>2</v>
      </c>
      <c r="AF71" s="24">
        <f t="shared" si="78"/>
        <v>0.97421413182746619</v>
      </c>
      <c r="AG71" s="41" t="str">
        <f t="shared" si="51"/>
        <v>0</v>
      </c>
      <c r="AH71" s="24">
        <f t="shared" si="79"/>
        <v>11.690569581929594</v>
      </c>
      <c r="AI71" s="41" t="str">
        <f t="shared" si="53"/>
        <v/>
      </c>
      <c r="AJ71" s="24">
        <f t="shared" si="80"/>
        <v>8.2868349831551313</v>
      </c>
      <c r="AK71" s="41" t="str">
        <f t="shared" si="55"/>
        <v/>
      </c>
      <c r="AL71" s="24">
        <f t="shared" si="81"/>
        <v>3.4420197978615761</v>
      </c>
      <c r="AM71" s="41" t="str">
        <f t="shared" si="57"/>
        <v/>
      </c>
      <c r="AN71" s="24">
        <f t="shared" si="82"/>
        <v>5.304237574338913</v>
      </c>
      <c r="AO71" s="41" t="str">
        <f t="shared" si="59"/>
        <v/>
      </c>
    </row>
    <row r="72" spans="1:41" ht="14.25" customHeight="1" x14ac:dyDescent="0.2">
      <c r="A72" s="602"/>
      <c r="B72" s="604"/>
      <c r="C72" s="172" t="s">
        <v>542</v>
      </c>
      <c r="D72" s="3" t="str">
        <f t="shared" si="222"/>
        <v>s</v>
      </c>
      <c r="E72" s="151">
        <f>E73/12</f>
        <v>3.2552092927169846E-2</v>
      </c>
      <c r="F72" s="152">
        <v>-3</v>
      </c>
      <c r="G72" s="153">
        <f t="shared" si="29"/>
        <v>32.552092927169845</v>
      </c>
      <c r="H72" s="181" t="s">
        <v>227</v>
      </c>
      <c r="I72" s="161">
        <f>I73/10</f>
        <v>0.1</v>
      </c>
      <c r="J72" s="2" t="s">
        <v>543</v>
      </c>
      <c r="K72" s="8">
        <v>9</v>
      </c>
      <c r="L72" s="21">
        <f>L73/10</f>
        <v>0.25599992455102188</v>
      </c>
      <c r="M72" s="37" t="str">
        <f>Q72&amp;";"&amp;S72&amp;U72&amp;W72&amp;Y72&amp;AA72&amp;AC72&amp;AE72&amp;AG72&amp;AI72&amp;AK72&amp;AM72&amp;AO72</f>
        <v>3;0X44E818X</v>
      </c>
      <c r="N72" s="38">
        <f>N73-1</f>
        <v>-1</v>
      </c>
      <c r="O72" s="61">
        <f t="shared" si="70"/>
        <v>3.0719990946122628</v>
      </c>
      <c r="P72" s="39" t="str">
        <f>INDEX(powers!$H$2:$H$75,33+N72)</f>
        <v>unino</v>
      </c>
      <c r="Q72" s="40" t="str">
        <f t="shared" si="35"/>
        <v>3</v>
      </c>
      <c r="R72" s="24">
        <f>(O72-INT(O72))*12</f>
        <v>0.86398913534715405</v>
      </c>
      <c r="S72" s="41" t="str">
        <f t="shared" si="37"/>
        <v>0</v>
      </c>
      <c r="T72" s="24">
        <f>(R72-INT(R72))*12</f>
        <v>10.367869624165849</v>
      </c>
      <c r="U72" s="41" t="str">
        <f t="shared" si="39"/>
        <v>X</v>
      </c>
      <c r="V72" s="24">
        <f>(T72-INT(T72))*12</f>
        <v>4.4144354899901828</v>
      </c>
      <c r="W72" s="41" t="str">
        <f t="shared" si="41"/>
        <v>4</v>
      </c>
      <c r="X72" s="24">
        <f>(V72-INT(V72))*12</f>
        <v>4.9732258798821931</v>
      </c>
      <c r="Y72" s="41" t="str">
        <f t="shared" si="43"/>
        <v>4</v>
      </c>
      <c r="Z72" s="24">
        <f>(X72-INT(X72))*12</f>
        <v>11.678710558586317</v>
      </c>
      <c r="AA72" s="41" t="str">
        <f t="shared" si="45"/>
        <v>E</v>
      </c>
      <c r="AB72" s="24">
        <f>(Z72-INT(Z72))*12</f>
        <v>8.1445267030358082</v>
      </c>
      <c r="AC72" s="41" t="str">
        <f t="shared" si="47"/>
        <v>8</v>
      </c>
      <c r="AD72" s="24">
        <f>(AB72-INT(AB72))*12</f>
        <v>1.734320436429698</v>
      </c>
      <c r="AE72" s="41" t="str">
        <f t="shared" si="49"/>
        <v>1</v>
      </c>
      <c r="AF72" s="24">
        <f>(AD72-INT(AD72))*12</f>
        <v>8.8118452371563762</v>
      </c>
      <c r="AG72" s="41" t="str">
        <f t="shared" si="51"/>
        <v>8</v>
      </c>
      <c r="AH72" s="24">
        <f>(AF72-INT(AF72))*12</f>
        <v>9.7421428458765149</v>
      </c>
      <c r="AI72" s="41" t="str">
        <f t="shared" si="53"/>
        <v>X</v>
      </c>
      <c r="AJ72" s="24">
        <f>(AH72-INT(AH72))*12</f>
        <v>8.9057141505181789</v>
      </c>
      <c r="AK72" s="41" t="str">
        <f t="shared" si="55"/>
        <v/>
      </c>
      <c r="AL72" s="24">
        <f>(AJ72-INT(AJ72))*12</f>
        <v>10.868569806218147</v>
      </c>
      <c r="AM72" s="41" t="str">
        <f t="shared" si="57"/>
        <v/>
      </c>
      <c r="AN72" s="24">
        <f>(AL72-INT(AL72))*12</f>
        <v>10.422837674617767</v>
      </c>
      <c r="AO72" s="41" t="str">
        <f t="shared" si="59"/>
        <v/>
      </c>
    </row>
    <row r="73" spans="1:41" ht="14.25" customHeight="1" x14ac:dyDescent="0.2">
      <c r="A73" s="602"/>
      <c r="B73" s="604"/>
      <c r="C73" s="173" t="s">
        <v>583</v>
      </c>
      <c r="D73" s="3" t="str">
        <f t="shared" si="222"/>
        <v>s</v>
      </c>
      <c r="E73" s="151">
        <f>E4</f>
        <v>0.39062511512603815</v>
      </c>
      <c r="F73" s="152">
        <v>-3</v>
      </c>
      <c r="G73" s="153">
        <f t="shared" si="29"/>
        <v>390.62511512603817</v>
      </c>
      <c r="H73" s="181" t="s">
        <v>227</v>
      </c>
      <c r="I73" s="162">
        <v>1</v>
      </c>
      <c r="J73" s="2" t="s">
        <v>56</v>
      </c>
      <c r="K73" s="8">
        <v>9</v>
      </c>
      <c r="L73" s="21">
        <f>1/E73</f>
        <v>2.5599992455102187</v>
      </c>
      <c r="M73" s="37" t="str">
        <f>Q73&amp;";"&amp;S73&amp;U73&amp;W73&amp;Y73&amp;AA73&amp;AC73&amp;AE73&amp;AG73&amp;AI73&amp;AK73&amp;AM73&amp;AO73</f>
        <v>2;687818954</v>
      </c>
      <c r="N73" s="38">
        <v>0</v>
      </c>
      <c r="O73" s="61">
        <f t="shared" si="70"/>
        <v>2.5599992455102187</v>
      </c>
      <c r="P73" s="39" t="str">
        <f>INDEX(powers!$H$2:$H$75,33+N73)</f>
        <v xml:space="preserve"> </v>
      </c>
      <c r="Q73" s="40" t="str">
        <f t="shared" si="35"/>
        <v>2</v>
      </c>
      <c r="R73" s="24">
        <f>(O73-INT(O73))*12</f>
        <v>6.7199909461226248</v>
      </c>
      <c r="S73" s="41" t="str">
        <f t="shared" si="37"/>
        <v>6</v>
      </c>
      <c r="T73" s="24">
        <f>(R73-INT(R73))*12</f>
        <v>8.6398913534714978</v>
      </c>
      <c r="U73" s="41" t="str">
        <f t="shared" si="39"/>
        <v>8</v>
      </c>
      <c r="V73" s="24">
        <f>(T73-INT(T73))*12</f>
        <v>7.678696241657974</v>
      </c>
      <c r="W73" s="41" t="str">
        <f t="shared" si="41"/>
        <v>7</v>
      </c>
      <c r="X73" s="24">
        <f>(V73-INT(V73))*12</f>
        <v>8.1443548998956885</v>
      </c>
      <c r="Y73" s="41" t="str">
        <f t="shared" si="43"/>
        <v>8</v>
      </c>
      <c r="Z73" s="24">
        <f>(X73-INT(X73))*12</f>
        <v>1.7322587987482621</v>
      </c>
      <c r="AA73" s="41" t="str">
        <f t="shared" si="45"/>
        <v>1</v>
      </c>
      <c r="AB73" s="24">
        <f>(Z73-INT(Z73))*12</f>
        <v>8.7871055849791446</v>
      </c>
      <c r="AC73" s="41" t="str">
        <f t="shared" si="47"/>
        <v>8</v>
      </c>
      <c r="AD73" s="24">
        <f>(AB73-INT(AB73))*12</f>
        <v>9.4452670197497355</v>
      </c>
      <c r="AE73" s="41" t="str">
        <f t="shared" si="49"/>
        <v>9</v>
      </c>
      <c r="AF73" s="24">
        <f>(AD73-INT(AD73))*12</f>
        <v>5.3432042369968258</v>
      </c>
      <c r="AG73" s="41" t="str">
        <f t="shared" si="51"/>
        <v>5</v>
      </c>
      <c r="AH73" s="24">
        <f>(AF73-INT(AF73))*12</f>
        <v>4.1184508439619094</v>
      </c>
      <c r="AI73" s="41" t="str">
        <f t="shared" si="53"/>
        <v>4</v>
      </c>
      <c r="AJ73" s="24">
        <f>(AH73-INT(AH73))*12</f>
        <v>1.421410127542913</v>
      </c>
      <c r="AK73" s="41" t="str">
        <f t="shared" si="55"/>
        <v/>
      </c>
      <c r="AL73" s="24">
        <f>(AJ73-INT(AJ73))*12</f>
        <v>5.0569215305149555</v>
      </c>
      <c r="AM73" s="41" t="str">
        <f t="shared" si="57"/>
        <v/>
      </c>
      <c r="AN73" s="24">
        <f>(AL73-INT(AL73))*12</f>
        <v>0.68305836617946625</v>
      </c>
      <c r="AO73" s="41" t="str">
        <f t="shared" si="59"/>
        <v/>
      </c>
    </row>
    <row r="74" spans="1:41" ht="14.25" customHeight="1" x14ac:dyDescent="0.2">
      <c r="A74" s="602"/>
      <c r="B74" s="604"/>
      <c r="C74" s="173" t="s">
        <v>584</v>
      </c>
      <c r="D74" s="3" t="str">
        <f t="shared" si="222"/>
        <v>s</v>
      </c>
      <c r="E74" s="151">
        <f>E73*12</f>
        <v>4.6875013815124582</v>
      </c>
      <c r="F74" s="152">
        <v>0</v>
      </c>
      <c r="G74" s="153">
        <f t="shared" si="29"/>
        <v>4.6875013815124582</v>
      </c>
      <c r="H74" s="181" t="s">
        <v>543</v>
      </c>
      <c r="I74" s="162">
        <f>I73*10</f>
        <v>10</v>
      </c>
      <c r="J74" s="2" t="s">
        <v>56</v>
      </c>
      <c r="K74" s="8">
        <v>9</v>
      </c>
      <c r="L74" s="21">
        <f>L73*10</f>
        <v>25.599992455102189</v>
      </c>
      <c r="M74" s="37" t="str">
        <f>Q74&amp;";"&amp;S74&amp;U74&amp;W74&amp;Y74&amp;AA74&amp;AC74&amp;AE74&amp;AG74&amp;AI74&amp;AK74&amp;AM74&amp;AO74</f>
        <v>2;1724953X5</v>
      </c>
      <c r="N74" s="38">
        <f>N73+1</f>
        <v>1</v>
      </c>
      <c r="O74" s="61">
        <f t="shared" si="70"/>
        <v>2.1333327045918491</v>
      </c>
      <c r="P74" s="39" t="str">
        <f>INDEX(powers!$H$2:$H$75,33+N74)</f>
        <v>dozen</v>
      </c>
      <c r="Q74" s="40" t="str">
        <f t="shared" si="35"/>
        <v>2</v>
      </c>
      <c r="R74" s="24">
        <f>(O74-INT(O74))*12</f>
        <v>1.5999924551021891</v>
      </c>
      <c r="S74" s="41" t="str">
        <f t="shared" si="37"/>
        <v>1</v>
      </c>
      <c r="T74" s="24">
        <f>(R74-INT(R74))*12</f>
        <v>7.1999094612262695</v>
      </c>
      <c r="U74" s="41" t="str">
        <f t="shared" si="39"/>
        <v>7</v>
      </c>
      <c r="V74" s="24">
        <f>(T74-INT(T74))*12</f>
        <v>2.3989135347152342</v>
      </c>
      <c r="W74" s="41" t="str">
        <f t="shared" si="41"/>
        <v>2</v>
      </c>
      <c r="X74" s="24">
        <f>(V74-INT(V74))*12</f>
        <v>4.78696241658281</v>
      </c>
      <c r="Y74" s="41" t="str">
        <f t="shared" si="43"/>
        <v>4</v>
      </c>
      <c r="Z74" s="24">
        <f>(X74-INT(X74))*12</f>
        <v>9.4435489989937196</v>
      </c>
      <c r="AA74" s="41" t="str">
        <f t="shared" si="45"/>
        <v>9</v>
      </c>
      <c r="AB74" s="24">
        <f>(Z74-INT(Z74))*12</f>
        <v>5.3225879879246349</v>
      </c>
      <c r="AC74" s="41" t="str">
        <f t="shared" si="47"/>
        <v>5</v>
      </c>
      <c r="AD74" s="24">
        <f>(AB74-INT(AB74))*12</f>
        <v>3.8710558550956193</v>
      </c>
      <c r="AE74" s="41" t="str">
        <f t="shared" si="49"/>
        <v>3</v>
      </c>
      <c r="AF74" s="24">
        <f>(AD74-INT(AD74))*12</f>
        <v>10.452670261147432</v>
      </c>
      <c r="AG74" s="41" t="str">
        <f t="shared" si="51"/>
        <v>X</v>
      </c>
      <c r="AH74" s="24">
        <f>(AF74-INT(AF74))*12</f>
        <v>5.4320431337691844</v>
      </c>
      <c r="AI74" s="41" t="str">
        <f t="shared" si="53"/>
        <v>5</v>
      </c>
      <c r="AJ74" s="24">
        <f>(AH74-INT(AH74))*12</f>
        <v>5.1845176052302122</v>
      </c>
      <c r="AK74" s="41" t="str">
        <f t="shared" si="55"/>
        <v/>
      </c>
      <c r="AL74" s="24">
        <f>(AJ74-INT(AJ74))*12</f>
        <v>2.2142112627625465</v>
      </c>
      <c r="AM74" s="41" t="str">
        <f t="shared" si="57"/>
        <v/>
      </c>
      <c r="AN74" s="24">
        <f>(AL74-INT(AL74))*12</f>
        <v>2.5705351531505585</v>
      </c>
      <c r="AO74" s="41" t="str">
        <f t="shared" si="59"/>
        <v/>
      </c>
    </row>
    <row r="75" spans="1:41" ht="14.25" customHeight="1" x14ac:dyDescent="0.2">
      <c r="A75" s="602"/>
      <c r="B75" s="604"/>
      <c r="C75" s="173" t="s">
        <v>585</v>
      </c>
      <c r="D75" s="3" t="str">
        <f t="shared" si="222"/>
        <v>s</v>
      </c>
      <c r="E75" s="151">
        <f t="shared" ref="E75:E81" si="223">E74*12</f>
        <v>56.250016578149499</v>
      </c>
      <c r="F75" s="152">
        <v>0</v>
      </c>
      <c r="G75" s="153">
        <f t="shared" si="29"/>
        <v>56.250016578149499</v>
      </c>
      <c r="H75" s="181" t="s">
        <v>543</v>
      </c>
      <c r="I75" s="162">
        <f>I74*10</f>
        <v>100</v>
      </c>
      <c r="J75" s="2" t="s">
        <v>543</v>
      </c>
      <c r="K75" s="8">
        <v>9</v>
      </c>
      <c r="L75" s="21">
        <f>L74*10</f>
        <v>255.99992455102188</v>
      </c>
      <c r="M75" s="37" t="str">
        <f>Q75&amp;";"&amp;S75&amp;U75&amp;W75&amp;Y75&amp;AA75&amp;AC75&amp;AE75&amp;AG75&amp;AI75&amp;AK75&amp;AM75&amp;AO75</f>
        <v>1;93EEEX529</v>
      </c>
      <c r="N75" s="38">
        <f>N74+1</f>
        <v>2</v>
      </c>
      <c r="O75" s="61">
        <f t="shared" si="70"/>
        <v>1.7777772538265408</v>
      </c>
      <c r="P75" s="39" t="str">
        <f>INDEX(powers!$H$2:$H$75,33+N75)</f>
        <v>gross</v>
      </c>
      <c r="Q75" s="40" t="str">
        <f t="shared" si="35"/>
        <v>1</v>
      </c>
      <c r="R75" s="24">
        <f>(O75-INT(O75))*12</f>
        <v>9.3333270459184909</v>
      </c>
      <c r="S75" s="41" t="str">
        <f t="shared" si="37"/>
        <v>9</v>
      </c>
      <c r="T75" s="24">
        <f>(R75-INT(R75))*12</f>
        <v>3.9999245510218913</v>
      </c>
      <c r="U75" s="41" t="str">
        <f t="shared" si="39"/>
        <v>3</v>
      </c>
      <c r="V75" s="24">
        <f>(T75-INT(T75))*12</f>
        <v>11.999094612262695</v>
      </c>
      <c r="W75" s="41" t="str">
        <f t="shared" si="41"/>
        <v>E</v>
      </c>
      <c r="X75" s="24">
        <f>(V75-INT(V75))*12</f>
        <v>11.989135347152342</v>
      </c>
      <c r="Y75" s="41" t="str">
        <f t="shared" si="43"/>
        <v>E</v>
      </c>
      <c r="Z75" s="24">
        <f>(X75-INT(X75))*12</f>
        <v>11.8696241658281</v>
      </c>
      <c r="AA75" s="41" t="str">
        <f t="shared" si="45"/>
        <v>E</v>
      </c>
      <c r="AB75" s="24">
        <f>(Z75-INT(Z75))*12</f>
        <v>10.435489989937196</v>
      </c>
      <c r="AC75" s="41" t="str">
        <f t="shared" si="47"/>
        <v>X</v>
      </c>
      <c r="AD75" s="24">
        <f>(AB75-INT(AB75))*12</f>
        <v>5.2258798792463494</v>
      </c>
      <c r="AE75" s="41" t="str">
        <f t="shared" si="49"/>
        <v>5</v>
      </c>
      <c r="AF75" s="24">
        <f>(AD75-INT(AD75))*12</f>
        <v>2.7105585509561934</v>
      </c>
      <c r="AG75" s="41" t="str">
        <f t="shared" si="51"/>
        <v>2</v>
      </c>
      <c r="AH75" s="24">
        <f>(AF75-INT(AF75))*12</f>
        <v>8.5267026114743203</v>
      </c>
      <c r="AI75" s="41" t="str">
        <f t="shared" si="53"/>
        <v>9</v>
      </c>
      <c r="AJ75" s="24">
        <f>(AH75-INT(AH75))*12</f>
        <v>6.3204313376918435</v>
      </c>
      <c r="AK75" s="41" t="str">
        <f t="shared" si="55"/>
        <v/>
      </c>
      <c r="AL75" s="24">
        <f>(AJ75-INT(AJ75))*12</f>
        <v>3.8451760523021221</v>
      </c>
      <c r="AM75" s="41" t="str">
        <f t="shared" si="57"/>
        <v/>
      </c>
      <c r="AN75" s="24">
        <f>(AL75-INT(AL75))*12</f>
        <v>10.142112627625465</v>
      </c>
      <c r="AO75" s="41" t="str">
        <f t="shared" si="59"/>
        <v/>
      </c>
    </row>
    <row r="76" spans="1:41" ht="14.25" customHeight="1" x14ac:dyDescent="0.2">
      <c r="A76" s="602"/>
      <c r="B76" s="604"/>
      <c r="C76" s="190" t="s">
        <v>586</v>
      </c>
      <c r="D76" s="3" t="str">
        <f t="shared" si="222"/>
        <v>s</v>
      </c>
      <c r="E76" s="151">
        <f t="shared" si="223"/>
        <v>675.00019893779404</v>
      </c>
      <c r="F76" s="152">
        <v>0</v>
      </c>
      <c r="G76" s="153">
        <f t="shared" si="29"/>
        <v>675.00019893779404</v>
      </c>
      <c r="H76" s="181" t="s">
        <v>543</v>
      </c>
      <c r="I76" s="162">
        <f t="shared" ref="I76:I81" si="224">I75*10</f>
        <v>1000</v>
      </c>
      <c r="J76" s="2" t="s">
        <v>56</v>
      </c>
      <c r="K76" s="8">
        <v>9</v>
      </c>
      <c r="L76" s="21">
        <f t="shared" ref="L76:L81" si="225">L75*10</f>
        <v>2559.9992455102188</v>
      </c>
      <c r="M76" s="37" t="str">
        <f t="shared" ref="M76:M86" si="226">Q76&amp;";"&amp;S76&amp;U76&amp;W76&amp;Y76&amp;AA76&amp;AC76&amp;AE76&amp;AG76&amp;AI76&amp;AK76&amp;AM76&amp;AO76</f>
        <v>1;593EEX843</v>
      </c>
      <c r="N76" s="38">
        <f t="shared" ref="N76" si="227">N75+1</f>
        <v>3</v>
      </c>
      <c r="O76" s="61">
        <f t="shared" ref="O76:O90" si="228">L76/POWER(12,N76)</f>
        <v>1.4814810448554507</v>
      </c>
      <c r="P76" s="39" t="str">
        <f>INDEX(powers!$H$2:$H$75,33+N76)</f>
        <v>doz gross</v>
      </c>
      <c r="Q76" s="40" t="str">
        <f t="shared" si="35"/>
        <v>1</v>
      </c>
      <c r="R76" s="24">
        <f t="shared" ref="R76:R86" si="229">(O76-INT(O76))*12</f>
        <v>5.7777725382654088</v>
      </c>
      <c r="S76" s="41" t="str">
        <f t="shared" si="37"/>
        <v>5</v>
      </c>
      <c r="T76" s="24">
        <f t="shared" ref="T76:T86" si="230">(R76-INT(R76))*12</f>
        <v>9.3332704591849058</v>
      </c>
      <c r="U76" s="41" t="str">
        <f t="shared" si="39"/>
        <v>9</v>
      </c>
      <c r="V76" s="24">
        <f t="shared" ref="V76:V86" si="231">(T76-INT(T76))*12</f>
        <v>3.99924551021887</v>
      </c>
      <c r="W76" s="41" t="str">
        <f t="shared" si="41"/>
        <v>3</v>
      </c>
      <c r="X76" s="24">
        <f t="shared" ref="X76:X86" si="232">(V76-INT(V76))*12</f>
        <v>11.99094612262644</v>
      </c>
      <c r="Y76" s="41" t="str">
        <f t="shared" si="43"/>
        <v>E</v>
      </c>
      <c r="Z76" s="24">
        <f t="shared" ref="Z76:Z86" si="233">(X76-INT(X76))*12</f>
        <v>11.891353471517277</v>
      </c>
      <c r="AA76" s="41" t="str">
        <f t="shared" si="45"/>
        <v>E</v>
      </c>
      <c r="AB76" s="24">
        <f t="shared" ref="AB76:AB86" si="234">(Z76-INT(Z76))*12</f>
        <v>10.696241658207327</v>
      </c>
      <c r="AC76" s="41" t="str">
        <f t="shared" si="47"/>
        <v>X</v>
      </c>
      <c r="AD76" s="24">
        <f t="shared" ref="AD76:AD86" si="235">(AB76-INT(AB76))*12</f>
        <v>8.354899898487929</v>
      </c>
      <c r="AE76" s="41" t="str">
        <f t="shared" si="49"/>
        <v>8</v>
      </c>
      <c r="AF76" s="24">
        <f t="shared" ref="AF76:AF86" si="236">(AD76-INT(AD76))*12</f>
        <v>4.2587987818551483</v>
      </c>
      <c r="AG76" s="41" t="str">
        <f t="shared" si="51"/>
        <v>4</v>
      </c>
      <c r="AH76" s="24">
        <f t="shared" ref="AH76:AH86" si="237">(AF76-INT(AF76))*12</f>
        <v>3.1055853822617792</v>
      </c>
      <c r="AI76" s="41" t="str">
        <f t="shared" si="53"/>
        <v>3</v>
      </c>
      <c r="AJ76" s="24">
        <f t="shared" ref="AJ76:AJ86" si="238">(AH76-INT(AH76))*12</f>
        <v>1.2670245871413499</v>
      </c>
      <c r="AK76" s="41" t="str">
        <f t="shared" si="55"/>
        <v/>
      </c>
      <c r="AL76" s="24">
        <f t="shared" ref="AL76:AL86" si="239">(AJ76-INT(AJ76))*12</f>
        <v>3.2042950456961989</v>
      </c>
      <c r="AM76" s="41" t="str">
        <f t="shared" si="57"/>
        <v/>
      </c>
      <c r="AN76" s="24">
        <f t="shared" ref="AN76:AN86" si="240">(AL76-INT(AL76))*12</f>
        <v>2.4515405483543873</v>
      </c>
      <c r="AO76" s="41" t="str">
        <f t="shared" si="59"/>
        <v/>
      </c>
    </row>
    <row r="77" spans="1:41" ht="14.25" customHeight="1" x14ac:dyDescent="0.2">
      <c r="A77" s="602"/>
      <c r="B77" s="604"/>
      <c r="C77" s="190" t="s">
        <v>586</v>
      </c>
      <c r="D77" s="3" t="str">
        <f t="shared" si="222"/>
        <v>s</v>
      </c>
      <c r="E77" s="151">
        <f t="shared" si="223"/>
        <v>8100.0023872535285</v>
      </c>
      <c r="F77" s="152">
        <v>0</v>
      </c>
      <c r="G77" s="153">
        <f>G76/3600</f>
        <v>0.18750005526049834</v>
      </c>
      <c r="H77" s="181" t="s">
        <v>594</v>
      </c>
      <c r="I77" s="162">
        <v>1</v>
      </c>
      <c r="J77" s="2" t="s">
        <v>594</v>
      </c>
      <c r="K77" s="8">
        <v>9</v>
      </c>
      <c r="L77" s="21">
        <f>1/G77*POWER(12,3)</f>
        <v>9215.9972838367867</v>
      </c>
      <c r="M77" s="37" t="str">
        <f t="shared" ref="M77" si="241">Q77&amp;";"&amp;S77&amp;U77&amp;W77&amp;Y77&amp;AA77&amp;AC77&amp;AE77&amp;AG77&amp;AI77&amp;AK77&amp;AM77&amp;AO77</f>
        <v>5;3EEEE7382</v>
      </c>
      <c r="N77" s="38">
        <v>3</v>
      </c>
      <c r="O77" s="61">
        <f t="shared" ref="O77" si="242">L77/POWER(12,N77)</f>
        <v>5.3333317614796218</v>
      </c>
      <c r="P77" s="39" t="str">
        <f>INDEX(powers!$H$2:$H$75,33+N77)</f>
        <v>doz gross</v>
      </c>
      <c r="Q77" s="40" t="str">
        <f t="shared" ref="Q77" si="243">IF($K77&gt;=Q$23,MID($N$23,IF($K77&gt;Q$23,INT(O77),ROUND(O77,0))+1,1),"")</f>
        <v>5</v>
      </c>
      <c r="R77" s="24">
        <f t="shared" ref="R77" si="244">(O77-INT(O77))*12</f>
        <v>3.9999811377554622</v>
      </c>
      <c r="S77" s="41" t="str">
        <f t="shared" si="37"/>
        <v>3</v>
      </c>
      <c r="T77" s="24">
        <f t="shared" ref="T77" si="245">(R77-INT(R77))*12</f>
        <v>11.999773653065546</v>
      </c>
      <c r="U77" s="41" t="str">
        <f t="shared" si="39"/>
        <v>E</v>
      </c>
      <c r="V77" s="24">
        <f t="shared" ref="V77" si="246">(T77-INT(T77))*12</f>
        <v>11.997283836786551</v>
      </c>
      <c r="W77" s="41" t="str">
        <f t="shared" si="41"/>
        <v>E</v>
      </c>
      <c r="X77" s="24">
        <f t="shared" ref="X77" si="247">(V77-INT(V77))*12</f>
        <v>11.967406041438608</v>
      </c>
      <c r="Y77" s="41" t="str">
        <f t="shared" si="43"/>
        <v>E</v>
      </c>
      <c r="Z77" s="24">
        <f t="shared" ref="Z77" si="248">(X77-INT(X77))*12</f>
        <v>11.608872497263292</v>
      </c>
      <c r="AA77" s="41" t="str">
        <f t="shared" si="45"/>
        <v>E</v>
      </c>
      <c r="AB77" s="24">
        <f t="shared" ref="AB77" si="249">(Z77-INT(Z77))*12</f>
        <v>7.3064699671595008</v>
      </c>
      <c r="AC77" s="41" t="str">
        <f t="shared" si="47"/>
        <v>7</v>
      </c>
      <c r="AD77" s="24">
        <f t="shared" ref="AD77" si="250">(AB77-INT(AB77))*12</f>
        <v>3.6776396059140097</v>
      </c>
      <c r="AE77" s="41" t="str">
        <f t="shared" si="49"/>
        <v>3</v>
      </c>
      <c r="AF77" s="24">
        <f t="shared" ref="AF77" si="251">(AD77-INT(AD77))*12</f>
        <v>8.1316752709681168</v>
      </c>
      <c r="AG77" s="41" t="str">
        <f t="shared" si="51"/>
        <v>8</v>
      </c>
      <c r="AH77" s="24">
        <f t="shared" ref="AH77" si="252">(AF77-INT(AF77))*12</f>
        <v>1.5801032516174018</v>
      </c>
      <c r="AI77" s="41" t="str">
        <f t="shared" si="53"/>
        <v>2</v>
      </c>
      <c r="AJ77" s="24">
        <f t="shared" ref="AJ77" si="253">(AH77-INT(AH77))*12</f>
        <v>6.9612390194088221</v>
      </c>
      <c r="AK77" s="41" t="str">
        <f t="shared" si="55"/>
        <v/>
      </c>
      <c r="AL77" s="24">
        <f t="shared" ref="AL77" si="254">(AJ77-INT(AJ77))*12</f>
        <v>11.534868232905865</v>
      </c>
      <c r="AM77" s="41" t="str">
        <f t="shared" si="57"/>
        <v/>
      </c>
      <c r="AN77" s="24">
        <f t="shared" ref="AN77" si="255">(AL77-INT(AL77))*12</f>
        <v>6.4184187948703766</v>
      </c>
      <c r="AO77" s="41" t="str">
        <f t="shared" si="59"/>
        <v/>
      </c>
    </row>
    <row r="78" spans="1:41" ht="14.25" customHeight="1" x14ac:dyDescent="0.2">
      <c r="A78" s="602"/>
      <c r="B78" s="604"/>
      <c r="C78" s="188" t="s">
        <v>344</v>
      </c>
      <c r="D78" s="3" t="str">
        <f>D76</f>
        <v>s</v>
      </c>
      <c r="E78" s="151">
        <f>E76*12</f>
        <v>8100.0023872535285</v>
      </c>
      <c r="F78" s="152">
        <v>3</v>
      </c>
      <c r="G78" s="153">
        <f t="shared" si="29"/>
        <v>8.1000023872535287</v>
      </c>
      <c r="H78" s="181" t="s">
        <v>544</v>
      </c>
      <c r="I78" s="162">
        <f>I76*10</f>
        <v>10000</v>
      </c>
      <c r="J78" s="2" t="s">
        <v>56</v>
      </c>
      <c r="K78" s="8">
        <v>9</v>
      </c>
      <c r="L78" s="21">
        <f>L76*10</f>
        <v>25599.992455102187</v>
      </c>
      <c r="M78" s="37" t="str">
        <f t="shared" si="226"/>
        <v>1;2993EXXE7</v>
      </c>
      <c r="N78" s="38">
        <f>N76+1</f>
        <v>4</v>
      </c>
      <c r="O78" s="61">
        <f t="shared" si="228"/>
        <v>1.2345675373795422</v>
      </c>
      <c r="P78" s="39" t="str">
        <f>INDEX(powers!$H$2:$H$75,33+N78)</f>
        <v>hyper</v>
      </c>
      <c r="Q78" s="40" t="str">
        <f t="shared" si="35"/>
        <v>1</v>
      </c>
      <c r="R78" s="24">
        <f t="shared" si="229"/>
        <v>2.814810448554506</v>
      </c>
      <c r="S78" s="41" t="str">
        <f t="shared" si="37"/>
        <v>2</v>
      </c>
      <c r="T78" s="24">
        <f t="shared" si="230"/>
        <v>9.7777253826540722</v>
      </c>
      <c r="U78" s="41" t="str">
        <f t="shared" si="39"/>
        <v>9</v>
      </c>
      <c r="V78" s="24">
        <f t="shared" si="231"/>
        <v>9.3327045918488665</v>
      </c>
      <c r="W78" s="41" t="str">
        <f t="shared" si="41"/>
        <v>9</v>
      </c>
      <c r="X78" s="24">
        <f t="shared" si="232"/>
        <v>3.9924551021863977</v>
      </c>
      <c r="Y78" s="41" t="str">
        <f t="shared" si="43"/>
        <v>3</v>
      </c>
      <c r="Z78" s="24">
        <f t="shared" si="233"/>
        <v>11.909461226236772</v>
      </c>
      <c r="AA78" s="41" t="str">
        <f t="shared" si="45"/>
        <v>E</v>
      </c>
      <c r="AB78" s="24">
        <f t="shared" si="234"/>
        <v>10.913534714841262</v>
      </c>
      <c r="AC78" s="41" t="str">
        <f t="shared" si="47"/>
        <v>X</v>
      </c>
      <c r="AD78" s="24">
        <f t="shared" si="235"/>
        <v>10.962416578095144</v>
      </c>
      <c r="AE78" s="41" t="str">
        <f t="shared" si="49"/>
        <v>X</v>
      </c>
      <c r="AF78" s="24">
        <f t="shared" si="236"/>
        <v>11.548998937141732</v>
      </c>
      <c r="AG78" s="41" t="str">
        <f t="shared" si="51"/>
        <v>E</v>
      </c>
      <c r="AH78" s="24">
        <f t="shared" si="237"/>
        <v>6.5879872457007878</v>
      </c>
      <c r="AI78" s="41" t="str">
        <f t="shared" si="53"/>
        <v>7</v>
      </c>
      <c r="AJ78" s="24">
        <f t="shared" si="238"/>
        <v>7.055846948409453</v>
      </c>
      <c r="AK78" s="41" t="str">
        <f t="shared" si="55"/>
        <v/>
      </c>
      <c r="AL78" s="24">
        <f t="shared" si="239"/>
        <v>0.67016338091343641</v>
      </c>
      <c r="AM78" s="41" t="str">
        <f t="shared" si="57"/>
        <v/>
      </c>
      <c r="AN78" s="24">
        <f t="shared" si="240"/>
        <v>8.041960570961237</v>
      </c>
      <c r="AO78" s="41" t="str">
        <f t="shared" si="59"/>
        <v/>
      </c>
    </row>
    <row r="79" spans="1:41" ht="14.25" customHeight="1" x14ac:dyDescent="0.2">
      <c r="A79" s="602"/>
      <c r="B79" s="604"/>
      <c r="C79" s="188" t="s">
        <v>345</v>
      </c>
      <c r="D79" s="3" t="str">
        <f>D77</f>
        <v>s</v>
      </c>
      <c r="E79" s="151">
        <f>E80/86400</f>
        <v>1.1250003315629902</v>
      </c>
      <c r="F79" s="152">
        <v>0</v>
      </c>
      <c r="G79" s="153">
        <f t="shared" ref="G79" si="256">E79*POWER(10,-F79)</f>
        <v>1.1250003315629902</v>
      </c>
      <c r="H79" s="181" t="s">
        <v>595</v>
      </c>
      <c r="I79" s="162">
        <v>1</v>
      </c>
      <c r="J79" s="2" t="s">
        <v>595</v>
      </c>
      <c r="K79" s="8">
        <v>9</v>
      </c>
      <c r="L79" s="21">
        <f>1/G79*POWER(12,5)</f>
        <v>221183.93481208285</v>
      </c>
      <c r="M79" s="37" t="str">
        <f t="shared" ref="M79" si="257">Q79&amp;";"&amp;S79&amp;U79&amp;W79&amp;Y79&amp;AA79&amp;AC79&amp;AE79&amp;AG79&amp;AI79&amp;AK79&amp;AM79&amp;AO79</f>
        <v>X;7EEEE2743</v>
      </c>
      <c r="N79" s="38">
        <f>N77+1</f>
        <v>4</v>
      </c>
      <c r="O79" s="61">
        <f t="shared" ref="O79" si="258">L79/POWER(12,N79)</f>
        <v>10.666663522959242</v>
      </c>
      <c r="P79" s="39" t="str">
        <f>INDEX(powers!$H$2:$H$75,33+N79)</f>
        <v>hyper</v>
      </c>
      <c r="Q79" s="40" t="str">
        <f t="shared" ref="Q79" si="259">IF($K79&gt;=Q$23,MID($N$23,IF($K79&gt;Q$23,INT(O79),ROUND(O79,0))+1,1),"")</f>
        <v>X</v>
      </c>
      <c r="R79" s="24">
        <f t="shared" ref="R79" si="260">(O79-INT(O79))*12</f>
        <v>7.999962275510903</v>
      </c>
      <c r="S79" s="41" t="str">
        <f t="shared" si="37"/>
        <v>7</v>
      </c>
      <c r="T79" s="24">
        <f t="shared" ref="T79" si="261">(R79-INT(R79))*12</f>
        <v>11.999547306130836</v>
      </c>
      <c r="U79" s="41" t="str">
        <f t="shared" si="39"/>
        <v>E</v>
      </c>
      <c r="V79" s="24">
        <f t="shared" ref="V79" si="262">(T79-INT(T79))*12</f>
        <v>11.994567673570032</v>
      </c>
      <c r="W79" s="41" t="str">
        <f t="shared" si="41"/>
        <v>E</v>
      </c>
      <c r="X79" s="24">
        <f t="shared" ref="X79" si="263">(V79-INT(V79))*12</f>
        <v>11.934812082840381</v>
      </c>
      <c r="Y79" s="41" t="str">
        <f t="shared" si="43"/>
        <v>E</v>
      </c>
      <c r="Z79" s="24">
        <f t="shared" ref="Z79" si="264">(X79-INT(X79))*12</f>
        <v>11.217744994084569</v>
      </c>
      <c r="AA79" s="41" t="str">
        <f t="shared" si="45"/>
        <v>E</v>
      </c>
      <c r="AB79" s="24">
        <f t="shared" ref="AB79" si="265">(Z79-INT(Z79))*12</f>
        <v>2.6129399290148285</v>
      </c>
      <c r="AC79" s="41" t="str">
        <f t="shared" si="47"/>
        <v>2</v>
      </c>
      <c r="AD79" s="24">
        <f t="shared" ref="AD79" si="266">(AB79-INT(AB79))*12</f>
        <v>7.3552791481779423</v>
      </c>
      <c r="AE79" s="41" t="str">
        <f t="shared" si="49"/>
        <v>7</v>
      </c>
      <c r="AF79" s="24">
        <f t="shared" ref="AF79" si="267">(AD79-INT(AD79))*12</f>
        <v>4.2633497781353071</v>
      </c>
      <c r="AG79" s="41" t="str">
        <f t="shared" si="51"/>
        <v>4</v>
      </c>
      <c r="AH79" s="24">
        <f t="shared" ref="AH79" si="268">(AF79-INT(AF79))*12</f>
        <v>3.1601973376236856</v>
      </c>
      <c r="AI79" s="41" t="str">
        <f t="shared" si="53"/>
        <v>3</v>
      </c>
      <c r="AJ79" s="24">
        <f t="shared" ref="AJ79" si="269">(AH79-INT(AH79))*12</f>
        <v>1.9223680514842272</v>
      </c>
      <c r="AK79" s="41" t="str">
        <f t="shared" si="55"/>
        <v/>
      </c>
      <c r="AL79" s="24">
        <f t="shared" ref="AL79" si="270">(AJ79-INT(AJ79))*12</f>
        <v>11.068416617810726</v>
      </c>
      <c r="AM79" s="41" t="str">
        <f t="shared" si="57"/>
        <v/>
      </c>
      <c r="AN79" s="24">
        <f t="shared" ref="AN79" si="271">(AL79-INT(AL79))*12</f>
        <v>0.82099941372871399</v>
      </c>
      <c r="AO79" s="41" t="str">
        <f t="shared" si="59"/>
        <v/>
      </c>
    </row>
    <row r="80" spans="1:41" ht="14.25" customHeight="1" x14ac:dyDescent="0.2">
      <c r="A80" s="602"/>
      <c r="B80" s="604"/>
      <c r="C80" s="188" t="s">
        <v>345</v>
      </c>
      <c r="D80" s="3" t="str">
        <f>D78</f>
        <v>s</v>
      </c>
      <c r="E80" s="151">
        <f>E78*12</f>
        <v>97200.028647042345</v>
      </c>
      <c r="F80" s="152">
        <v>3</v>
      </c>
      <c r="G80" s="153">
        <f t="shared" si="29"/>
        <v>97.200028647042345</v>
      </c>
      <c r="H80" s="181" t="s">
        <v>544</v>
      </c>
      <c r="I80" s="162">
        <f>I78*10</f>
        <v>100000</v>
      </c>
      <c r="J80" s="2" t="s">
        <v>543</v>
      </c>
      <c r="K80" s="8">
        <v>9</v>
      </c>
      <c r="L80" s="21">
        <f>L78*10</f>
        <v>255999.92455102186</v>
      </c>
      <c r="M80" s="37" t="str">
        <f t="shared" si="226"/>
        <v>1;04193E117</v>
      </c>
      <c r="N80" s="38">
        <f>N78+1</f>
        <v>5</v>
      </c>
      <c r="O80" s="61">
        <f t="shared" si="228"/>
        <v>1.0288062811496184</v>
      </c>
      <c r="P80" s="39" t="str">
        <f>INDEX(powers!$H$2:$H$75,33+N80)</f>
        <v>terno cosmic</v>
      </c>
      <c r="Q80" s="40" t="str">
        <f t="shared" si="35"/>
        <v>1</v>
      </c>
      <c r="R80" s="24">
        <f t="shared" si="229"/>
        <v>0.34567537379542035</v>
      </c>
      <c r="S80" s="41" t="str">
        <f t="shared" si="37"/>
        <v>0</v>
      </c>
      <c r="T80" s="24">
        <f t="shared" si="230"/>
        <v>4.1481044855450442</v>
      </c>
      <c r="U80" s="41" t="str">
        <f t="shared" si="39"/>
        <v>4</v>
      </c>
      <c r="V80" s="24">
        <f t="shared" si="231"/>
        <v>1.7772538265405302</v>
      </c>
      <c r="W80" s="41" t="str">
        <f t="shared" si="41"/>
        <v>1</v>
      </c>
      <c r="X80" s="24">
        <f t="shared" si="232"/>
        <v>9.3270459184863626</v>
      </c>
      <c r="Y80" s="41" t="str">
        <f t="shared" si="43"/>
        <v>9</v>
      </c>
      <c r="Z80" s="24">
        <f t="shared" si="233"/>
        <v>3.9245510218363506</v>
      </c>
      <c r="AA80" s="41" t="str">
        <f t="shared" si="45"/>
        <v>3</v>
      </c>
      <c r="AB80" s="24">
        <f t="shared" si="234"/>
        <v>11.094612262036208</v>
      </c>
      <c r="AC80" s="41" t="str">
        <f t="shared" si="47"/>
        <v>E</v>
      </c>
      <c r="AD80" s="24">
        <f t="shared" si="235"/>
        <v>1.1353471444344905</v>
      </c>
      <c r="AE80" s="41" t="str">
        <f t="shared" si="49"/>
        <v>1</v>
      </c>
      <c r="AF80" s="24">
        <f t="shared" si="236"/>
        <v>1.6241657332138857</v>
      </c>
      <c r="AG80" s="41" t="str">
        <f t="shared" si="51"/>
        <v>1</v>
      </c>
      <c r="AH80" s="24">
        <f t="shared" si="237"/>
        <v>7.4899887985666282</v>
      </c>
      <c r="AI80" s="41" t="str">
        <f t="shared" si="53"/>
        <v>7</v>
      </c>
      <c r="AJ80" s="24">
        <f t="shared" si="238"/>
        <v>5.879865582799539</v>
      </c>
      <c r="AK80" s="41" t="str">
        <f t="shared" si="55"/>
        <v/>
      </c>
      <c r="AL80" s="24">
        <f t="shared" si="239"/>
        <v>10.558386993594468</v>
      </c>
      <c r="AM80" s="41" t="str">
        <f t="shared" si="57"/>
        <v/>
      </c>
      <c r="AN80" s="24">
        <f t="shared" si="240"/>
        <v>6.7006439231336117</v>
      </c>
      <c r="AO80" s="41" t="str">
        <f t="shared" si="59"/>
        <v/>
      </c>
    </row>
    <row r="81" spans="1:41" ht="14.25" customHeight="1" thickBot="1" x14ac:dyDescent="0.25">
      <c r="A81" s="602"/>
      <c r="B81" s="605"/>
      <c r="C81" s="189" t="s">
        <v>346</v>
      </c>
      <c r="D81" s="3" t="str">
        <f t="shared" si="222"/>
        <v>s</v>
      </c>
      <c r="E81" s="175">
        <f t="shared" si="223"/>
        <v>1166400.3437645081</v>
      </c>
      <c r="F81" s="182">
        <v>6</v>
      </c>
      <c r="G81" s="183">
        <f t="shared" si="29"/>
        <v>1.1664003437645081</v>
      </c>
      <c r="H81" s="184" t="s">
        <v>545</v>
      </c>
      <c r="I81" s="162">
        <f t="shared" si="224"/>
        <v>1000000</v>
      </c>
      <c r="J81" s="2" t="s">
        <v>56</v>
      </c>
      <c r="K81" s="8">
        <v>9</v>
      </c>
      <c r="L81" s="21">
        <f t="shared" si="225"/>
        <v>2559999.2455102187</v>
      </c>
      <c r="M81" s="37" t="str">
        <f t="shared" si="226"/>
        <v>X;355932E43</v>
      </c>
      <c r="N81" s="38">
        <v>5</v>
      </c>
      <c r="O81" s="61">
        <f t="shared" si="228"/>
        <v>10.288062811496184</v>
      </c>
      <c r="P81" s="39" t="str">
        <f>INDEX(powers!$H$2:$H$75,33+N81)</f>
        <v>terno cosmic</v>
      </c>
      <c r="Q81" s="40" t="str">
        <f t="shared" si="35"/>
        <v>X</v>
      </c>
      <c r="R81" s="24">
        <f t="shared" si="229"/>
        <v>3.4567537379542088</v>
      </c>
      <c r="S81" s="41" t="str">
        <f t="shared" si="37"/>
        <v>3</v>
      </c>
      <c r="T81" s="24">
        <f t="shared" si="230"/>
        <v>5.4810448554505058</v>
      </c>
      <c r="U81" s="41" t="str">
        <f t="shared" si="39"/>
        <v>5</v>
      </c>
      <c r="V81" s="24">
        <f t="shared" si="231"/>
        <v>5.7725382654060695</v>
      </c>
      <c r="W81" s="41" t="str">
        <f t="shared" si="41"/>
        <v>5</v>
      </c>
      <c r="X81" s="24">
        <f t="shared" si="232"/>
        <v>9.2704591848728342</v>
      </c>
      <c r="Y81" s="41" t="str">
        <f t="shared" si="43"/>
        <v>9</v>
      </c>
      <c r="Z81" s="24">
        <f t="shared" si="233"/>
        <v>3.2455102184740099</v>
      </c>
      <c r="AA81" s="41" t="str">
        <f t="shared" si="45"/>
        <v>3</v>
      </c>
      <c r="AB81" s="24">
        <f t="shared" si="234"/>
        <v>2.9461226216881187</v>
      </c>
      <c r="AC81" s="41" t="str">
        <f t="shared" si="47"/>
        <v>2</v>
      </c>
      <c r="AD81" s="24">
        <f t="shared" si="235"/>
        <v>11.353471460257424</v>
      </c>
      <c r="AE81" s="41" t="str">
        <f t="shared" si="49"/>
        <v>E</v>
      </c>
      <c r="AF81" s="24">
        <f t="shared" si="236"/>
        <v>4.2416575230890885</v>
      </c>
      <c r="AG81" s="41" t="str">
        <f t="shared" si="51"/>
        <v>4</v>
      </c>
      <c r="AH81" s="24">
        <f t="shared" si="237"/>
        <v>2.899890277069062</v>
      </c>
      <c r="AI81" s="41" t="str">
        <f t="shared" si="53"/>
        <v>3</v>
      </c>
      <c r="AJ81" s="24">
        <f t="shared" si="238"/>
        <v>10.798683324828744</v>
      </c>
      <c r="AK81" s="41" t="str">
        <f t="shared" si="55"/>
        <v/>
      </c>
      <c r="AL81" s="24">
        <f t="shared" si="239"/>
        <v>9.5841998979449272</v>
      </c>
      <c r="AM81" s="41" t="str">
        <f t="shared" si="57"/>
        <v/>
      </c>
      <c r="AN81" s="24">
        <f t="shared" si="240"/>
        <v>7.0103987753391266</v>
      </c>
      <c r="AO81" s="41" t="str">
        <f t="shared" si="59"/>
        <v/>
      </c>
    </row>
    <row r="82" spans="1:41" ht="14.25" customHeight="1" x14ac:dyDescent="0.2">
      <c r="A82" s="602"/>
      <c r="B82" s="606" t="s">
        <v>571</v>
      </c>
      <c r="C82" s="165" t="s">
        <v>537</v>
      </c>
      <c r="D82" s="205" t="s">
        <v>548</v>
      </c>
      <c r="E82" s="148">
        <f t="shared" ref="E82:E86" si="272">E83/12</f>
        <v>4.4149362248627202E-8</v>
      </c>
      <c r="F82" s="185">
        <v>-9</v>
      </c>
      <c r="G82" s="186">
        <f t="shared" si="29"/>
        <v>44.149362248627199</v>
      </c>
      <c r="H82" s="187" t="s">
        <v>549</v>
      </c>
      <c r="I82" s="179">
        <f t="shared" ref="I82:I86" si="273">I83/10</f>
        <v>1.0000000000000002E-6</v>
      </c>
      <c r="J82" s="144" t="s">
        <v>61</v>
      </c>
      <c r="K82" s="143">
        <v>9</v>
      </c>
      <c r="L82" s="142">
        <f t="shared" ref="L82:L86" si="274">L83/10</f>
        <v>7.5855677097758639E-6</v>
      </c>
      <c r="M82" s="145" t="str">
        <f t="shared" si="226"/>
        <v>1;X797X437E</v>
      </c>
      <c r="N82" s="146">
        <f t="shared" ref="N82:N86" si="275">N83-1</f>
        <v>-5</v>
      </c>
      <c r="O82" s="154">
        <f t="shared" si="228"/>
        <v>1.8875319843589475</v>
      </c>
      <c r="P82" s="147" t="str">
        <f>INDEX(powers!$H$2:$H$75,33+N82)</f>
        <v>doz gross atomic</v>
      </c>
      <c r="Q82" s="40" t="str">
        <f t="shared" si="35"/>
        <v>1</v>
      </c>
      <c r="R82" s="24">
        <f t="shared" si="229"/>
        <v>10.650383812307371</v>
      </c>
      <c r="S82" s="41" t="str">
        <f t="shared" si="37"/>
        <v>X</v>
      </c>
      <c r="T82" s="24">
        <f t="shared" si="230"/>
        <v>7.8046057476884556</v>
      </c>
      <c r="U82" s="41" t="str">
        <f t="shared" si="39"/>
        <v>7</v>
      </c>
      <c r="V82" s="24">
        <f t="shared" si="231"/>
        <v>9.6552689722614673</v>
      </c>
      <c r="W82" s="41" t="str">
        <f t="shared" si="41"/>
        <v>9</v>
      </c>
      <c r="X82" s="24">
        <f t="shared" si="232"/>
        <v>7.8632276671376076</v>
      </c>
      <c r="Y82" s="41" t="str">
        <f t="shared" si="43"/>
        <v>7</v>
      </c>
      <c r="Z82" s="24">
        <f t="shared" si="233"/>
        <v>10.358732005651291</v>
      </c>
      <c r="AA82" s="41" t="str">
        <f t="shared" si="45"/>
        <v>X</v>
      </c>
      <c r="AB82" s="24">
        <f t="shared" si="234"/>
        <v>4.3047840678154898</v>
      </c>
      <c r="AC82" s="41" t="str">
        <f t="shared" si="47"/>
        <v>4</v>
      </c>
      <c r="AD82" s="24">
        <f t="shared" si="235"/>
        <v>3.657408813785878</v>
      </c>
      <c r="AE82" s="41" t="str">
        <f t="shared" si="49"/>
        <v>3</v>
      </c>
      <c r="AF82" s="24">
        <f t="shared" si="236"/>
        <v>7.8889057654305361</v>
      </c>
      <c r="AG82" s="41" t="str">
        <f t="shared" si="51"/>
        <v>7</v>
      </c>
      <c r="AH82" s="24">
        <f t="shared" si="237"/>
        <v>10.666869185166433</v>
      </c>
      <c r="AI82" s="41" t="str">
        <f t="shared" si="53"/>
        <v>E</v>
      </c>
      <c r="AJ82" s="24">
        <f t="shared" si="238"/>
        <v>8.0024302219972014</v>
      </c>
      <c r="AK82" s="41" t="str">
        <f t="shared" si="55"/>
        <v/>
      </c>
      <c r="AL82" s="24">
        <f t="shared" si="239"/>
        <v>2.9162663966417313E-2</v>
      </c>
      <c r="AM82" s="41" t="str">
        <f t="shared" si="57"/>
        <v/>
      </c>
      <c r="AN82" s="24">
        <f t="shared" si="240"/>
        <v>0.34995196759700775</v>
      </c>
      <c r="AO82" s="41" t="str">
        <f t="shared" si="59"/>
        <v/>
      </c>
    </row>
    <row r="83" spans="1:41" ht="14.25" customHeight="1" x14ac:dyDescent="0.2">
      <c r="A83" s="602"/>
      <c r="B83" s="604"/>
      <c r="C83" s="168" t="s">
        <v>538</v>
      </c>
      <c r="D83" s="3" t="str">
        <f>D82</f>
        <v>g</v>
      </c>
      <c r="E83" s="151">
        <f t="shared" si="272"/>
        <v>5.2979234698352645E-7</v>
      </c>
      <c r="F83" s="15">
        <v>-9</v>
      </c>
      <c r="G83" s="166">
        <f t="shared" si="29"/>
        <v>529.7923469835265</v>
      </c>
      <c r="H83" s="167" t="s">
        <v>549</v>
      </c>
      <c r="I83" s="157">
        <f t="shared" si="273"/>
        <v>1.0000000000000001E-5</v>
      </c>
      <c r="J83" s="2" t="s">
        <v>61</v>
      </c>
      <c r="K83" s="8">
        <v>9</v>
      </c>
      <c r="L83" s="21">
        <f t="shared" si="274"/>
        <v>7.5855677097758637E-5</v>
      </c>
      <c r="M83" s="37" t="str">
        <f t="shared" si="226"/>
        <v>1;6X6067707</v>
      </c>
      <c r="N83" s="38">
        <f t="shared" si="275"/>
        <v>-4</v>
      </c>
      <c r="O83" s="61">
        <f t="shared" si="228"/>
        <v>1.5729433202991232</v>
      </c>
      <c r="P83" s="39" t="str">
        <f>INDEX(powers!$H$2:$H$75,33+N83)</f>
        <v>sub</v>
      </c>
      <c r="Q83" s="40" t="str">
        <f t="shared" si="35"/>
        <v>1</v>
      </c>
      <c r="R83" s="24">
        <f t="shared" si="229"/>
        <v>6.8753198435894785</v>
      </c>
      <c r="S83" s="41" t="str">
        <f t="shared" si="37"/>
        <v>6</v>
      </c>
      <c r="T83" s="24">
        <f t="shared" si="230"/>
        <v>10.503838123073741</v>
      </c>
      <c r="U83" s="41" t="str">
        <f t="shared" si="39"/>
        <v>X</v>
      </c>
      <c r="V83" s="24">
        <f t="shared" si="231"/>
        <v>6.0460574768848971</v>
      </c>
      <c r="W83" s="41" t="str">
        <f t="shared" si="41"/>
        <v>6</v>
      </c>
      <c r="X83" s="24">
        <f t="shared" si="232"/>
        <v>0.5526897226187657</v>
      </c>
      <c r="Y83" s="41" t="str">
        <f t="shared" si="43"/>
        <v>0</v>
      </c>
      <c r="Z83" s="24">
        <f t="shared" si="233"/>
        <v>6.6322766714251884</v>
      </c>
      <c r="AA83" s="41" t="str">
        <f t="shared" si="45"/>
        <v>6</v>
      </c>
      <c r="AB83" s="24">
        <f t="shared" si="234"/>
        <v>7.5873200571022608</v>
      </c>
      <c r="AC83" s="41" t="str">
        <f t="shared" si="47"/>
        <v>7</v>
      </c>
      <c r="AD83" s="24">
        <f t="shared" si="235"/>
        <v>7.0478406852271291</v>
      </c>
      <c r="AE83" s="41" t="str">
        <f t="shared" si="49"/>
        <v>7</v>
      </c>
      <c r="AF83" s="24">
        <f t="shared" si="236"/>
        <v>0.57408822272554971</v>
      </c>
      <c r="AG83" s="41" t="str">
        <f t="shared" si="51"/>
        <v>0</v>
      </c>
      <c r="AH83" s="24">
        <f t="shared" si="237"/>
        <v>6.8890586727065966</v>
      </c>
      <c r="AI83" s="41" t="str">
        <f t="shared" si="53"/>
        <v>7</v>
      </c>
      <c r="AJ83" s="24">
        <f t="shared" si="238"/>
        <v>10.668704072479159</v>
      </c>
      <c r="AK83" s="41" t="str">
        <f t="shared" si="55"/>
        <v/>
      </c>
      <c r="AL83" s="24">
        <f t="shared" si="239"/>
        <v>8.0244488697499037</v>
      </c>
      <c r="AM83" s="41" t="str">
        <f t="shared" si="57"/>
        <v/>
      </c>
      <c r="AN83" s="24">
        <f t="shared" si="240"/>
        <v>0.29338643699884415</v>
      </c>
      <c r="AO83" s="41" t="str">
        <f t="shared" si="59"/>
        <v/>
      </c>
    </row>
    <row r="84" spans="1:41" ht="14.25" customHeight="1" x14ac:dyDescent="0.2">
      <c r="A84" s="602"/>
      <c r="B84" s="604"/>
      <c r="C84" s="169" t="s">
        <v>539</v>
      </c>
      <c r="D84" s="3" t="str">
        <f t="shared" ref="D84:D94" si="276">D83</f>
        <v>g</v>
      </c>
      <c r="E84" s="151">
        <f t="shared" si="272"/>
        <v>6.3575081638023178E-6</v>
      </c>
      <c r="F84" s="15">
        <v>-6</v>
      </c>
      <c r="G84" s="166">
        <f t="shared" si="29"/>
        <v>6.3575081638023176</v>
      </c>
      <c r="H84" s="167" t="s">
        <v>550</v>
      </c>
      <c r="I84" s="158">
        <f t="shared" si="273"/>
        <v>1E-4</v>
      </c>
      <c r="J84" s="2" t="s">
        <v>61</v>
      </c>
      <c r="K84" s="8">
        <v>9</v>
      </c>
      <c r="L84" s="21">
        <f t="shared" si="274"/>
        <v>7.5855677097758643E-4</v>
      </c>
      <c r="M84" s="37" t="str">
        <f t="shared" si="226"/>
        <v>1;3890563X6</v>
      </c>
      <c r="N84" s="38">
        <f t="shared" si="275"/>
        <v>-3</v>
      </c>
      <c r="O84" s="61">
        <f t="shared" si="228"/>
        <v>1.3107861002492693</v>
      </c>
      <c r="P84" s="39" t="str">
        <f>INDEX(powers!$H$2:$H$75,33+N84)</f>
        <v>terno</v>
      </c>
      <c r="Q84" s="40" t="str">
        <f t="shared" si="35"/>
        <v>1</v>
      </c>
      <c r="R84" s="24">
        <f t="shared" si="229"/>
        <v>3.729433202991232</v>
      </c>
      <c r="S84" s="41" t="str">
        <f t="shared" si="37"/>
        <v>3</v>
      </c>
      <c r="T84" s="24">
        <f t="shared" si="230"/>
        <v>8.7531984358947845</v>
      </c>
      <c r="U84" s="41" t="str">
        <f t="shared" si="39"/>
        <v>8</v>
      </c>
      <c r="V84" s="24">
        <f t="shared" si="231"/>
        <v>9.0383812307374143</v>
      </c>
      <c r="W84" s="41" t="str">
        <f t="shared" si="41"/>
        <v>9</v>
      </c>
      <c r="X84" s="24">
        <f t="shared" si="232"/>
        <v>0.46057476884897142</v>
      </c>
      <c r="Y84" s="41" t="str">
        <f t="shared" si="43"/>
        <v>0</v>
      </c>
      <c r="Z84" s="24">
        <f t="shared" si="233"/>
        <v>5.526897226187657</v>
      </c>
      <c r="AA84" s="41" t="str">
        <f t="shared" si="45"/>
        <v>5</v>
      </c>
      <c r="AB84" s="24">
        <f t="shared" si="234"/>
        <v>6.322766714251884</v>
      </c>
      <c r="AC84" s="41" t="str">
        <f t="shared" si="47"/>
        <v>6</v>
      </c>
      <c r="AD84" s="24">
        <f t="shared" si="235"/>
        <v>3.8732005710226076</v>
      </c>
      <c r="AE84" s="41" t="str">
        <f t="shared" si="49"/>
        <v>3</v>
      </c>
      <c r="AF84" s="24">
        <f t="shared" si="236"/>
        <v>10.478406852271291</v>
      </c>
      <c r="AG84" s="41" t="str">
        <f t="shared" si="51"/>
        <v>X</v>
      </c>
      <c r="AH84" s="24">
        <f t="shared" si="237"/>
        <v>5.7408822272554971</v>
      </c>
      <c r="AI84" s="41" t="str">
        <f t="shared" si="53"/>
        <v>6</v>
      </c>
      <c r="AJ84" s="24">
        <f t="shared" si="238"/>
        <v>8.8905867270659655</v>
      </c>
      <c r="AK84" s="41" t="str">
        <f t="shared" si="55"/>
        <v/>
      </c>
      <c r="AL84" s="24">
        <f t="shared" si="239"/>
        <v>10.687040724791586</v>
      </c>
      <c r="AM84" s="41" t="str">
        <f t="shared" si="57"/>
        <v/>
      </c>
      <c r="AN84" s="24">
        <f t="shared" si="240"/>
        <v>8.2444886974990368</v>
      </c>
      <c r="AO84" s="41" t="str">
        <f t="shared" si="59"/>
        <v/>
      </c>
    </row>
    <row r="85" spans="1:41" ht="14.25" customHeight="1" x14ac:dyDescent="0.2">
      <c r="A85" s="602"/>
      <c r="B85" s="604"/>
      <c r="C85" s="170" t="s">
        <v>540</v>
      </c>
      <c r="D85" s="3" t="str">
        <f t="shared" si="276"/>
        <v>g</v>
      </c>
      <c r="E85" s="151">
        <f t="shared" si="272"/>
        <v>7.6290097965627814E-5</v>
      </c>
      <c r="F85" s="15">
        <v>-6</v>
      </c>
      <c r="G85" s="166">
        <f t="shared" si="29"/>
        <v>76.290097965627808</v>
      </c>
      <c r="H85" s="167" t="s">
        <v>550</v>
      </c>
      <c r="I85" s="159">
        <f t="shared" si="273"/>
        <v>1E-3</v>
      </c>
      <c r="J85" s="2" t="s">
        <v>61</v>
      </c>
      <c r="K85" s="8">
        <v>9</v>
      </c>
      <c r="L85" s="21">
        <f t="shared" si="274"/>
        <v>7.5855677097758645E-3</v>
      </c>
      <c r="M85" s="37" t="str">
        <f t="shared" si="226"/>
        <v>1;113647329</v>
      </c>
      <c r="N85" s="38">
        <v>-2</v>
      </c>
      <c r="O85" s="61">
        <f t="shared" si="228"/>
        <v>1.0923217502077245</v>
      </c>
      <c r="P85" s="39" t="str">
        <f>INDEX(powers!$H$2:$H$75,33+N85)</f>
        <v>dino</v>
      </c>
      <c r="Q85" s="40" t="str">
        <f t="shared" si="35"/>
        <v>1</v>
      </c>
      <c r="R85" s="24">
        <f t="shared" si="229"/>
        <v>1.1078610024926938</v>
      </c>
      <c r="S85" s="41" t="str">
        <f t="shared" si="37"/>
        <v>1</v>
      </c>
      <c r="T85" s="24">
        <f t="shared" si="230"/>
        <v>1.2943320299123258</v>
      </c>
      <c r="U85" s="41" t="str">
        <f t="shared" si="39"/>
        <v>1</v>
      </c>
      <c r="V85" s="24">
        <f t="shared" si="231"/>
        <v>3.5319843589479092</v>
      </c>
      <c r="W85" s="41" t="str">
        <f t="shared" si="41"/>
        <v>3</v>
      </c>
      <c r="X85" s="24">
        <f t="shared" si="232"/>
        <v>6.3838123073749102</v>
      </c>
      <c r="Y85" s="41" t="str">
        <f t="shared" si="43"/>
        <v>6</v>
      </c>
      <c r="Z85" s="24">
        <f t="shared" si="233"/>
        <v>4.6057476884989228</v>
      </c>
      <c r="AA85" s="41" t="str">
        <f t="shared" si="45"/>
        <v>4</v>
      </c>
      <c r="AB85" s="24">
        <f t="shared" si="234"/>
        <v>7.2689722619870736</v>
      </c>
      <c r="AC85" s="41" t="str">
        <f t="shared" si="47"/>
        <v>7</v>
      </c>
      <c r="AD85" s="24">
        <f t="shared" si="235"/>
        <v>3.227667143844883</v>
      </c>
      <c r="AE85" s="41" t="str">
        <f t="shared" si="49"/>
        <v>3</v>
      </c>
      <c r="AF85" s="24">
        <f t="shared" si="236"/>
        <v>2.7320057261385955</v>
      </c>
      <c r="AG85" s="41" t="str">
        <f t="shared" si="51"/>
        <v>2</v>
      </c>
      <c r="AH85" s="24">
        <f t="shared" si="237"/>
        <v>8.7840687136631459</v>
      </c>
      <c r="AI85" s="41" t="str">
        <f t="shared" si="53"/>
        <v>9</v>
      </c>
      <c r="AJ85" s="24">
        <f t="shared" si="238"/>
        <v>9.4088245639577508</v>
      </c>
      <c r="AK85" s="41" t="str">
        <f t="shared" si="55"/>
        <v/>
      </c>
      <c r="AL85" s="24">
        <f t="shared" si="239"/>
        <v>4.9058947674930096</v>
      </c>
      <c r="AM85" s="41" t="str">
        <f t="shared" si="57"/>
        <v/>
      </c>
      <c r="AN85" s="24">
        <f t="shared" si="240"/>
        <v>10.870737209916115</v>
      </c>
      <c r="AO85" s="41" t="str">
        <f t="shared" si="59"/>
        <v/>
      </c>
    </row>
    <row r="86" spans="1:41" ht="14.25" customHeight="1" x14ac:dyDescent="0.2">
      <c r="A86" s="602"/>
      <c r="B86" s="604"/>
      <c r="C86" s="171" t="s">
        <v>541</v>
      </c>
      <c r="D86" s="3" t="str">
        <f t="shared" si="276"/>
        <v>g</v>
      </c>
      <c r="E86" s="151">
        <f t="shared" si="272"/>
        <v>9.1548117558753377E-4</v>
      </c>
      <c r="F86" s="15">
        <v>-6</v>
      </c>
      <c r="G86" s="166">
        <f t="shared" si="29"/>
        <v>915.48117558753381</v>
      </c>
      <c r="H86" s="167" t="s">
        <v>550</v>
      </c>
      <c r="I86" s="160">
        <f t="shared" si="273"/>
        <v>0.01</v>
      </c>
      <c r="J86" s="2" t="s">
        <v>61</v>
      </c>
      <c r="K86" s="8">
        <v>9</v>
      </c>
      <c r="L86" s="21">
        <f t="shared" si="274"/>
        <v>7.5855677097758645E-2</v>
      </c>
      <c r="M86" s="37" t="str">
        <f t="shared" si="226"/>
        <v>X;E0E3X0834</v>
      </c>
      <c r="N86" s="38">
        <f t="shared" si="275"/>
        <v>-2</v>
      </c>
      <c r="O86" s="61">
        <f t="shared" si="228"/>
        <v>10.923217502077245</v>
      </c>
      <c r="P86" s="39" t="str">
        <f>INDEX(powers!$H$2:$H$75,33+N86)</f>
        <v>dino</v>
      </c>
      <c r="Q86" s="40" t="str">
        <f t="shared" si="35"/>
        <v>X</v>
      </c>
      <c r="R86" s="24">
        <f t="shared" si="229"/>
        <v>11.078610024926938</v>
      </c>
      <c r="S86" s="41" t="str">
        <f t="shared" si="37"/>
        <v>E</v>
      </c>
      <c r="T86" s="24">
        <f t="shared" si="230"/>
        <v>0.94332029912325766</v>
      </c>
      <c r="U86" s="41" t="str">
        <f t="shared" si="39"/>
        <v>0</v>
      </c>
      <c r="V86" s="24">
        <f t="shared" si="231"/>
        <v>11.319843589479092</v>
      </c>
      <c r="W86" s="41" t="str">
        <f t="shared" si="41"/>
        <v>E</v>
      </c>
      <c r="X86" s="24">
        <f t="shared" si="232"/>
        <v>3.8381230737491023</v>
      </c>
      <c r="Y86" s="41" t="str">
        <f t="shared" si="43"/>
        <v>3</v>
      </c>
      <c r="Z86" s="24">
        <f t="shared" si="233"/>
        <v>10.057476884989228</v>
      </c>
      <c r="AA86" s="41" t="str">
        <f t="shared" si="45"/>
        <v>X</v>
      </c>
      <c r="AB86" s="24">
        <f t="shared" si="234"/>
        <v>0.6897226198707358</v>
      </c>
      <c r="AC86" s="41" t="str">
        <f t="shared" si="47"/>
        <v>0</v>
      </c>
      <c r="AD86" s="24">
        <f t="shared" si="235"/>
        <v>8.2766714384488296</v>
      </c>
      <c r="AE86" s="41" t="str">
        <f t="shared" si="49"/>
        <v>8</v>
      </c>
      <c r="AF86" s="24">
        <f t="shared" si="236"/>
        <v>3.3200572613859549</v>
      </c>
      <c r="AG86" s="41" t="str">
        <f t="shared" si="51"/>
        <v>3</v>
      </c>
      <c r="AH86" s="24">
        <f t="shared" si="237"/>
        <v>3.840687136631459</v>
      </c>
      <c r="AI86" s="41" t="str">
        <f t="shared" si="53"/>
        <v>4</v>
      </c>
      <c r="AJ86" s="24">
        <f t="shared" si="238"/>
        <v>10.088245639577508</v>
      </c>
      <c r="AK86" s="41" t="str">
        <f t="shared" si="55"/>
        <v/>
      </c>
      <c r="AL86" s="24">
        <f t="shared" si="239"/>
        <v>1.0589476749300957</v>
      </c>
      <c r="AM86" s="41" t="str">
        <f t="shared" si="57"/>
        <v/>
      </c>
      <c r="AN86" s="24">
        <f t="shared" si="240"/>
        <v>0.70737209916114807</v>
      </c>
      <c r="AO86" s="41" t="str">
        <f t="shared" si="59"/>
        <v/>
      </c>
    </row>
    <row r="87" spans="1:41" ht="14.25" customHeight="1" x14ac:dyDescent="0.2">
      <c r="A87" s="602"/>
      <c r="B87" s="604"/>
      <c r="C87" s="172" t="s">
        <v>542</v>
      </c>
      <c r="D87" s="3" t="str">
        <f t="shared" si="276"/>
        <v>g</v>
      </c>
      <c r="E87" s="151">
        <f>E88/12</f>
        <v>1.0985774107050405E-2</v>
      </c>
      <c r="F87" s="15">
        <v>-3</v>
      </c>
      <c r="G87" s="166">
        <f t="shared" si="29"/>
        <v>10.985774107050405</v>
      </c>
      <c r="H87" s="167" t="s">
        <v>548</v>
      </c>
      <c r="I87" s="161">
        <f>I88/10</f>
        <v>0.1</v>
      </c>
      <c r="J87" s="2" t="s">
        <v>61</v>
      </c>
      <c r="K87" s="8">
        <v>9</v>
      </c>
      <c r="L87" s="21">
        <f>L88/10</f>
        <v>0.75855677097758645</v>
      </c>
      <c r="M87" s="37" t="str">
        <f>Q87&amp;";"&amp;S87&amp;U87&amp;W87&amp;Y87&amp;AA87&amp;AC87&amp;AE87&amp;AG87&amp;AI87&amp;AK87&amp;AM87&amp;AO87</f>
        <v>9;1295246X9</v>
      </c>
      <c r="N87" s="38">
        <f>N88-1</f>
        <v>-1</v>
      </c>
      <c r="O87" s="61">
        <f t="shared" si="228"/>
        <v>9.1026812517310383</v>
      </c>
      <c r="P87" s="39" t="str">
        <f>INDEX(powers!$H$2:$H$75,33+N87)</f>
        <v>unino</v>
      </c>
      <c r="Q87" s="40" t="str">
        <f t="shared" si="35"/>
        <v>9</v>
      </c>
      <c r="R87" s="24">
        <f>(O87-INT(O87))*12</f>
        <v>1.2321750207724591</v>
      </c>
      <c r="S87" s="41" t="str">
        <f t="shared" si="37"/>
        <v>1</v>
      </c>
      <c r="T87" s="24">
        <f>(R87-INT(R87))*12</f>
        <v>2.7861002492695093</v>
      </c>
      <c r="U87" s="41" t="str">
        <f t="shared" si="39"/>
        <v>2</v>
      </c>
      <c r="V87" s="24">
        <f>(T87-INT(T87))*12</f>
        <v>9.4332029912341113</v>
      </c>
      <c r="W87" s="41" t="str">
        <f t="shared" si="41"/>
        <v>9</v>
      </c>
      <c r="X87" s="24">
        <f>(V87-INT(V87))*12</f>
        <v>5.1984358948093359</v>
      </c>
      <c r="Y87" s="41" t="str">
        <f t="shared" si="43"/>
        <v>5</v>
      </c>
      <c r="Z87" s="24">
        <f>(X87-INT(X87))*12</f>
        <v>2.3812307377120305</v>
      </c>
      <c r="AA87" s="41" t="str">
        <f t="shared" si="45"/>
        <v>2</v>
      </c>
      <c r="AB87" s="24">
        <f>(Z87-INT(Z87))*12</f>
        <v>4.5747688525443664</v>
      </c>
      <c r="AC87" s="41" t="str">
        <f t="shared" si="47"/>
        <v>4</v>
      </c>
      <c r="AD87" s="24">
        <f>(AB87-INT(AB87))*12</f>
        <v>6.8972262305323966</v>
      </c>
      <c r="AE87" s="41" t="str">
        <f t="shared" si="49"/>
        <v>6</v>
      </c>
      <c r="AF87" s="24">
        <f>(AD87-INT(AD87))*12</f>
        <v>10.766714766388759</v>
      </c>
      <c r="AG87" s="41" t="str">
        <f t="shared" si="51"/>
        <v>X</v>
      </c>
      <c r="AH87" s="24">
        <f>(AF87-INT(AF87))*12</f>
        <v>9.2005771966651082</v>
      </c>
      <c r="AI87" s="41" t="str">
        <f t="shared" si="53"/>
        <v>9</v>
      </c>
      <c r="AJ87" s="24">
        <f>(AH87-INT(AH87))*12</f>
        <v>2.4069263599812984</v>
      </c>
      <c r="AK87" s="41" t="str">
        <f t="shared" si="55"/>
        <v/>
      </c>
      <c r="AL87" s="24">
        <f>(AJ87-INT(AJ87))*12</f>
        <v>4.8831163197755814</v>
      </c>
      <c r="AM87" s="41" t="str">
        <f t="shared" si="57"/>
        <v/>
      </c>
      <c r="AN87" s="24">
        <f>(AL87-INT(AL87))*12</f>
        <v>10.597395837306976</v>
      </c>
      <c r="AO87" s="41" t="str">
        <f t="shared" si="59"/>
        <v/>
      </c>
    </row>
    <row r="88" spans="1:41" ht="14.25" customHeight="1" x14ac:dyDescent="0.2">
      <c r="A88" s="602"/>
      <c r="B88" s="604"/>
      <c r="C88" s="173" t="s">
        <v>583</v>
      </c>
      <c r="D88" s="3" t="str">
        <f t="shared" si="276"/>
        <v>g</v>
      </c>
      <c r="E88" s="151">
        <f>E8</f>
        <v>0.13182928928460486</v>
      </c>
      <c r="F88" s="15">
        <v>-3</v>
      </c>
      <c r="G88" s="166">
        <f t="shared" si="29"/>
        <v>131.82928928460487</v>
      </c>
      <c r="H88" s="167" t="s">
        <v>548</v>
      </c>
      <c r="I88" s="162">
        <v>1</v>
      </c>
      <c r="J88" s="2" t="s">
        <v>61</v>
      </c>
      <c r="K88" s="8">
        <v>9</v>
      </c>
      <c r="L88" s="21">
        <f>1/E88</f>
        <v>7.5855677097758649</v>
      </c>
      <c r="M88" s="37" t="str">
        <f>Q88&amp;";"&amp;S88&amp;U88&amp;W88&amp;Y88&amp;AA88&amp;AC88&amp;AE88&amp;AG88&amp;AI88&amp;AK88&amp;AM88&amp;AO88</f>
        <v>7;703X3E98</v>
      </c>
      <c r="N88" s="38">
        <v>0</v>
      </c>
      <c r="O88" s="61">
        <f t="shared" si="228"/>
        <v>7.5855677097758649</v>
      </c>
      <c r="P88" s="39" t="str">
        <f>INDEX(powers!$H$2:$H$75,33+N88)</f>
        <v xml:space="preserve"> </v>
      </c>
      <c r="Q88" s="40" t="str">
        <f t="shared" si="35"/>
        <v>7</v>
      </c>
      <c r="R88" s="24">
        <f>(O88-INT(O88))*12</f>
        <v>7.026812517310379</v>
      </c>
      <c r="S88" s="41" t="str">
        <f t="shared" ref="S88:S117" si="277">IF($K88&gt;=S$23,MID($N$23,IF($K88&gt;S$23,INT(R88),ROUND(R88,0))+1,1),"")</f>
        <v>7</v>
      </c>
      <c r="T88" s="24">
        <f>(R88-INT(R88))*12</f>
        <v>0.32175020772454843</v>
      </c>
      <c r="U88" s="41" t="str">
        <f t="shared" ref="U88:U117" si="278">IF($K88&gt;=U$23,MID($N$23,IF($K88&gt;U$23,INT(T88),ROUND(T88,0))+1,1),"")</f>
        <v>0</v>
      </c>
      <c r="V88" s="24">
        <f>(T88-INT(T88))*12</f>
        <v>3.8610024926945812</v>
      </c>
      <c r="W88" s="41" t="str">
        <f t="shared" ref="W88:W117" si="279">IF($K88&gt;=W$23,MID($N$23,IF($K88&gt;W$23,INT(V88),ROUND(V88,0))+1,1),"")</f>
        <v>3</v>
      </c>
      <c r="X88" s="24">
        <f>(V88-INT(V88))*12</f>
        <v>10.332029912334974</v>
      </c>
      <c r="Y88" s="41" t="str">
        <f t="shared" ref="Y88:Y117" si="280">IF($K88&gt;=Y$23,MID($N$23,IF($K88&gt;Y$23,INT(X88),ROUND(X88,0))+1,1),"")</f>
        <v>X</v>
      </c>
      <c r="Z88" s="24">
        <f>(X88-INT(X88))*12</f>
        <v>3.9843589480196897</v>
      </c>
      <c r="AA88" s="41" t="str">
        <f t="shared" ref="AA88:AA117" si="281">IF($K88&gt;=AA$23,MID($N$23,IF($K88&gt;AA$23,INT(Z88),ROUND(Z88,0))+1,1),"")</f>
        <v>3</v>
      </c>
      <c r="AB88" s="24">
        <f>(Z88-INT(Z88))*12</f>
        <v>11.812307376236276</v>
      </c>
      <c r="AC88" s="41" t="str">
        <f t="shared" ref="AC88:AC117" si="282">IF($K88&gt;=AC$23,MID($N$23,IF($K88&gt;AC$23,INT(AB88),ROUND(AB88,0))+1,1),"")</f>
        <v>E</v>
      </c>
      <c r="AD88" s="24">
        <f>(AB88-INT(AB88))*12</f>
        <v>9.7476885148353176</v>
      </c>
      <c r="AE88" s="41" t="str">
        <f t="shared" ref="AE88:AE117" si="283">IF($K88&gt;=AE$23,MID($N$23,IF($K88&gt;AE$23,INT(AD88),ROUND(AD88,0))+1,1),"")</f>
        <v>9</v>
      </c>
      <c r="AF88" s="24">
        <f>(AD88-INT(AD88))*12</f>
        <v>8.9722621780238114</v>
      </c>
      <c r="AG88" s="41" t="str">
        <f t="shared" ref="AG88:AG117" si="284">IF($K88&gt;=AG$23,MID($N$23,IF($K88&gt;AG$23,INT(AF88),ROUND(AF88,0))+1,1),"")</f>
        <v>8</v>
      </c>
      <c r="AH88" s="24">
        <f>(AF88-INT(AF88))*12</f>
        <v>11.667146136285737</v>
      </c>
      <c r="AI88" s="41" t="str">
        <f t="shared" ref="AI88:AI117" si="285">IF($K88&gt;=AI$23,MID($N$23,IF($K88&gt;AI$23,INT(AH88),ROUND(AH88,0))+1,1),"")</f>
        <v/>
      </c>
      <c r="AJ88" s="24">
        <f>(AH88-INT(AH88))*12</f>
        <v>8.0057536354288459</v>
      </c>
      <c r="AK88" s="41" t="str">
        <f t="shared" ref="AK88:AK117" si="286">IF($K88&gt;=AK$23,MID($N$23,IF($K88&gt;AK$23,INT(AJ88),ROUND(AJ88,0))+1,1),"")</f>
        <v/>
      </c>
      <c r="AL88" s="24">
        <f>(AJ88-INT(AJ88))*12</f>
        <v>6.9043625146150589E-2</v>
      </c>
      <c r="AM88" s="41" t="str">
        <f t="shared" ref="AM88:AM117" si="287">IF($K88&gt;=AM$23,MID($N$23,IF($K88&gt;AM$23,INT(AL88),ROUND(AL88,0))+1,1),"")</f>
        <v/>
      </c>
      <c r="AN88" s="24">
        <f>(AL88-INT(AL88))*12</f>
        <v>0.82852350175380707</v>
      </c>
      <c r="AO88" s="41" t="str">
        <f t="shared" ref="AO88:AO117" si="288">IF($K88&gt;=AO$23,MID($N$23,IF($K88&gt;AO$23,INT(AN88),ROUND(AN88,0))+1,1),"")</f>
        <v/>
      </c>
    </row>
    <row r="89" spans="1:41" ht="14.25" customHeight="1" x14ac:dyDescent="0.2">
      <c r="A89" s="602"/>
      <c r="B89" s="604"/>
      <c r="C89" s="173" t="s">
        <v>584</v>
      </c>
      <c r="D89" s="3" t="str">
        <f t="shared" si="276"/>
        <v>g</v>
      </c>
      <c r="E89" s="151">
        <f>E88*12</f>
        <v>1.5819514714152583</v>
      </c>
      <c r="F89" s="15">
        <v>0</v>
      </c>
      <c r="G89" s="166">
        <f t="shared" si="29"/>
        <v>1.5819514714152583</v>
      </c>
      <c r="H89" s="167" t="s">
        <v>551</v>
      </c>
      <c r="I89" s="162">
        <f>I88*10</f>
        <v>10</v>
      </c>
      <c r="J89" s="2" t="s">
        <v>61</v>
      </c>
      <c r="K89" s="8">
        <v>9</v>
      </c>
      <c r="L89" s="21">
        <f>L88*10</f>
        <v>75.855677097758644</v>
      </c>
      <c r="M89" s="37" t="str">
        <f>Q89&amp;";"&amp;S89&amp;U89&amp;W89&amp;Y89&amp;AA89&amp;AC89&amp;AE89&amp;AG89&amp;AI89&amp;AK89&amp;AM89&amp;AO89</f>
        <v>6;3X3273X16</v>
      </c>
      <c r="N89" s="38">
        <f>N88+1</f>
        <v>1</v>
      </c>
      <c r="O89" s="61">
        <f t="shared" si="228"/>
        <v>6.32130642481322</v>
      </c>
      <c r="P89" s="39" t="str">
        <f>INDEX(powers!$H$2:$H$75,33+N89)</f>
        <v>dozen</v>
      </c>
      <c r="Q89" s="40" t="str">
        <f t="shared" si="35"/>
        <v>6</v>
      </c>
      <c r="R89" s="24">
        <f>(O89-INT(O89))*12</f>
        <v>3.8556770977586403</v>
      </c>
      <c r="S89" s="41" t="str">
        <f t="shared" si="277"/>
        <v>3</v>
      </c>
      <c r="T89" s="24">
        <f>(R89-INT(R89))*12</f>
        <v>10.268125173103684</v>
      </c>
      <c r="U89" s="41" t="str">
        <f t="shared" si="278"/>
        <v>X</v>
      </c>
      <c r="V89" s="24">
        <f>(T89-INT(T89))*12</f>
        <v>3.2175020772442053</v>
      </c>
      <c r="W89" s="41" t="str">
        <f t="shared" si="279"/>
        <v>3</v>
      </c>
      <c r="X89" s="24">
        <f>(V89-INT(V89))*12</f>
        <v>2.6100249269304641</v>
      </c>
      <c r="Y89" s="41" t="str">
        <f t="shared" si="280"/>
        <v>2</v>
      </c>
      <c r="Z89" s="24">
        <f>(X89-INT(X89))*12</f>
        <v>7.3202991231655687</v>
      </c>
      <c r="AA89" s="41" t="str">
        <f t="shared" si="281"/>
        <v>7</v>
      </c>
      <c r="AB89" s="24">
        <f>(Z89-INT(Z89))*12</f>
        <v>3.8435894779868249</v>
      </c>
      <c r="AC89" s="41" t="str">
        <f t="shared" si="282"/>
        <v>3</v>
      </c>
      <c r="AD89" s="24">
        <f>(AB89-INT(AB89))*12</f>
        <v>10.123073735841899</v>
      </c>
      <c r="AE89" s="41" t="str">
        <f t="shared" si="283"/>
        <v>X</v>
      </c>
      <c r="AF89" s="24">
        <f>(AD89-INT(AD89))*12</f>
        <v>1.4768848301027901</v>
      </c>
      <c r="AG89" s="41" t="str">
        <f t="shared" si="284"/>
        <v>1</v>
      </c>
      <c r="AH89" s="24">
        <f>(AF89-INT(AF89))*12</f>
        <v>5.7226179612334818</v>
      </c>
      <c r="AI89" s="41" t="str">
        <f t="shared" si="285"/>
        <v>6</v>
      </c>
      <c r="AJ89" s="24">
        <f>(AH89-INT(AH89))*12</f>
        <v>8.6714155348017812</v>
      </c>
      <c r="AK89" s="41" t="str">
        <f t="shared" si="286"/>
        <v/>
      </c>
      <c r="AL89" s="24">
        <f>(AJ89-INT(AJ89))*12</f>
        <v>8.0569864176213741</v>
      </c>
      <c r="AM89" s="41" t="str">
        <f t="shared" si="287"/>
        <v/>
      </c>
      <c r="AN89" s="24">
        <f>(AL89-INT(AL89))*12</f>
        <v>0.68383701145648956</v>
      </c>
      <c r="AO89" s="41" t="str">
        <f t="shared" si="288"/>
        <v/>
      </c>
    </row>
    <row r="90" spans="1:41" ht="14.25" customHeight="1" x14ac:dyDescent="0.2">
      <c r="A90" s="602"/>
      <c r="B90" s="604"/>
      <c r="C90" s="173" t="s">
        <v>585</v>
      </c>
      <c r="D90" s="3" t="str">
        <f t="shared" si="276"/>
        <v>g</v>
      </c>
      <c r="E90" s="151">
        <f t="shared" ref="E90:E94" si="289">E89*12</f>
        <v>18.9834176569831</v>
      </c>
      <c r="F90" s="15">
        <v>0</v>
      </c>
      <c r="G90" s="166">
        <f t="shared" si="29"/>
        <v>18.9834176569831</v>
      </c>
      <c r="H90" s="167" t="s">
        <v>61</v>
      </c>
      <c r="I90" s="162">
        <f>I89*10</f>
        <v>100</v>
      </c>
      <c r="J90" s="2" t="s">
        <v>61</v>
      </c>
      <c r="K90" s="8">
        <v>9</v>
      </c>
      <c r="L90" s="21">
        <f>L89*10</f>
        <v>758.55677097758644</v>
      </c>
      <c r="M90" s="37" t="str">
        <f>Q90&amp;";"&amp;S90&amp;U90&amp;W90&amp;Y90&amp;AA90&amp;AC90&amp;AE90&amp;AG90&amp;AI90&amp;AK90&amp;AM90&amp;AO90</f>
        <v>5;326821253</v>
      </c>
      <c r="N90" s="38">
        <f>N89+1</f>
        <v>2</v>
      </c>
      <c r="O90" s="61">
        <f t="shared" si="228"/>
        <v>5.2677553540110171</v>
      </c>
      <c r="P90" s="39" t="str">
        <f>INDEX(powers!$H$2:$H$75,33+N90)</f>
        <v>gross</v>
      </c>
      <c r="Q90" s="40" t="str">
        <f t="shared" si="35"/>
        <v>5</v>
      </c>
      <c r="R90" s="24">
        <f>(O90-INT(O90))*12</f>
        <v>3.2130642481322056</v>
      </c>
      <c r="S90" s="41" t="str">
        <f t="shared" si="277"/>
        <v>3</v>
      </c>
      <c r="T90" s="24">
        <f>(R90-INT(R90))*12</f>
        <v>2.5567709775864671</v>
      </c>
      <c r="U90" s="41" t="str">
        <f t="shared" si="278"/>
        <v>2</v>
      </c>
      <c r="V90" s="24">
        <f>(T90-INT(T90))*12</f>
        <v>6.6812517310376052</v>
      </c>
      <c r="W90" s="41" t="str">
        <f t="shared" si="279"/>
        <v>6</v>
      </c>
      <c r="X90" s="24">
        <f>(V90-INT(V90))*12</f>
        <v>8.175020772451262</v>
      </c>
      <c r="Y90" s="41" t="str">
        <f t="shared" si="280"/>
        <v>8</v>
      </c>
      <c r="Z90" s="24">
        <f>(X90-INT(X90))*12</f>
        <v>2.1002492694151442</v>
      </c>
      <c r="AA90" s="41" t="str">
        <f t="shared" si="281"/>
        <v>2</v>
      </c>
      <c r="AB90" s="24">
        <f>(Z90-INT(Z90))*12</f>
        <v>1.2029912329817307</v>
      </c>
      <c r="AC90" s="41" t="str">
        <f t="shared" si="282"/>
        <v>1</v>
      </c>
      <c r="AD90" s="24">
        <f>(AB90-INT(AB90))*12</f>
        <v>2.4358947957807686</v>
      </c>
      <c r="AE90" s="41" t="str">
        <f t="shared" si="283"/>
        <v>2</v>
      </c>
      <c r="AF90" s="24">
        <f>(AD90-INT(AD90))*12</f>
        <v>5.2307375493692234</v>
      </c>
      <c r="AG90" s="41" t="str">
        <f t="shared" si="284"/>
        <v>5</v>
      </c>
      <c r="AH90" s="24">
        <f>(AF90-INT(AF90))*12</f>
        <v>2.768850592430681</v>
      </c>
      <c r="AI90" s="41" t="str">
        <f t="shared" si="285"/>
        <v>3</v>
      </c>
      <c r="AJ90" s="24">
        <f>(AH90-INT(AH90))*12</f>
        <v>9.2262071091681719</v>
      </c>
      <c r="AK90" s="41" t="str">
        <f t="shared" si="286"/>
        <v/>
      </c>
      <c r="AL90" s="24">
        <f>(AJ90-INT(AJ90))*12</f>
        <v>2.7144853100180626</v>
      </c>
      <c r="AM90" s="41" t="str">
        <f t="shared" si="287"/>
        <v/>
      </c>
      <c r="AN90" s="24">
        <f>(AL90-INT(AL90))*12</f>
        <v>8.5738237202167511</v>
      </c>
      <c r="AO90" s="41" t="str">
        <f t="shared" si="288"/>
        <v/>
      </c>
    </row>
    <row r="91" spans="1:41" ht="14.25" customHeight="1" x14ac:dyDescent="0.2">
      <c r="A91" s="602"/>
      <c r="B91" s="604"/>
      <c r="C91" s="190" t="s">
        <v>586</v>
      </c>
      <c r="D91" s="3" t="str">
        <f t="shared" si="276"/>
        <v>g</v>
      </c>
      <c r="E91" s="151">
        <f t="shared" si="289"/>
        <v>227.8010118837972</v>
      </c>
      <c r="F91" s="15">
        <v>0</v>
      </c>
      <c r="G91" s="166">
        <f t="shared" si="29"/>
        <v>227.8010118837972</v>
      </c>
      <c r="H91" s="167" t="s">
        <v>61</v>
      </c>
      <c r="I91" s="162">
        <f t="shared" ref="I91:I94" si="290">I90*10</f>
        <v>1000</v>
      </c>
      <c r="J91" s="2" t="s">
        <v>61</v>
      </c>
      <c r="K91" s="8">
        <v>9</v>
      </c>
      <c r="L91" s="21">
        <f t="shared" ref="L91:L94" si="291">L90*10</f>
        <v>7585.5677097758644</v>
      </c>
      <c r="M91" s="37" t="str">
        <f t="shared" ref="M91:M99" si="292">Q91&amp;";"&amp;S91&amp;U91&amp;W91&amp;Y91&amp;AA91&amp;AC91&amp;AE91&amp;AG91&amp;AI91&amp;AK91&amp;AM91&amp;AO91</f>
        <v>4;481699004</v>
      </c>
      <c r="N91" s="38">
        <f t="shared" ref="N91:N93" si="293">N90+1</f>
        <v>3</v>
      </c>
      <c r="O91" s="61">
        <f t="shared" ref="O91:O103" si="294">L91/POWER(12,N91)</f>
        <v>4.389796128342514</v>
      </c>
      <c r="P91" s="39" t="str">
        <f>INDEX(powers!$H$2:$H$75,33+N91)</f>
        <v>doz gross</v>
      </c>
      <c r="Q91" s="40" t="str">
        <f t="shared" si="35"/>
        <v>4</v>
      </c>
      <c r="R91" s="24">
        <f t="shared" ref="R91:R99" si="295">(O91-INT(O91))*12</f>
        <v>4.6775535401101678</v>
      </c>
      <c r="S91" s="41" t="str">
        <f t="shared" si="277"/>
        <v>4</v>
      </c>
      <c r="T91" s="24">
        <f t="shared" ref="T91:T99" si="296">(R91-INT(R91))*12</f>
        <v>8.1306424813220133</v>
      </c>
      <c r="U91" s="41" t="str">
        <f t="shared" si="278"/>
        <v>8</v>
      </c>
      <c r="V91" s="24">
        <f t="shared" ref="V91:V99" si="297">(T91-INT(T91))*12</f>
        <v>1.5677097758641594</v>
      </c>
      <c r="W91" s="41" t="str">
        <f t="shared" si="279"/>
        <v>1</v>
      </c>
      <c r="X91" s="24">
        <f t="shared" ref="X91:X99" si="298">(V91-INT(V91))*12</f>
        <v>6.8125173103699126</v>
      </c>
      <c r="Y91" s="41" t="str">
        <f t="shared" si="280"/>
        <v>6</v>
      </c>
      <c r="Z91" s="24">
        <f t="shared" ref="Z91:Z99" si="299">(X91-INT(X91))*12</f>
        <v>9.7502077244389511</v>
      </c>
      <c r="AA91" s="41" t="str">
        <f t="shared" si="281"/>
        <v>9</v>
      </c>
      <c r="AB91" s="24">
        <f t="shared" ref="AB91:AB99" si="300">(Z91-INT(Z91))*12</f>
        <v>9.0024926932674134</v>
      </c>
      <c r="AC91" s="41" t="str">
        <f t="shared" si="282"/>
        <v>9</v>
      </c>
      <c r="AD91" s="24">
        <f t="shared" ref="AD91:AD99" si="301">(AB91-INT(AB91))*12</f>
        <v>2.991231920896098E-2</v>
      </c>
      <c r="AE91" s="41" t="str">
        <f t="shared" si="283"/>
        <v>0</v>
      </c>
      <c r="AF91" s="24">
        <f t="shared" ref="AF91:AF99" si="302">(AD91-INT(AD91))*12</f>
        <v>0.35894783050753176</v>
      </c>
      <c r="AG91" s="41" t="str">
        <f t="shared" si="284"/>
        <v>0</v>
      </c>
      <c r="AH91" s="24">
        <f t="shared" ref="AH91:AH99" si="303">(AF91-INT(AF91))*12</f>
        <v>4.3073739660903811</v>
      </c>
      <c r="AI91" s="41" t="str">
        <f t="shared" si="285"/>
        <v>4</v>
      </c>
      <c r="AJ91" s="24">
        <f t="shared" ref="AJ91:AJ99" si="304">(AH91-INT(AH91))*12</f>
        <v>3.6884875930845737</v>
      </c>
      <c r="AK91" s="41" t="str">
        <f t="shared" si="286"/>
        <v/>
      </c>
      <c r="AL91" s="24">
        <f t="shared" ref="AL91:AL99" si="305">(AJ91-INT(AJ91))*12</f>
        <v>8.2618511170148849</v>
      </c>
      <c r="AM91" s="41" t="str">
        <f t="shared" si="287"/>
        <v/>
      </c>
      <c r="AN91" s="24">
        <f t="shared" ref="AN91:AN99" si="306">(AL91-INT(AL91))*12</f>
        <v>3.1422134041786194</v>
      </c>
      <c r="AO91" s="41" t="str">
        <f t="shared" si="288"/>
        <v/>
      </c>
    </row>
    <row r="92" spans="1:41" ht="14.25" customHeight="1" x14ac:dyDescent="0.2">
      <c r="A92" s="602"/>
      <c r="B92" s="604"/>
      <c r="C92" s="188" t="s">
        <v>344</v>
      </c>
      <c r="D92" s="3" t="str">
        <f t="shared" si="276"/>
        <v>g</v>
      </c>
      <c r="E92" s="151">
        <f t="shared" si="289"/>
        <v>2733.6121426055665</v>
      </c>
      <c r="F92" s="15">
        <v>3</v>
      </c>
      <c r="G92" s="166">
        <f t="shared" si="29"/>
        <v>2.7336121426055664</v>
      </c>
      <c r="H92" s="167" t="s">
        <v>552</v>
      </c>
      <c r="I92" s="162">
        <f t="shared" si="290"/>
        <v>10000</v>
      </c>
      <c r="J92" s="2" t="s">
        <v>61</v>
      </c>
      <c r="K92" s="8">
        <v>9</v>
      </c>
      <c r="L92" s="21">
        <f t="shared" si="291"/>
        <v>75855.677097758642</v>
      </c>
      <c r="M92" s="37" t="str">
        <f t="shared" si="292"/>
        <v>3;7X9381604</v>
      </c>
      <c r="N92" s="38">
        <f t="shared" si="293"/>
        <v>4</v>
      </c>
      <c r="O92" s="61">
        <f t="shared" si="294"/>
        <v>3.6581634402854282</v>
      </c>
      <c r="P92" s="39" t="str">
        <f>INDEX(powers!$H$2:$H$75,33+N92)</f>
        <v>hyper</v>
      </c>
      <c r="Q92" s="40" t="str">
        <f t="shared" si="35"/>
        <v>3</v>
      </c>
      <c r="R92" s="24">
        <f t="shared" si="295"/>
        <v>7.897961283425138</v>
      </c>
      <c r="S92" s="41" t="str">
        <f t="shared" si="277"/>
        <v>7</v>
      </c>
      <c r="T92" s="24">
        <f t="shared" si="296"/>
        <v>10.775535401101656</v>
      </c>
      <c r="U92" s="41" t="str">
        <f t="shared" si="278"/>
        <v>X</v>
      </c>
      <c r="V92" s="24">
        <f t="shared" si="297"/>
        <v>9.306424813219877</v>
      </c>
      <c r="W92" s="41" t="str">
        <f t="shared" si="279"/>
        <v>9</v>
      </c>
      <c r="X92" s="24">
        <f t="shared" si="298"/>
        <v>3.6770977586385243</v>
      </c>
      <c r="Y92" s="41" t="str">
        <f t="shared" si="280"/>
        <v>3</v>
      </c>
      <c r="Z92" s="24">
        <f t="shared" si="299"/>
        <v>8.1251731036622914</v>
      </c>
      <c r="AA92" s="41" t="str">
        <f t="shared" si="281"/>
        <v>8</v>
      </c>
      <c r="AB92" s="24">
        <f t="shared" si="300"/>
        <v>1.5020772439474968</v>
      </c>
      <c r="AC92" s="41" t="str">
        <f t="shared" si="282"/>
        <v>1</v>
      </c>
      <c r="AD92" s="24">
        <f t="shared" si="301"/>
        <v>6.024926927369961</v>
      </c>
      <c r="AE92" s="41" t="str">
        <f t="shared" si="283"/>
        <v>6</v>
      </c>
      <c r="AF92" s="24">
        <f t="shared" si="302"/>
        <v>0.29912312843953259</v>
      </c>
      <c r="AG92" s="41" t="str">
        <f t="shared" si="284"/>
        <v>0</v>
      </c>
      <c r="AH92" s="24">
        <f t="shared" si="303"/>
        <v>3.5894775412743911</v>
      </c>
      <c r="AI92" s="41" t="str">
        <f t="shared" si="285"/>
        <v>4</v>
      </c>
      <c r="AJ92" s="24">
        <f t="shared" si="304"/>
        <v>7.0737304952926934</v>
      </c>
      <c r="AK92" s="41" t="str">
        <f t="shared" si="286"/>
        <v/>
      </c>
      <c r="AL92" s="24">
        <f t="shared" si="305"/>
        <v>0.88476594351232052</v>
      </c>
      <c r="AM92" s="41" t="str">
        <f t="shared" si="287"/>
        <v/>
      </c>
      <c r="AN92" s="24">
        <f t="shared" si="306"/>
        <v>10.617191322147846</v>
      </c>
      <c r="AO92" s="41" t="str">
        <f t="shared" si="288"/>
        <v/>
      </c>
    </row>
    <row r="93" spans="1:41" ht="14.25" customHeight="1" x14ac:dyDescent="0.2">
      <c r="A93" s="602"/>
      <c r="B93" s="604"/>
      <c r="C93" s="188" t="s">
        <v>345</v>
      </c>
      <c r="D93" s="3" t="str">
        <f t="shared" si="276"/>
        <v>g</v>
      </c>
      <c r="E93" s="151">
        <f t="shared" si="289"/>
        <v>32803.345711266797</v>
      </c>
      <c r="F93" s="15">
        <v>3</v>
      </c>
      <c r="G93" s="166">
        <f t="shared" si="29"/>
        <v>32.8033457112668</v>
      </c>
      <c r="H93" s="167" t="s">
        <v>552</v>
      </c>
      <c r="I93" s="162">
        <f t="shared" si="290"/>
        <v>100000</v>
      </c>
      <c r="J93" s="2" t="s">
        <v>61</v>
      </c>
      <c r="K93" s="8">
        <v>9</v>
      </c>
      <c r="L93" s="21">
        <f t="shared" si="291"/>
        <v>758556.77097758639</v>
      </c>
      <c r="M93" s="37" t="str">
        <f t="shared" si="292"/>
        <v>3;06E909303</v>
      </c>
      <c r="N93" s="38">
        <f t="shared" si="293"/>
        <v>5</v>
      </c>
      <c r="O93" s="61">
        <f t="shared" si="294"/>
        <v>3.0484695335711902</v>
      </c>
      <c r="P93" s="39" t="str">
        <f>INDEX(powers!$H$2:$H$75,33+N93)</f>
        <v>terno cosmic</v>
      </c>
      <c r="Q93" s="40" t="str">
        <f t="shared" si="35"/>
        <v>3</v>
      </c>
      <c r="R93" s="24">
        <f t="shared" si="295"/>
        <v>0.58163440285428258</v>
      </c>
      <c r="S93" s="41" t="str">
        <f t="shared" si="277"/>
        <v>0</v>
      </c>
      <c r="T93" s="24">
        <f t="shared" si="296"/>
        <v>6.979612834251391</v>
      </c>
      <c r="U93" s="41" t="str">
        <f t="shared" si="278"/>
        <v>6</v>
      </c>
      <c r="V93" s="24">
        <f t="shared" si="297"/>
        <v>11.755354011016692</v>
      </c>
      <c r="W93" s="41" t="str">
        <f t="shared" si="279"/>
        <v>E</v>
      </c>
      <c r="X93" s="24">
        <f t="shared" si="298"/>
        <v>9.064248132200305</v>
      </c>
      <c r="Y93" s="41" t="str">
        <f t="shared" si="280"/>
        <v>9</v>
      </c>
      <c r="Z93" s="24">
        <f t="shared" si="299"/>
        <v>0.7709775864036601</v>
      </c>
      <c r="AA93" s="41" t="str">
        <f t="shared" si="281"/>
        <v>0</v>
      </c>
      <c r="AB93" s="24">
        <f t="shared" si="300"/>
        <v>9.2517310368439212</v>
      </c>
      <c r="AC93" s="41" t="str">
        <f t="shared" si="282"/>
        <v>9</v>
      </c>
      <c r="AD93" s="24">
        <f t="shared" si="301"/>
        <v>3.0207724421270541</v>
      </c>
      <c r="AE93" s="41" t="str">
        <f t="shared" si="283"/>
        <v>3</v>
      </c>
      <c r="AF93" s="24">
        <f t="shared" si="302"/>
        <v>0.2492693055246491</v>
      </c>
      <c r="AG93" s="41" t="str">
        <f t="shared" si="284"/>
        <v>0</v>
      </c>
      <c r="AH93" s="24">
        <f t="shared" si="303"/>
        <v>2.9912316662957892</v>
      </c>
      <c r="AI93" s="41" t="str">
        <f t="shared" si="285"/>
        <v>3</v>
      </c>
      <c r="AJ93" s="24">
        <f t="shared" si="304"/>
        <v>11.89477999554947</v>
      </c>
      <c r="AK93" s="41" t="str">
        <f t="shared" si="286"/>
        <v/>
      </c>
      <c r="AL93" s="24">
        <f t="shared" si="305"/>
        <v>10.737359946593642</v>
      </c>
      <c r="AM93" s="41" t="str">
        <f t="shared" si="287"/>
        <v/>
      </c>
      <c r="AN93" s="24">
        <f t="shared" si="306"/>
        <v>8.8483193591237068</v>
      </c>
      <c r="AO93" s="41" t="str">
        <f t="shared" si="288"/>
        <v/>
      </c>
    </row>
    <row r="94" spans="1:41" ht="14.25" customHeight="1" thickBot="1" x14ac:dyDescent="0.25">
      <c r="A94" s="602"/>
      <c r="B94" s="605"/>
      <c r="C94" s="189" t="s">
        <v>346</v>
      </c>
      <c r="D94" s="3" t="str">
        <f t="shared" si="276"/>
        <v>g</v>
      </c>
      <c r="E94" s="175">
        <f t="shared" si="289"/>
        <v>393640.14853520156</v>
      </c>
      <c r="F94" s="176">
        <v>3</v>
      </c>
      <c r="G94" s="177">
        <f t="shared" si="29"/>
        <v>393.64014853520155</v>
      </c>
      <c r="H94" s="178" t="s">
        <v>552</v>
      </c>
      <c r="I94" s="162">
        <f t="shared" si="290"/>
        <v>1000000</v>
      </c>
      <c r="J94" s="2" t="s">
        <v>61</v>
      </c>
      <c r="K94" s="8">
        <v>9</v>
      </c>
      <c r="L94" s="21">
        <f t="shared" si="291"/>
        <v>7585567.7097758641</v>
      </c>
      <c r="M94" s="37" t="str">
        <f t="shared" si="292"/>
        <v>2;659967862</v>
      </c>
      <c r="N94" s="38">
        <v>6</v>
      </c>
      <c r="O94" s="61">
        <f t="shared" si="294"/>
        <v>2.5403912779759921</v>
      </c>
      <c r="P94" s="39" t="str">
        <f>INDEX(powers!$H$2:$H$75,33+N94)</f>
        <v>dino cosmic</v>
      </c>
      <c r="Q94" s="40" t="str">
        <f t="shared" si="35"/>
        <v>2</v>
      </c>
      <c r="R94" s="24">
        <f t="shared" si="295"/>
        <v>6.4846953357119048</v>
      </c>
      <c r="S94" s="41" t="str">
        <f t="shared" si="277"/>
        <v>6</v>
      </c>
      <c r="T94" s="24">
        <f t="shared" si="296"/>
        <v>5.8163440285428578</v>
      </c>
      <c r="U94" s="41" t="str">
        <f t="shared" si="278"/>
        <v>5</v>
      </c>
      <c r="V94" s="24">
        <f t="shared" si="297"/>
        <v>9.7961283425142938</v>
      </c>
      <c r="W94" s="41" t="str">
        <f t="shared" si="279"/>
        <v>9</v>
      </c>
      <c r="X94" s="24">
        <f t="shared" si="298"/>
        <v>9.5535401101715252</v>
      </c>
      <c r="Y94" s="41" t="str">
        <f t="shared" si="280"/>
        <v>9</v>
      </c>
      <c r="Z94" s="24">
        <f t="shared" si="299"/>
        <v>6.6424813220583019</v>
      </c>
      <c r="AA94" s="41" t="str">
        <f t="shared" si="281"/>
        <v>6</v>
      </c>
      <c r="AB94" s="24">
        <f t="shared" si="300"/>
        <v>7.7097758646996226</v>
      </c>
      <c r="AC94" s="41" t="str">
        <f t="shared" si="282"/>
        <v>7</v>
      </c>
      <c r="AD94" s="24">
        <f t="shared" si="301"/>
        <v>8.5173103763954714</v>
      </c>
      <c r="AE94" s="41" t="str">
        <f t="shared" si="283"/>
        <v>8</v>
      </c>
      <c r="AF94" s="24">
        <f t="shared" si="302"/>
        <v>6.2077245167456567</v>
      </c>
      <c r="AG94" s="41" t="str">
        <f t="shared" si="284"/>
        <v>6</v>
      </c>
      <c r="AH94" s="24">
        <f t="shared" si="303"/>
        <v>2.4926942009478807</v>
      </c>
      <c r="AI94" s="41" t="str">
        <f t="shared" si="285"/>
        <v>2</v>
      </c>
      <c r="AJ94" s="24">
        <f t="shared" si="304"/>
        <v>5.9123304113745689</v>
      </c>
      <c r="AK94" s="41" t="str">
        <f t="shared" si="286"/>
        <v/>
      </c>
      <c r="AL94" s="24">
        <f t="shared" si="305"/>
        <v>10.947964936494827</v>
      </c>
      <c r="AM94" s="41" t="str">
        <f t="shared" si="287"/>
        <v/>
      </c>
      <c r="AN94" s="24">
        <f t="shared" si="306"/>
        <v>11.375579237937927</v>
      </c>
      <c r="AO94" s="41" t="str">
        <f t="shared" si="288"/>
        <v/>
      </c>
    </row>
    <row r="95" spans="1:41" ht="14.25" customHeight="1" x14ac:dyDescent="0.2">
      <c r="A95" s="602"/>
      <c r="B95" s="606" t="s">
        <v>572</v>
      </c>
      <c r="C95" s="191" t="s">
        <v>541</v>
      </c>
      <c r="D95" s="205" t="s">
        <v>557</v>
      </c>
      <c r="E95" s="148">
        <f t="shared" ref="E95:E96" si="307">E96/12</f>
        <v>4.0546904101286961E-7</v>
      </c>
      <c r="F95" s="185">
        <v>-9</v>
      </c>
      <c r="G95" s="186">
        <f t="shared" ref="G95:G121" si="308">E95*POWER(10,-F95)</f>
        <v>405.46904101286964</v>
      </c>
      <c r="H95" s="187" t="s">
        <v>563</v>
      </c>
      <c r="I95" s="179">
        <f t="shared" ref="I95:I99" si="309">I96/10</f>
        <v>1.0000000000000002E-6</v>
      </c>
      <c r="J95" s="144" t="s">
        <v>59</v>
      </c>
      <c r="K95" s="143">
        <v>9</v>
      </c>
      <c r="L95" s="142">
        <f t="shared" ref="L95:L100" si="310">L96/10</f>
        <v>1.7126941250797067E-2</v>
      </c>
      <c r="M95" s="145" t="str">
        <f t="shared" si="292"/>
        <v>2;5718932E6</v>
      </c>
      <c r="N95" s="146">
        <f t="shared" ref="N95:N98" si="311">N96-1</f>
        <v>-2</v>
      </c>
      <c r="O95" s="154">
        <f t="shared" si="294"/>
        <v>2.4662795401147779</v>
      </c>
      <c r="P95" s="147" t="str">
        <f>INDEX(powers!$H$2:$H$75,33+N95)</f>
        <v>dino</v>
      </c>
      <c r="Q95" s="40" t="str">
        <f t="shared" ref="Q95:Q110" si="312">IF($K95&gt;=Q$23,MID($N$23,IF($K95&gt;Q$23,INT(O95),ROUND(O95,0))+1,1),"")</f>
        <v>2</v>
      </c>
      <c r="R95" s="24">
        <f t="shared" si="295"/>
        <v>5.5953544813773348</v>
      </c>
      <c r="S95" s="41" t="str">
        <f t="shared" si="277"/>
        <v>5</v>
      </c>
      <c r="T95" s="24">
        <f t="shared" si="296"/>
        <v>7.1442537765280179</v>
      </c>
      <c r="U95" s="41" t="str">
        <f t="shared" si="278"/>
        <v>7</v>
      </c>
      <c r="V95" s="24">
        <f t="shared" si="297"/>
        <v>1.7310453183362142</v>
      </c>
      <c r="W95" s="41" t="str">
        <f t="shared" si="279"/>
        <v>1</v>
      </c>
      <c r="X95" s="24">
        <f t="shared" si="298"/>
        <v>8.7725438200345707</v>
      </c>
      <c r="Y95" s="41" t="str">
        <f t="shared" si="280"/>
        <v>8</v>
      </c>
      <c r="Z95" s="24">
        <f t="shared" si="299"/>
        <v>9.2705258404148481</v>
      </c>
      <c r="AA95" s="41" t="str">
        <f t="shared" si="281"/>
        <v>9</v>
      </c>
      <c r="AB95" s="24">
        <f t="shared" si="300"/>
        <v>3.2463100849781767</v>
      </c>
      <c r="AC95" s="41" t="str">
        <f t="shared" si="282"/>
        <v>3</v>
      </c>
      <c r="AD95" s="24">
        <f t="shared" si="301"/>
        <v>2.955721019738121</v>
      </c>
      <c r="AE95" s="41" t="str">
        <f t="shared" si="283"/>
        <v>2</v>
      </c>
      <c r="AF95" s="24">
        <f t="shared" si="302"/>
        <v>11.468652236857451</v>
      </c>
      <c r="AG95" s="41" t="str">
        <f t="shared" si="284"/>
        <v>E</v>
      </c>
      <c r="AH95" s="24">
        <f t="shared" si="303"/>
        <v>5.623826842289418</v>
      </c>
      <c r="AI95" s="41" t="str">
        <f t="shared" si="285"/>
        <v>6</v>
      </c>
      <c r="AJ95" s="24">
        <f t="shared" si="304"/>
        <v>7.4859221074730158</v>
      </c>
      <c r="AK95" s="41" t="str">
        <f t="shared" si="286"/>
        <v/>
      </c>
      <c r="AL95" s="24">
        <f t="shared" si="305"/>
        <v>5.8310652896761894</v>
      </c>
      <c r="AM95" s="41" t="str">
        <f t="shared" si="287"/>
        <v/>
      </c>
      <c r="AN95" s="24">
        <f t="shared" si="306"/>
        <v>9.9727834761142731</v>
      </c>
      <c r="AO95" s="41" t="str">
        <f t="shared" si="288"/>
        <v/>
      </c>
    </row>
    <row r="96" spans="1:41" ht="14.25" customHeight="1" x14ac:dyDescent="0.2">
      <c r="A96" s="602"/>
      <c r="B96" s="604"/>
      <c r="C96" s="172" t="s">
        <v>542</v>
      </c>
      <c r="D96" s="3" t="str">
        <f>D95</f>
        <v>K</v>
      </c>
      <c r="E96" s="151">
        <f t="shared" si="307"/>
        <v>4.8656284921544354E-6</v>
      </c>
      <c r="F96" s="15">
        <v>-6</v>
      </c>
      <c r="G96" s="166">
        <f t="shared" si="308"/>
        <v>4.8656284921544355</v>
      </c>
      <c r="H96" s="167" t="s">
        <v>561</v>
      </c>
      <c r="I96" s="157">
        <f t="shared" si="309"/>
        <v>1.0000000000000001E-5</v>
      </c>
      <c r="J96" s="2" t="s">
        <v>557</v>
      </c>
      <c r="K96" s="8">
        <v>9</v>
      </c>
      <c r="L96" s="21">
        <f t="shared" si="310"/>
        <v>0.17126941250797068</v>
      </c>
      <c r="M96" s="37" t="str">
        <f t="shared" si="292"/>
        <v>2;07E538857</v>
      </c>
      <c r="N96" s="38">
        <f t="shared" si="311"/>
        <v>-1</v>
      </c>
      <c r="O96" s="61">
        <f t="shared" si="294"/>
        <v>2.0552329500956481</v>
      </c>
      <c r="P96" s="39" t="str">
        <f>INDEX(powers!$H$2:$H$75,33+N96)</f>
        <v>unino</v>
      </c>
      <c r="Q96" s="40" t="str">
        <f t="shared" si="312"/>
        <v>2</v>
      </c>
      <c r="R96" s="24">
        <f t="shared" si="295"/>
        <v>0.66279540114777724</v>
      </c>
      <c r="S96" s="41" t="str">
        <f t="shared" si="277"/>
        <v>0</v>
      </c>
      <c r="T96" s="24">
        <f t="shared" si="296"/>
        <v>7.9535448137733269</v>
      </c>
      <c r="U96" s="41" t="str">
        <f t="shared" si="278"/>
        <v>7</v>
      </c>
      <c r="V96" s="24">
        <f t="shared" si="297"/>
        <v>11.442537765279923</v>
      </c>
      <c r="W96" s="41" t="str">
        <f t="shared" si="279"/>
        <v>E</v>
      </c>
      <c r="X96" s="24">
        <f t="shared" si="298"/>
        <v>5.3104531833590727</v>
      </c>
      <c r="Y96" s="41" t="str">
        <f t="shared" si="280"/>
        <v>5</v>
      </c>
      <c r="Z96" s="24">
        <f t="shared" si="299"/>
        <v>3.7254382003088722</v>
      </c>
      <c r="AA96" s="41" t="str">
        <f t="shared" si="281"/>
        <v>3</v>
      </c>
      <c r="AB96" s="24">
        <f t="shared" si="300"/>
        <v>8.7052584037064662</v>
      </c>
      <c r="AC96" s="41" t="str">
        <f t="shared" si="282"/>
        <v>8</v>
      </c>
      <c r="AD96" s="24">
        <f t="shared" si="301"/>
        <v>8.4631008444775944</v>
      </c>
      <c r="AE96" s="41" t="str">
        <f t="shared" si="283"/>
        <v>8</v>
      </c>
      <c r="AF96" s="24">
        <f t="shared" si="302"/>
        <v>5.5572101337311324</v>
      </c>
      <c r="AG96" s="41" t="str">
        <f t="shared" si="284"/>
        <v>5</v>
      </c>
      <c r="AH96" s="24">
        <f t="shared" si="303"/>
        <v>6.6865216047735885</v>
      </c>
      <c r="AI96" s="41" t="str">
        <f t="shared" si="285"/>
        <v>7</v>
      </c>
      <c r="AJ96" s="24">
        <f t="shared" si="304"/>
        <v>8.2382592572830617</v>
      </c>
      <c r="AK96" s="41" t="str">
        <f t="shared" si="286"/>
        <v/>
      </c>
      <c r="AL96" s="24">
        <f t="shared" si="305"/>
        <v>2.8591110873967409</v>
      </c>
      <c r="AM96" s="41" t="str">
        <f t="shared" si="287"/>
        <v/>
      </c>
      <c r="AN96" s="24">
        <f t="shared" si="306"/>
        <v>10.309333048760891</v>
      </c>
      <c r="AO96" s="41" t="str">
        <f t="shared" si="288"/>
        <v/>
      </c>
    </row>
    <row r="97" spans="1:41" ht="14.25" customHeight="1" x14ac:dyDescent="0.2">
      <c r="A97" s="602"/>
      <c r="B97" s="604"/>
      <c r="C97" s="173" t="s">
        <v>583</v>
      </c>
      <c r="D97" s="3" t="str">
        <f t="shared" ref="D97:D107" si="313">D96</f>
        <v>K</v>
      </c>
      <c r="E97" s="151">
        <f>E6</f>
        <v>5.8387541905853228E-5</v>
      </c>
      <c r="F97" s="15">
        <v>-6</v>
      </c>
      <c r="G97" s="166">
        <f t="shared" si="308"/>
        <v>58.387541905853226</v>
      </c>
      <c r="H97" s="167" t="s">
        <v>561</v>
      </c>
      <c r="I97" s="158">
        <f t="shared" si="309"/>
        <v>1E-4</v>
      </c>
      <c r="J97" s="2" t="s">
        <v>556</v>
      </c>
      <c r="K97" s="8">
        <v>9</v>
      </c>
      <c r="L97" s="21">
        <f t="shared" si="310"/>
        <v>1.7126941250797068</v>
      </c>
      <c r="M97" s="37" t="str">
        <f t="shared" si="292"/>
        <v>1;867651308</v>
      </c>
      <c r="N97" s="38">
        <f t="shared" si="311"/>
        <v>0</v>
      </c>
      <c r="O97" s="61">
        <f t="shared" si="294"/>
        <v>1.7126941250797068</v>
      </c>
      <c r="P97" s="39" t="str">
        <f>INDEX(powers!$H$2:$H$75,33+N97)</f>
        <v xml:space="preserve"> </v>
      </c>
      <c r="Q97" s="40" t="str">
        <f t="shared" si="312"/>
        <v>1</v>
      </c>
      <c r="R97" s="24">
        <f t="shared" si="295"/>
        <v>8.5523295009564819</v>
      </c>
      <c r="S97" s="41" t="str">
        <f t="shared" si="277"/>
        <v>8</v>
      </c>
      <c r="T97" s="24">
        <f t="shared" si="296"/>
        <v>6.6279540114777831</v>
      </c>
      <c r="U97" s="41" t="str">
        <f t="shared" si="278"/>
        <v>6</v>
      </c>
      <c r="V97" s="24">
        <f t="shared" si="297"/>
        <v>7.5354481377333968</v>
      </c>
      <c r="W97" s="41" t="str">
        <f t="shared" si="279"/>
        <v>7</v>
      </c>
      <c r="X97" s="24">
        <f t="shared" si="298"/>
        <v>6.425377652800762</v>
      </c>
      <c r="Y97" s="41" t="str">
        <f t="shared" si="280"/>
        <v>6</v>
      </c>
      <c r="Z97" s="24">
        <f t="shared" si="299"/>
        <v>5.1045318336091441</v>
      </c>
      <c r="AA97" s="41" t="str">
        <f t="shared" si="281"/>
        <v>5</v>
      </c>
      <c r="AB97" s="24">
        <f t="shared" si="300"/>
        <v>1.254382003309729</v>
      </c>
      <c r="AC97" s="41" t="str">
        <f t="shared" si="282"/>
        <v>1</v>
      </c>
      <c r="AD97" s="24">
        <f t="shared" si="301"/>
        <v>3.0525840397167485</v>
      </c>
      <c r="AE97" s="41" t="str">
        <f t="shared" si="283"/>
        <v>3</v>
      </c>
      <c r="AF97" s="24">
        <f t="shared" si="302"/>
        <v>0.63100847660098225</v>
      </c>
      <c r="AG97" s="41" t="str">
        <f t="shared" si="284"/>
        <v>0</v>
      </c>
      <c r="AH97" s="24">
        <f t="shared" si="303"/>
        <v>7.572101719211787</v>
      </c>
      <c r="AI97" s="41" t="str">
        <f t="shared" si="285"/>
        <v>8</v>
      </c>
      <c r="AJ97" s="24">
        <f t="shared" si="304"/>
        <v>6.8652206305414438</v>
      </c>
      <c r="AK97" s="41" t="str">
        <f t="shared" si="286"/>
        <v/>
      </c>
      <c r="AL97" s="24">
        <f t="shared" si="305"/>
        <v>10.382647566497326</v>
      </c>
      <c r="AM97" s="41" t="str">
        <f t="shared" si="287"/>
        <v/>
      </c>
      <c r="AN97" s="24">
        <f t="shared" si="306"/>
        <v>4.5917707979679108</v>
      </c>
      <c r="AO97" s="41" t="str">
        <f t="shared" si="288"/>
        <v/>
      </c>
    </row>
    <row r="98" spans="1:41" ht="14.25" customHeight="1" x14ac:dyDescent="0.2">
      <c r="A98" s="602"/>
      <c r="B98" s="604"/>
      <c r="C98" s="173" t="s">
        <v>584</v>
      </c>
      <c r="D98" s="3" t="str">
        <f t="shared" si="313"/>
        <v>K</v>
      </c>
      <c r="E98" s="151">
        <f t="shared" ref="E98:E101" si="314">E97*12</f>
        <v>7.0065050287023876E-4</v>
      </c>
      <c r="F98" s="15">
        <v>-6</v>
      </c>
      <c r="G98" s="166">
        <f t="shared" si="308"/>
        <v>700.65050287023871</v>
      </c>
      <c r="H98" s="167" t="s">
        <v>561</v>
      </c>
      <c r="I98" s="159">
        <f t="shared" si="309"/>
        <v>1E-3</v>
      </c>
      <c r="J98" s="2" t="s">
        <v>556</v>
      </c>
      <c r="K98" s="8">
        <v>9</v>
      </c>
      <c r="L98" s="21">
        <f t="shared" si="310"/>
        <v>17.126941250797067</v>
      </c>
      <c r="M98" s="37" t="str">
        <f t="shared" si="292"/>
        <v>1;516343066</v>
      </c>
      <c r="N98" s="38">
        <f t="shared" si="311"/>
        <v>1</v>
      </c>
      <c r="O98" s="61">
        <f t="shared" si="294"/>
        <v>1.4272451042330889</v>
      </c>
      <c r="P98" s="39" t="str">
        <f>INDEX(powers!$H$2:$H$75,33+N98)</f>
        <v>dozen</v>
      </c>
      <c r="Q98" s="40" t="str">
        <f t="shared" si="312"/>
        <v>1</v>
      </c>
      <c r="R98" s="24">
        <f t="shared" si="295"/>
        <v>5.1269412507970671</v>
      </c>
      <c r="S98" s="41" t="str">
        <f t="shared" si="277"/>
        <v>5</v>
      </c>
      <c r="T98" s="24">
        <f t="shared" si="296"/>
        <v>1.523295009564805</v>
      </c>
      <c r="U98" s="41" t="str">
        <f t="shared" si="278"/>
        <v>1</v>
      </c>
      <c r="V98" s="24">
        <f t="shared" si="297"/>
        <v>6.2795401147776602</v>
      </c>
      <c r="W98" s="41" t="str">
        <f t="shared" si="279"/>
        <v>6</v>
      </c>
      <c r="X98" s="24">
        <f t="shared" si="298"/>
        <v>3.354481377331922</v>
      </c>
      <c r="Y98" s="41" t="str">
        <f t="shared" si="280"/>
        <v>3</v>
      </c>
      <c r="Z98" s="24">
        <f t="shared" si="299"/>
        <v>4.2537765279830637</v>
      </c>
      <c r="AA98" s="41" t="str">
        <f t="shared" si="281"/>
        <v>4</v>
      </c>
      <c r="AB98" s="24">
        <f t="shared" si="300"/>
        <v>3.0453183357967646</v>
      </c>
      <c r="AC98" s="41" t="str">
        <f t="shared" si="282"/>
        <v>3</v>
      </c>
      <c r="AD98" s="24">
        <f t="shared" si="301"/>
        <v>0.54382002956117503</v>
      </c>
      <c r="AE98" s="41" t="str">
        <f t="shared" si="283"/>
        <v>0</v>
      </c>
      <c r="AF98" s="24">
        <f t="shared" si="302"/>
        <v>6.5258403547341004</v>
      </c>
      <c r="AG98" s="41" t="str">
        <f t="shared" si="284"/>
        <v>6</v>
      </c>
      <c r="AH98" s="24">
        <f t="shared" si="303"/>
        <v>6.3100842568092048</v>
      </c>
      <c r="AI98" s="41" t="str">
        <f t="shared" si="285"/>
        <v>6</v>
      </c>
      <c r="AJ98" s="24">
        <f t="shared" si="304"/>
        <v>3.7210110817104578</v>
      </c>
      <c r="AK98" s="41" t="str">
        <f t="shared" si="286"/>
        <v/>
      </c>
      <c r="AL98" s="24">
        <f t="shared" si="305"/>
        <v>8.6521329805254936</v>
      </c>
      <c r="AM98" s="41" t="str">
        <f t="shared" si="287"/>
        <v/>
      </c>
      <c r="AN98" s="24">
        <f t="shared" si="306"/>
        <v>7.8255957663059235</v>
      </c>
      <c r="AO98" s="41" t="str">
        <f t="shared" si="288"/>
        <v/>
      </c>
    </row>
    <row r="99" spans="1:41" ht="14.25" customHeight="1" x14ac:dyDescent="0.2">
      <c r="A99" s="602"/>
      <c r="B99" s="604"/>
      <c r="C99" s="173" t="s">
        <v>585</v>
      </c>
      <c r="D99" s="3" t="str">
        <f t="shared" si="313"/>
        <v>K</v>
      </c>
      <c r="E99" s="151">
        <f t="shared" si="314"/>
        <v>8.4078060344428655E-3</v>
      </c>
      <c r="F99" s="15">
        <v>-3</v>
      </c>
      <c r="G99" s="166">
        <f t="shared" si="308"/>
        <v>8.4078060344428653</v>
      </c>
      <c r="H99" s="167" t="s">
        <v>558</v>
      </c>
      <c r="I99" s="160">
        <f t="shared" si="309"/>
        <v>0.01</v>
      </c>
      <c r="J99" s="2" t="s">
        <v>556</v>
      </c>
      <c r="K99" s="8">
        <v>9</v>
      </c>
      <c r="L99" s="21">
        <f t="shared" si="310"/>
        <v>171.26941250797069</v>
      </c>
      <c r="M99" s="37" t="str">
        <f t="shared" si="292"/>
        <v>1;233296655</v>
      </c>
      <c r="N99" s="38">
        <v>2</v>
      </c>
      <c r="O99" s="61">
        <f t="shared" si="294"/>
        <v>1.1893709201942408</v>
      </c>
      <c r="P99" s="39" t="str">
        <f>INDEX(powers!$H$2:$H$75,33+N99)</f>
        <v>gross</v>
      </c>
      <c r="Q99" s="40" t="str">
        <f t="shared" si="312"/>
        <v>1</v>
      </c>
      <c r="R99" s="24">
        <f t="shared" si="295"/>
        <v>2.2724510423308901</v>
      </c>
      <c r="S99" s="41" t="str">
        <f t="shared" si="277"/>
        <v>2</v>
      </c>
      <c r="T99" s="24">
        <f t="shared" si="296"/>
        <v>3.2694125079706815</v>
      </c>
      <c r="U99" s="41" t="str">
        <f t="shared" si="278"/>
        <v>3</v>
      </c>
      <c r="V99" s="24">
        <f t="shared" si="297"/>
        <v>3.232950095648178</v>
      </c>
      <c r="W99" s="41" t="str">
        <f t="shared" si="279"/>
        <v>3</v>
      </c>
      <c r="X99" s="24">
        <f t="shared" si="298"/>
        <v>2.7954011477781364</v>
      </c>
      <c r="Y99" s="41" t="str">
        <f t="shared" si="280"/>
        <v>2</v>
      </c>
      <c r="Z99" s="24">
        <f t="shared" si="299"/>
        <v>9.544813773337637</v>
      </c>
      <c r="AA99" s="41" t="str">
        <f t="shared" si="281"/>
        <v>9</v>
      </c>
      <c r="AB99" s="24">
        <f t="shared" si="300"/>
        <v>6.5377652800516444</v>
      </c>
      <c r="AC99" s="41" t="str">
        <f t="shared" si="282"/>
        <v>6</v>
      </c>
      <c r="AD99" s="24">
        <f t="shared" si="301"/>
        <v>6.4531833606197324</v>
      </c>
      <c r="AE99" s="41" t="str">
        <f t="shared" si="283"/>
        <v>6</v>
      </c>
      <c r="AF99" s="24">
        <f t="shared" si="302"/>
        <v>5.4382003274367889</v>
      </c>
      <c r="AG99" s="41" t="str">
        <f t="shared" si="284"/>
        <v>5</v>
      </c>
      <c r="AH99" s="24">
        <f t="shared" si="303"/>
        <v>5.2584039292414673</v>
      </c>
      <c r="AI99" s="41" t="str">
        <f t="shared" si="285"/>
        <v>5</v>
      </c>
      <c r="AJ99" s="24">
        <f t="shared" si="304"/>
        <v>3.1008471508976072</v>
      </c>
      <c r="AK99" s="41" t="str">
        <f t="shared" si="286"/>
        <v/>
      </c>
      <c r="AL99" s="24">
        <f t="shared" si="305"/>
        <v>1.2101658107712865</v>
      </c>
      <c r="AM99" s="41" t="str">
        <f t="shared" si="287"/>
        <v/>
      </c>
      <c r="AN99" s="24">
        <f t="shared" si="306"/>
        <v>2.5219897292554379</v>
      </c>
      <c r="AO99" s="41" t="str">
        <f t="shared" si="288"/>
        <v/>
      </c>
    </row>
    <row r="100" spans="1:41" ht="14.25" customHeight="1" x14ac:dyDescent="0.2">
      <c r="A100" s="602"/>
      <c r="B100" s="604"/>
      <c r="C100" s="190" t="s">
        <v>586</v>
      </c>
      <c r="D100" s="3" t="str">
        <f t="shared" si="313"/>
        <v>K</v>
      </c>
      <c r="E100" s="151">
        <f t="shared" si="314"/>
        <v>0.10089367241331439</v>
      </c>
      <c r="F100" s="15">
        <v>-3</v>
      </c>
      <c r="G100" s="166">
        <f t="shared" si="308"/>
        <v>100.89367241331439</v>
      </c>
      <c r="H100" s="167" t="s">
        <v>558</v>
      </c>
      <c r="I100" s="161">
        <f>I101/10</f>
        <v>0.1</v>
      </c>
      <c r="J100" s="2" t="s">
        <v>556</v>
      </c>
      <c r="K100" s="8">
        <v>9</v>
      </c>
      <c r="L100" s="21">
        <f t="shared" si="310"/>
        <v>1712.6941250797067</v>
      </c>
      <c r="M100" s="37" t="str">
        <f>Q100&amp;";"&amp;S100&amp;U100&amp;W100&amp;Y100&amp;AA100&amp;AC100&amp;AE100&amp;AG100&amp;AI100&amp;AK100&amp;AM100&amp;AO100</f>
        <v>E;X883E5465</v>
      </c>
      <c r="N100" s="38">
        <f>N101-1</f>
        <v>2</v>
      </c>
      <c r="O100" s="61">
        <f t="shared" si="294"/>
        <v>11.893709201942407</v>
      </c>
      <c r="P100" s="39" t="str">
        <f>INDEX(powers!$H$2:$H$75,33+N100)</f>
        <v>gross</v>
      </c>
      <c r="Q100" s="40" t="str">
        <f t="shared" si="312"/>
        <v>E</v>
      </c>
      <c r="R100" s="24">
        <f>(O100-INT(O100))*12</f>
        <v>10.724510423308885</v>
      </c>
      <c r="S100" s="41" t="str">
        <f t="shared" si="277"/>
        <v>X</v>
      </c>
      <c r="T100" s="24">
        <f>(R100-INT(R100))*12</f>
        <v>8.6941250797066232</v>
      </c>
      <c r="U100" s="41" t="str">
        <f t="shared" si="278"/>
        <v>8</v>
      </c>
      <c r="V100" s="24">
        <f>(T100-INT(T100))*12</f>
        <v>8.3295009564794782</v>
      </c>
      <c r="W100" s="41" t="str">
        <f t="shared" si="279"/>
        <v>8</v>
      </c>
      <c r="X100" s="24">
        <f>(V100-INT(V100))*12</f>
        <v>3.9540114777537383</v>
      </c>
      <c r="Y100" s="41" t="str">
        <f t="shared" si="280"/>
        <v>3</v>
      </c>
      <c r="Z100" s="24">
        <f>(X100-INT(X100))*12</f>
        <v>11.448137733044859</v>
      </c>
      <c r="AA100" s="41" t="str">
        <f t="shared" si="281"/>
        <v>E</v>
      </c>
      <c r="AB100" s="24">
        <f>(Z100-INT(Z100))*12</f>
        <v>5.3776527965383139</v>
      </c>
      <c r="AC100" s="41" t="str">
        <f t="shared" si="282"/>
        <v>5</v>
      </c>
      <c r="AD100" s="24">
        <f>(AB100-INT(AB100))*12</f>
        <v>4.5318335584597662</v>
      </c>
      <c r="AE100" s="41" t="str">
        <f t="shared" si="283"/>
        <v>4</v>
      </c>
      <c r="AF100" s="24">
        <f>(AD100-INT(AD100))*12</f>
        <v>6.3820027015171945</v>
      </c>
      <c r="AG100" s="41" t="str">
        <f t="shared" si="284"/>
        <v>6</v>
      </c>
      <c r="AH100" s="24">
        <f>(AF100-INT(AF100))*12</f>
        <v>4.5840324182063341</v>
      </c>
      <c r="AI100" s="41" t="str">
        <f t="shared" si="285"/>
        <v>5</v>
      </c>
      <c r="AJ100" s="24">
        <f>(AH100-INT(AH100))*12</f>
        <v>7.0083890184760094</v>
      </c>
      <c r="AK100" s="41" t="str">
        <f t="shared" si="286"/>
        <v/>
      </c>
      <c r="AL100" s="24">
        <f>(AJ100-INT(AJ100))*12</f>
        <v>0.10066822171211243</v>
      </c>
      <c r="AM100" s="41" t="str">
        <f t="shared" si="287"/>
        <v/>
      </c>
      <c r="AN100" s="24">
        <f>(AL100-INT(AL100))*12</f>
        <v>1.2080186605453491</v>
      </c>
      <c r="AO100" s="41" t="str">
        <f t="shared" si="288"/>
        <v/>
      </c>
    </row>
    <row r="101" spans="1:41" ht="14.25" customHeight="1" x14ac:dyDescent="0.2">
      <c r="A101" s="602"/>
      <c r="B101" s="604"/>
      <c r="C101" s="188" t="s">
        <v>344</v>
      </c>
      <c r="D101" s="3" t="str">
        <f t="shared" si="313"/>
        <v>K</v>
      </c>
      <c r="E101" s="151">
        <f t="shared" si="314"/>
        <v>1.2107240689597727</v>
      </c>
      <c r="F101" s="15">
        <v>0</v>
      </c>
      <c r="G101" s="166">
        <f t="shared" si="308"/>
        <v>1.2107240689597727</v>
      </c>
      <c r="H101" s="167" t="s">
        <v>557</v>
      </c>
      <c r="I101" s="162">
        <v>1</v>
      </c>
      <c r="J101" s="2" t="s">
        <v>556</v>
      </c>
      <c r="K101" s="8">
        <v>9</v>
      </c>
      <c r="L101" s="21">
        <f>1/E101*POWER(12,4)</f>
        <v>17126.941250797066</v>
      </c>
      <c r="M101" s="37" t="str">
        <f>Q101&amp;";"&amp;S101&amp;U101&amp;W101&amp;Y101&amp;AA101&amp;AC101&amp;AE101&amp;AG101&amp;AI101&amp;AK101&amp;AM101&amp;AO101</f>
        <v>9;XE2E36594</v>
      </c>
      <c r="N101" s="38">
        <v>3</v>
      </c>
      <c r="O101" s="61">
        <f t="shared" si="294"/>
        <v>9.9114243349520059</v>
      </c>
      <c r="P101" s="39" t="str">
        <f>INDEX(powers!$H$2:$H$75,33+N101)</f>
        <v>doz gross</v>
      </c>
      <c r="Q101" s="40" t="str">
        <f t="shared" si="312"/>
        <v>9</v>
      </c>
      <c r="R101" s="24">
        <f>(O101-INT(O101))*12</f>
        <v>10.937092019424071</v>
      </c>
      <c r="S101" s="41" t="str">
        <f t="shared" si="277"/>
        <v>X</v>
      </c>
      <c r="T101" s="24">
        <f>(R101-INT(R101))*12</f>
        <v>11.245104233088853</v>
      </c>
      <c r="U101" s="41" t="str">
        <f t="shared" si="278"/>
        <v>E</v>
      </c>
      <c r="V101" s="24">
        <f>(T101-INT(T101))*12</f>
        <v>2.9412507970662318</v>
      </c>
      <c r="W101" s="41" t="str">
        <f t="shared" si="279"/>
        <v>2</v>
      </c>
      <c r="X101" s="24">
        <f>(V101-INT(V101))*12</f>
        <v>11.295009564794782</v>
      </c>
      <c r="Y101" s="41" t="str">
        <f t="shared" si="280"/>
        <v>E</v>
      </c>
      <c r="Z101" s="24">
        <f>(X101-INT(X101))*12</f>
        <v>3.5401147775373829</v>
      </c>
      <c r="AA101" s="41" t="str">
        <f t="shared" si="281"/>
        <v>3</v>
      </c>
      <c r="AB101" s="24">
        <f>(Z101-INT(Z101))*12</f>
        <v>6.4813773304485949</v>
      </c>
      <c r="AC101" s="41" t="str">
        <f t="shared" si="282"/>
        <v>6</v>
      </c>
      <c r="AD101" s="24">
        <f>(AB101-INT(AB101))*12</f>
        <v>5.7765279653831385</v>
      </c>
      <c r="AE101" s="41" t="str">
        <f t="shared" si="283"/>
        <v>5</v>
      </c>
      <c r="AF101" s="24">
        <f>(AD101-INT(AD101))*12</f>
        <v>9.3183355845976621</v>
      </c>
      <c r="AG101" s="41" t="str">
        <f t="shared" si="284"/>
        <v>9</v>
      </c>
      <c r="AH101" s="24">
        <f>(AF101-INT(AF101))*12</f>
        <v>3.8200270151719451</v>
      </c>
      <c r="AI101" s="41" t="str">
        <f t="shared" si="285"/>
        <v>4</v>
      </c>
      <c r="AJ101" s="24">
        <f>(AH101-INT(AH101))*12</f>
        <v>9.8403241820633411</v>
      </c>
      <c r="AK101" s="41" t="str">
        <f t="shared" si="286"/>
        <v/>
      </c>
      <c r="AL101" s="24">
        <f>(AJ101-INT(AJ101))*12</f>
        <v>10.083890184760094</v>
      </c>
      <c r="AM101" s="41" t="str">
        <f t="shared" si="287"/>
        <v/>
      </c>
      <c r="AN101" s="24">
        <f>(AL101-INT(AL101))*12</f>
        <v>1.0066822171211243</v>
      </c>
      <c r="AO101" s="41" t="str">
        <f t="shared" si="288"/>
        <v/>
      </c>
    </row>
    <row r="102" spans="1:41" ht="14.25" customHeight="1" x14ac:dyDescent="0.2">
      <c r="A102" s="602"/>
      <c r="B102" s="604"/>
      <c r="C102" s="188" t="s">
        <v>345</v>
      </c>
      <c r="D102" s="3" t="str">
        <f t="shared" si="313"/>
        <v>K</v>
      </c>
      <c r="E102" s="151">
        <f>E101*12</f>
        <v>14.528688827517271</v>
      </c>
      <c r="F102" s="15">
        <v>0</v>
      </c>
      <c r="G102" s="166">
        <f t="shared" si="308"/>
        <v>14.528688827517271</v>
      </c>
      <c r="H102" s="167" t="s">
        <v>557</v>
      </c>
      <c r="I102" s="162">
        <f>I101*10</f>
        <v>10</v>
      </c>
      <c r="J102" s="2" t="s">
        <v>556</v>
      </c>
      <c r="K102" s="8">
        <v>9</v>
      </c>
      <c r="L102" s="21">
        <f t="shared" ref="L102" si="315">L101*10</f>
        <v>171269.41250797067</v>
      </c>
      <c r="M102" s="37" t="str">
        <f>Q102&amp;";"&amp;S102&amp;U102&amp;W102&amp;Y102&amp;AA102&amp;AC102&amp;AE102&amp;AG102&amp;AI102&amp;AK102&amp;AM102&amp;AO102</f>
        <v>8;31454E499</v>
      </c>
      <c r="N102" s="38">
        <f>N101+1</f>
        <v>4</v>
      </c>
      <c r="O102" s="61">
        <f t="shared" si="294"/>
        <v>8.2595202791266722</v>
      </c>
      <c r="P102" s="39" t="str">
        <f>INDEX(powers!$H$2:$H$75,33+N102)</f>
        <v>hyper</v>
      </c>
      <c r="Q102" s="40" t="str">
        <f t="shared" si="312"/>
        <v>8</v>
      </c>
      <c r="R102" s="24">
        <f>(O102-INT(O102))*12</f>
        <v>3.1142433495200663</v>
      </c>
      <c r="S102" s="41" t="str">
        <f t="shared" si="277"/>
        <v>3</v>
      </c>
      <c r="T102" s="24">
        <f>(R102-INT(R102))*12</f>
        <v>1.3709201942407958</v>
      </c>
      <c r="U102" s="41" t="str">
        <f t="shared" si="278"/>
        <v>1</v>
      </c>
      <c r="V102" s="24">
        <f>(T102-INT(T102))*12</f>
        <v>4.4510423308895497</v>
      </c>
      <c r="W102" s="41" t="str">
        <f t="shared" si="279"/>
        <v>4</v>
      </c>
      <c r="X102" s="24">
        <f>(V102-INT(V102))*12</f>
        <v>5.4125079706745964</v>
      </c>
      <c r="Y102" s="41" t="str">
        <f t="shared" si="280"/>
        <v>5</v>
      </c>
      <c r="Z102" s="24">
        <f>(X102-INT(X102))*12</f>
        <v>4.9500956480951572</v>
      </c>
      <c r="AA102" s="41" t="str">
        <f t="shared" si="281"/>
        <v>4</v>
      </c>
      <c r="AB102" s="24">
        <f>(Z102-INT(Z102))*12</f>
        <v>11.401147777141887</v>
      </c>
      <c r="AC102" s="41" t="str">
        <f t="shared" si="282"/>
        <v>E</v>
      </c>
      <c r="AD102" s="24">
        <f>(AB102-INT(AB102))*12</f>
        <v>4.8137733257026412</v>
      </c>
      <c r="AE102" s="41" t="str">
        <f t="shared" si="283"/>
        <v>4</v>
      </c>
      <c r="AF102" s="24">
        <f>(AD102-INT(AD102))*12</f>
        <v>9.7652799084316939</v>
      </c>
      <c r="AG102" s="41" t="str">
        <f t="shared" si="284"/>
        <v>9</v>
      </c>
      <c r="AH102" s="24">
        <f>(AF102-INT(AF102))*12</f>
        <v>9.1833589011803269</v>
      </c>
      <c r="AI102" s="41" t="str">
        <f t="shared" si="285"/>
        <v>9</v>
      </c>
      <c r="AJ102" s="24">
        <f>(AH102-INT(AH102))*12</f>
        <v>2.2003068141639233</v>
      </c>
      <c r="AK102" s="41" t="str">
        <f t="shared" si="286"/>
        <v/>
      </c>
      <c r="AL102" s="24">
        <f>(AJ102-INT(AJ102))*12</f>
        <v>2.4036817699670792</v>
      </c>
      <c r="AM102" s="41" t="str">
        <f t="shared" si="287"/>
        <v/>
      </c>
      <c r="AN102" s="24">
        <f>(AL102-INT(AL102))*12</f>
        <v>4.84418123960495</v>
      </c>
      <c r="AO102" s="41" t="str">
        <f t="shared" si="288"/>
        <v/>
      </c>
    </row>
    <row r="103" spans="1:41" ht="14.25" customHeight="1" x14ac:dyDescent="0.2">
      <c r="A103" s="602"/>
      <c r="B103" s="604"/>
      <c r="C103" s="212" t="s">
        <v>346</v>
      </c>
      <c r="D103" s="5" t="str">
        <f t="shared" si="313"/>
        <v>K</v>
      </c>
      <c r="E103" s="151">
        <f t="shared" ref="E103:E107" si="316">E102*12</f>
        <v>174.34426593020726</v>
      </c>
      <c r="F103" s="15">
        <v>0</v>
      </c>
      <c r="G103" s="166">
        <f t="shared" si="308"/>
        <v>174.34426593020726</v>
      </c>
      <c r="H103" s="167" t="s">
        <v>557</v>
      </c>
      <c r="I103" s="162">
        <f>I102*10</f>
        <v>100</v>
      </c>
      <c r="J103" s="2" t="s">
        <v>556</v>
      </c>
      <c r="K103" s="8">
        <v>9</v>
      </c>
      <c r="L103" s="21">
        <f>L102*10</f>
        <v>1712694.1250797068</v>
      </c>
      <c r="M103" s="37" t="str">
        <f>Q103&amp;";"&amp;S103&amp;U103&amp;W103&amp;Y103&amp;AA103&amp;AC103&amp;AE103&amp;AG103&amp;AI103&amp;AK103&amp;AM103&amp;AO103</f>
        <v>6;X71861602</v>
      </c>
      <c r="N103" s="38">
        <f>N102+1</f>
        <v>5</v>
      </c>
      <c r="O103" s="61">
        <f t="shared" si="294"/>
        <v>6.8829335659388935</v>
      </c>
      <c r="P103" s="39" t="str">
        <f>INDEX(powers!$H$2:$H$75,33+N103)</f>
        <v>terno cosmic</v>
      </c>
      <c r="Q103" s="40" t="str">
        <f t="shared" si="312"/>
        <v>6</v>
      </c>
      <c r="R103" s="24">
        <f>(O103-INT(O103))*12</f>
        <v>10.595202791266722</v>
      </c>
      <c r="S103" s="41" t="str">
        <f t="shared" si="277"/>
        <v>X</v>
      </c>
      <c r="T103" s="24">
        <f>(R103-INT(R103))*12</f>
        <v>7.1424334952006632</v>
      </c>
      <c r="U103" s="41" t="str">
        <f t="shared" si="278"/>
        <v>7</v>
      </c>
      <c r="V103" s="24">
        <f>(T103-INT(T103))*12</f>
        <v>1.7092019424079581</v>
      </c>
      <c r="W103" s="41" t="str">
        <f t="shared" si="279"/>
        <v>1</v>
      </c>
      <c r="X103" s="24">
        <f>(V103-INT(V103))*12</f>
        <v>8.510423308895497</v>
      </c>
      <c r="Y103" s="41" t="str">
        <f t="shared" si="280"/>
        <v>8</v>
      </c>
      <c r="Z103" s="24">
        <f>(X103-INT(X103))*12</f>
        <v>6.1250797067459644</v>
      </c>
      <c r="AA103" s="41" t="str">
        <f t="shared" si="281"/>
        <v>6</v>
      </c>
      <c r="AB103" s="24">
        <f>(Z103-INT(Z103))*12</f>
        <v>1.5009564809515723</v>
      </c>
      <c r="AC103" s="41" t="str">
        <f t="shared" si="282"/>
        <v>1</v>
      </c>
      <c r="AD103" s="24">
        <f>(AB103-INT(AB103))*12</f>
        <v>6.0114777714188676</v>
      </c>
      <c r="AE103" s="41" t="str">
        <f t="shared" si="283"/>
        <v>6</v>
      </c>
      <c r="AF103" s="24">
        <f>(AD103-INT(AD103))*12</f>
        <v>0.13773325702641159</v>
      </c>
      <c r="AG103" s="41" t="str">
        <f t="shared" si="284"/>
        <v>0</v>
      </c>
      <c r="AH103" s="24">
        <f>(AF103-INT(AF103))*12</f>
        <v>1.6527990843169391</v>
      </c>
      <c r="AI103" s="41" t="str">
        <f t="shared" si="285"/>
        <v>2</v>
      </c>
      <c r="AJ103" s="24">
        <f>(AH103-INT(AH103))*12</f>
        <v>7.8335890118032694</v>
      </c>
      <c r="AK103" s="41" t="str">
        <f t="shared" si="286"/>
        <v/>
      </c>
      <c r="AL103" s="24">
        <f>(AJ103-INT(AJ103))*12</f>
        <v>10.003068141639233</v>
      </c>
      <c r="AM103" s="41" t="str">
        <f t="shared" si="287"/>
        <v/>
      </c>
      <c r="AN103" s="24">
        <f>(AL103-INT(AL103))*12</f>
        <v>3.6817699670791626E-2</v>
      </c>
      <c r="AO103" s="41" t="str">
        <f t="shared" si="288"/>
        <v/>
      </c>
    </row>
    <row r="104" spans="1:41" ht="14.25" customHeight="1" x14ac:dyDescent="0.2">
      <c r="A104" s="602"/>
      <c r="B104" s="604"/>
      <c r="C104" s="188" t="s">
        <v>347</v>
      </c>
      <c r="D104" s="3" t="str">
        <f t="shared" si="313"/>
        <v>K</v>
      </c>
      <c r="E104" s="151">
        <f t="shared" si="316"/>
        <v>2092.1311911624871</v>
      </c>
      <c r="F104" s="15">
        <v>3</v>
      </c>
      <c r="G104" s="166">
        <f t="shared" si="308"/>
        <v>2.0921311911624869</v>
      </c>
      <c r="H104" s="167" t="s">
        <v>559</v>
      </c>
      <c r="I104" s="162">
        <f t="shared" ref="I104:I107" si="317">I103*10</f>
        <v>1000</v>
      </c>
      <c r="J104" s="2" t="s">
        <v>556</v>
      </c>
      <c r="K104" s="8">
        <v>9</v>
      </c>
      <c r="L104" s="21">
        <f t="shared" ref="L104:L107" si="318">L103*10</f>
        <v>17126941.250797067</v>
      </c>
      <c r="M104" s="37" t="str">
        <f t="shared" ref="M104:M107" si="319">Q104&amp;";"&amp;S104&amp;U104&amp;W104&amp;Y104&amp;AA104&amp;AC104&amp;AE104&amp;AG104&amp;AI104&amp;AK104&amp;AM104&amp;AO104</f>
        <v>5;89E511301</v>
      </c>
      <c r="N104" s="38">
        <f t="shared" ref="N104:N106" si="320">N103+1</f>
        <v>6</v>
      </c>
      <c r="O104" s="61">
        <f t="shared" ref="O104:O121" si="321">L104/POWER(12,N104)</f>
        <v>5.735777971615744</v>
      </c>
      <c r="P104" s="39" t="str">
        <f>INDEX(powers!$H$2:$H$75,33+N104)</f>
        <v>dino cosmic</v>
      </c>
      <c r="Q104" s="40" t="str">
        <f t="shared" si="312"/>
        <v>5</v>
      </c>
      <c r="R104" s="24">
        <f t="shared" ref="R104:R107" si="322">(O104-INT(O104))*12</f>
        <v>8.8293356593889278</v>
      </c>
      <c r="S104" s="41" t="str">
        <f t="shared" si="277"/>
        <v>8</v>
      </c>
      <c r="T104" s="24">
        <f t="shared" ref="T104:T107" si="323">(R104-INT(R104))*12</f>
        <v>9.952027912667134</v>
      </c>
      <c r="U104" s="41" t="str">
        <f t="shared" si="278"/>
        <v>9</v>
      </c>
      <c r="V104" s="24">
        <f t="shared" ref="V104:V107" si="324">(T104-INT(T104))*12</f>
        <v>11.424334952005609</v>
      </c>
      <c r="W104" s="41" t="str">
        <f t="shared" si="279"/>
        <v>E</v>
      </c>
      <c r="X104" s="24">
        <f t="shared" ref="X104:X107" si="325">(V104-INT(V104))*12</f>
        <v>5.0920194240673027</v>
      </c>
      <c r="Y104" s="41" t="str">
        <f t="shared" si="280"/>
        <v>5</v>
      </c>
      <c r="Z104" s="24">
        <f t="shared" ref="Z104:Z107" si="326">(X104-INT(X104))*12</f>
        <v>1.1042330888076322</v>
      </c>
      <c r="AA104" s="41" t="str">
        <f t="shared" si="281"/>
        <v>1</v>
      </c>
      <c r="AB104" s="24">
        <f t="shared" ref="AB104:AB107" si="327">(Z104-INT(Z104))*12</f>
        <v>1.2507970656915859</v>
      </c>
      <c r="AC104" s="41" t="str">
        <f t="shared" si="282"/>
        <v>1</v>
      </c>
      <c r="AD104" s="24">
        <f t="shared" ref="AD104:AD107" si="328">(AB104-INT(AB104))*12</f>
        <v>3.0095647882990306</v>
      </c>
      <c r="AE104" s="41" t="str">
        <f t="shared" si="283"/>
        <v>3</v>
      </c>
      <c r="AF104" s="24">
        <f t="shared" ref="AF104:AF107" si="329">(AD104-INT(AD104))*12</f>
        <v>0.11477745958836749</v>
      </c>
      <c r="AG104" s="41" t="str">
        <f t="shared" si="284"/>
        <v>0</v>
      </c>
      <c r="AH104" s="24">
        <f t="shared" ref="AH104:AH107" si="330">(AF104-INT(AF104))*12</f>
        <v>1.3773295150604099</v>
      </c>
      <c r="AI104" s="41" t="str">
        <f t="shared" si="285"/>
        <v>1</v>
      </c>
      <c r="AJ104" s="24">
        <f t="shared" ref="AJ104:AJ107" si="331">(AH104-INT(AH104))*12</f>
        <v>4.5279541807249188</v>
      </c>
      <c r="AK104" s="41" t="str">
        <f t="shared" si="286"/>
        <v/>
      </c>
      <c r="AL104" s="24">
        <f t="shared" ref="AL104:AL107" si="332">(AJ104-INT(AJ104))*12</f>
        <v>6.3354501686990261</v>
      </c>
      <c r="AM104" s="41" t="str">
        <f t="shared" si="287"/>
        <v/>
      </c>
      <c r="AN104" s="24">
        <f t="shared" ref="AN104:AN107" si="333">(AL104-INT(AL104))*12</f>
        <v>4.0254020243883133</v>
      </c>
      <c r="AO104" s="41" t="str">
        <f t="shared" si="288"/>
        <v/>
      </c>
    </row>
    <row r="105" spans="1:41" ht="14.25" customHeight="1" x14ac:dyDescent="0.2">
      <c r="A105" s="602"/>
      <c r="B105" s="604"/>
      <c r="C105" s="188" t="s">
        <v>348</v>
      </c>
      <c r="D105" s="3" t="str">
        <f t="shared" si="313"/>
        <v>K</v>
      </c>
      <c r="E105" s="151">
        <f t="shared" si="316"/>
        <v>25105.574293949845</v>
      </c>
      <c r="F105" s="15">
        <v>3</v>
      </c>
      <c r="G105" s="166">
        <f t="shared" si="308"/>
        <v>25.105574293949847</v>
      </c>
      <c r="H105" s="167" t="s">
        <v>559</v>
      </c>
      <c r="I105" s="162">
        <f t="shared" si="317"/>
        <v>10000</v>
      </c>
      <c r="J105" s="2" t="s">
        <v>556</v>
      </c>
      <c r="K105" s="8">
        <v>9</v>
      </c>
      <c r="L105" s="21">
        <f t="shared" si="318"/>
        <v>171269412.50797066</v>
      </c>
      <c r="M105" s="37" t="str">
        <f t="shared" si="319"/>
        <v>4;94362E061</v>
      </c>
      <c r="N105" s="38">
        <f t="shared" si="320"/>
        <v>7</v>
      </c>
      <c r="O105" s="61">
        <f t="shared" si="321"/>
        <v>4.7798149763464535</v>
      </c>
      <c r="P105" s="39" t="str">
        <f>INDEX(powers!$H$2:$H$75,33+N105)</f>
        <v>unino cosmic</v>
      </c>
      <c r="Q105" s="40" t="str">
        <f t="shared" si="312"/>
        <v>4</v>
      </c>
      <c r="R105" s="24">
        <f t="shared" si="322"/>
        <v>9.3577797161574416</v>
      </c>
      <c r="S105" s="41" t="str">
        <f t="shared" si="277"/>
        <v>9</v>
      </c>
      <c r="T105" s="24">
        <f t="shared" si="323"/>
        <v>4.2933565938892997</v>
      </c>
      <c r="U105" s="41" t="str">
        <f t="shared" si="278"/>
        <v>4</v>
      </c>
      <c r="V105" s="24">
        <f t="shared" si="324"/>
        <v>3.5202791266715963</v>
      </c>
      <c r="W105" s="41" t="str">
        <f t="shared" si="279"/>
        <v>3</v>
      </c>
      <c r="X105" s="24">
        <f t="shared" si="325"/>
        <v>6.2433495200591551</v>
      </c>
      <c r="Y105" s="41" t="str">
        <f t="shared" si="280"/>
        <v>6</v>
      </c>
      <c r="Z105" s="24">
        <f t="shared" si="326"/>
        <v>2.9201942407098613</v>
      </c>
      <c r="AA105" s="41" t="str">
        <f t="shared" si="281"/>
        <v>2</v>
      </c>
      <c r="AB105" s="24">
        <f t="shared" si="327"/>
        <v>11.042330888518336</v>
      </c>
      <c r="AC105" s="41" t="str">
        <f t="shared" si="282"/>
        <v>E</v>
      </c>
      <c r="AD105" s="24">
        <f t="shared" si="328"/>
        <v>0.50797066222003195</v>
      </c>
      <c r="AE105" s="41" t="str">
        <f t="shared" si="283"/>
        <v>0</v>
      </c>
      <c r="AF105" s="24">
        <f t="shared" si="329"/>
        <v>6.0956479466403835</v>
      </c>
      <c r="AG105" s="41" t="str">
        <f t="shared" si="284"/>
        <v>6</v>
      </c>
      <c r="AH105" s="24">
        <f t="shared" si="330"/>
        <v>1.1477753596846014</v>
      </c>
      <c r="AI105" s="41" t="str">
        <f t="shared" si="285"/>
        <v>1</v>
      </c>
      <c r="AJ105" s="24">
        <f t="shared" si="331"/>
        <v>1.7733043162152171</v>
      </c>
      <c r="AK105" s="41" t="str">
        <f t="shared" si="286"/>
        <v/>
      </c>
      <c r="AL105" s="24">
        <f t="shared" si="332"/>
        <v>9.2796517945826054</v>
      </c>
      <c r="AM105" s="41" t="str">
        <f t="shared" si="287"/>
        <v/>
      </c>
      <c r="AN105" s="24">
        <f t="shared" si="333"/>
        <v>3.3558215349912643</v>
      </c>
      <c r="AO105" s="41" t="str">
        <f t="shared" si="288"/>
        <v/>
      </c>
    </row>
    <row r="106" spans="1:41" ht="14.25" customHeight="1" x14ac:dyDescent="0.2">
      <c r="A106" s="602"/>
      <c r="B106" s="604"/>
      <c r="C106" s="188" t="s">
        <v>588</v>
      </c>
      <c r="D106" s="3" t="str">
        <f t="shared" si="313"/>
        <v>K</v>
      </c>
      <c r="E106" s="151">
        <f t="shared" si="316"/>
        <v>301266.89152739814</v>
      </c>
      <c r="F106" s="15">
        <v>3</v>
      </c>
      <c r="G106" s="166">
        <f t="shared" si="308"/>
        <v>301.26689152739817</v>
      </c>
      <c r="H106" s="167" t="s">
        <v>559</v>
      </c>
      <c r="I106" s="162">
        <f t="shared" si="317"/>
        <v>100000</v>
      </c>
      <c r="J106" s="2" t="s">
        <v>556</v>
      </c>
      <c r="K106" s="8">
        <v>9</v>
      </c>
      <c r="L106" s="21">
        <f t="shared" si="318"/>
        <v>1712694125.0797067</v>
      </c>
      <c r="M106" s="37" t="str">
        <f t="shared" si="319"/>
        <v>3;E96E25251</v>
      </c>
      <c r="N106" s="38">
        <f t="shared" si="320"/>
        <v>8</v>
      </c>
      <c r="O106" s="61">
        <f t="shared" si="321"/>
        <v>3.9831791469553779</v>
      </c>
      <c r="P106" s="39" t="str">
        <f>INDEX(powers!$H$2:$H$75,33+N106)</f>
        <v>cosmic</v>
      </c>
      <c r="Q106" s="40" t="str">
        <f t="shared" si="312"/>
        <v>3</v>
      </c>
      <c r="R106" s="24">
        <f t="shared" si="322"/>
        <v>11.798149763464535</v>
      </c>
      <c r="S106" s="41" t="str">
        <f t="shared" si="277"/>
        <v>E</v>
      </c>
      <c r="T106" s="24">
        <f t="shared" si="323"/>
        <v>9.5777971615744164</v>
      </c>
      <c r="U106" s="41" t="str">
        <f t="shared" si="278"/>
        <v>9</v>
      </c>
      <c r="V106" s="24">
        <f t="shared" si="324"/>
        <v>6.9335659388929969</v>
      </c>
      <c r="W106" s="41" t="str">
        <f t="shared" si="279"/>
        <v>6</v>
      </c>
      <c r="X106" s="24">
        <f t="shared" si="325"/>
        <v>11.202791266715963</v>
      </c>
      <c r="Y106" s="41" t="str">
        <f t="shared" si="280"/>
        <v>E</v>
      </c>
      <c r="Z106" s="24">
        <f t="shared" si="326"/>
        <v>2.4334952005915511</v>
      </c>
      <c r="AA106" s="41" t="str">
        <f t="shared" si="281"/>
        <v>2</v>
      </c>
      <c r="AB106" s="24">
        <f t="shared" si="327"/>
        <v>5.2019424070986133</v>
      </c>
      <c r="AC106" s="41" t="str">
        <f t="shared" si="282"/>
        <v>5</v>
      </c>
      <c r="AD106" s="24">
        <f t="shared" si="328"/>
        <v>2.42330888518336</v>
      </c>
      <c r="AE106" s="41" t="str">
        <f t="shared" si="283"/>
        <v>2</v>
      </c>
      <c r="AF106" s="24">
        <f t="shared" si="329"/>
        <v>5.0797066222003195</v>
      </c>
      <c r="AG106" s="41" t="str">
        <f t="shared" si="284"/>
        <v>5</v>
      </c>
      <c r="AH106" s="24">
        <f t="shared" si="330"/>
        <v>0.95647946640383452</v>
      </c>
      <c r="AI106" s="41" t="str">
        <f t="shared" si="285"/>
        <v>1</v>
      </c>
      <c r="AJ106" s="24">
        <f t="shared" si="331"/>
        <v>11.477753596846014</v>
      </c>
      <c r="AK106" s="41" t="str">
        <f t="shared" si="286"/>
        <v/>
      </c>
      <c r="AL106" s="24">
        <f t="shared" si="332"/>
        <v>5.7330431621521711</v>
      </c>
      <c r="AM106" s="41" t="str">
        <f t="shared" si="287"/>
        <v/>
      </c>
      <c r="AN106" s="24">
        <f t="shared" si="333"/>
        <v>8.7965179458260536</v>
      </c>
      <c r="AO106" s="41" t="str">
        <f t="shared" si="288"/>
        <v/>
      </c>
    </row>
    <row r="107" spans="1:41" ht="14.25" customHeight="1" thickBot="1" x14ac:dyDescent="0.25">
      <c r="A107" s="602"/>
      <c r="B107" s="605"/>
      <c r="C107" s="189" t="s">
        <v>589</v>
      </c>
      <c r="D107" s="89" t="str">
        <f t="shared" si="313"/>
        <v>K</v>
      </c>
      <c r="E107" s="175">
        <f t="shared" si="316"/>
        <v>3615202.6983287777</v>
      </c>
      <c r="F107" s="176">
        <v>6</v>
      </c>
      <c r="G107" s="177">
        <f t="shared" si="308"/>
        <v>3.6152026983287775</v>
      </c>
      <c r="H107" s="178" t="s">
        <v>560</v>
      </c>
      <c r="I107" s="163">
        <f t="shared" si="317"/>
        <v>1000000</v>
      </c>
      <c r="J107" s="6" t="s">
        <v>556</v>
      </c>
      <c r="K107" s="30">
        <v>9</v>
      </c>
      <c r="L107" s="29">
        <f t="shared" si="318"/>
        <v>17126941250.797066</v>
      </c>
      <c r="M107" s="108" t="str">
        <f t="shared" si="319"/>
        <v>3;39E940403</v>
      </c>
      <c r="N107" s="43">
        <f>N106+1</f>
        <v>9</v>
      </c>
      <c r="O107" s="62">
        <f t="shared" si="321"/>
        <v>3.319315955796148</v>
      </c>
      <c r="P107" s="44" t="str">
        <f>INDEX(powers!$H$2:$H$75,33+N107)</f>
        <v>dozen cosmic</v>
      </c>
      <c r="Q107" s="40" t="str">
        <f t="shared" si="312"/>
        <v>3</v>
      </c>
      <c r="R107" s="24">
        <f t="shared" si="322"/>
        <v>3.8317914695537763</v>
      </c>
      <c r="S107" s="41" t="str">
        <f t="shared" si="277"/>
        <v>3</v>
      </c>
      <c r="T107" s="24">
        <f t="shared" si="323"/>
        <v>9.981497634645315</v>
      </c>
      <c r="U107" s="41" t="str">
        <f t="shared" si="278"/>
        <v>9</v>
      </c>
      <c r="V107" s="24">
        <f t="shared" si="324"/>
        <v>11.77797161574378</v>
      </c>
      <c r="W107" s="41" t="str">
        <f t="shared" si="279"/>
        <v>E</v>
      </c>
      <c r="X107" s="24">
        <f t="shared" si="325"/>
        <v>9.3356593889253645</v>
      </c>
      <c r="Y107" s="41" t="str">
        <f t="shared" si="280"/>
        <v>9</v>
      </c>
      <c r="Z107" s="24">
        <f t="shared" si="326"/>
        <v>4.0279126671043741</v>
      </c>
      <c r="AA107" s="41" t="str">
        <f t="shared" si="281"/>
        <v>4</v>
      </c>
      <c r="AB107" s="24">
        <f t="shared" si="327"/>
        <v>0.33495200525248947</v>
      </c>
      <c r="AC107" s="41" t="str">
        <f t="shared" si="282"/>
        <v>0</v>
      </c>
      <c r="AD107" s="24">
        <f t="shared" si="328"/>
        <v>4.0194240630298737</v>
      </c>
      <c r="AE107" s="41" t="str">
        <f t="shared" si="283"/>
        <v>4</v>
      </c>
      <c r="AF107" s="24">
        <f t="shared" si="329"/>
        <v>0.23308875635848381</v>
      </c>
      <c r="AG107" s="41" t="str">
        <f t="shared" si="284"/>
        <v>0</v>
      </c>
      <c r="AH107" s="24">
        <f t="shared" si="330"/>
        <v>2.7970650763018057</v>
      </c>
      <c r="AI107" s="41" t="str">
        <f t="shared" si="285"/>
        <v>3</v>
      </c>
      <c r="AJ107" s="24">
        <f t="shared" si="331"/>
        <v>9.5647809156216681</v>
      </c>
      <c r="AK107" s="41" t="str">
        <f t="shared" si="286"/>
        <v/>
      </c>
      <c r="AL107" s="24">
        <f t="shared" si="332"/>
        <v>6.7773709874600172</v>
      </c>
      <c r="AM107" s="41" t="str">
        <f t="shared" si="287"/>
        <v/>
      </c>
      <c r="AN107" s="24">
        <f t="shared" si="333"/>
        <v>9.3284518495202065</v>
      </c>
      <c r="AO107" s="41" t="str">
        <f t="shared" si="288"/>
        <v/>
      </c>
    </row>
    <row r="108" spans="1:41" ht="14.25" customHeight="1" x14ac:dyDescent="0.2">
      <c r="A108" s="602"/>
      <c r="B108" s="606" t="s">
        <v>568</v>
      </c>
      <c r="C108" s="223" t="s">
        <v>542</v>
      </c>
      <c r="D108" s="224" t="s">
        <v>566</v>
      </c>
      <c r="E108" s="151">
        <f>E109/12</f>
        <v>0.89354398274847024</v>
      </c>
      <c r="F108" s="15">
        <v>0</v>
      </c>
      <c r="G108" s="166">
        <f t="shared" si="308"/>
        <v>0.89354398274847024</v>
      </c>
      <c r="H108" s="167" t="s">
        <v>136</v>
      </c>
      <c r="I108" s="192">
        <v>1</v>
      </c>
      <c r="J108" s="144" t="s">
        <v>136</v>
      </c>
      <c r="K108" s="143">
        <v>9</v>
      </c>
      <c r="L108" s="142">
        <f>L110/12</f>
        <v>9.326159085869129E-2</v>
      </c>
      <c r="M108" s="145" t="str">
        <f t="shared" ref="M108:M113" si="334">Q108&amp;";"&amp;S108&amp;U108&amp;W108&amp;Y108&amp;AA108&amp;AC108&amp;AE108&amp;AG108&amp;AI108&amp;AK108&amp;AM108&amp;AO108</f>
        <v>1;151X57501</v>
      </c>
      <c r="N108" s="146">
        <v>-1</v>
      </c>
      <c r="O108" s="154">
        <f t="shared" si="321"/>
        <v>1.1191390903042955</v>
      </c>
      <c r="P108" s="147" t="str">
        <f>INDEX(powers!$H$2:$H$75,33+N108)</f>
        <v>unino</v>
      </c>
      <c r="Q108" s="40" t="str">
        <f t="shared" si="312"/>
        <v>1</v>
      </c>
      <c r="R108" s="24">
        <f t="shared" ref="R108:R113" si="335">(O108-INT(O108))*12</f>
        <v>1.4296690836515458</v>
      </c>
      <c r="S108" s="41" t="str">
        <f t="shared" si="277"/>
        <v>1</v>
      </c>
      <c r="T108" s="24">
        <f t="shared" ref="T108:T113" si="336">(R108-INT(R108))*12</f>
        <v>5.1560290038185492</v>
      </c>
      <c r="U108" s="41" t="str">
        <f t="shared" si="278"/>
        <v>5</v>
      </c>
      <c r="V108" s="24">
        <f t="shared" ref="V108:V113" si="337">(T108-INT(T108))*12</f>
        <v>1.8723480458225907</v>
      </c>
      <c r="W108" s="41" t="str">
        <f t="shared" si="279"/>
        <v>1</v>
      </c>
      <c r="X108" s="24">
        <f t="shared" ref="X108:X113" si="338">(V108-INT(V108))*12</f>
        <v>10.468176549871089</v>
      </c>
      <c r="Y108" s="41" t="str">
        <f t="shared" si="280"/>
        <v>X</v>
      </c>
      <c r="Z108" s="24">
        <f t="shared" ref="Z108:Z113" si="339">(X108-INT(X108))*12</f>
        <v>5.6181185984530657</v>
      </c>
      <c r="AA108" s="41" t="str">
        <f t="shared" si="281"/>
        <v>5</v>
      </c>
      <c r="AB108" s="24">
        <f t="shared" ref="AB108:AB113" si="340">(Z108-INT(Z108))*12</f>
        <v>7.4174231814367886</v>
      </c>
      <c r="AC108" s="41" t="str">
        <f t="shared" si="282"/>
        <v>7</v>
      </c>
      <c r="AD108" s="24">
        <f t="shared" ref="AD108:AD113" si="341">(AB108-INT(AB108))*12</f>
        <v>5.009078177241463</v>
      </c>
      <c r="AE108" s="41" t="str">
        <f t="shared" si="283"/>
        <v>5</v>
      </c>
      <c r="AF108" s="24">
        <f t="shared" ref="AF108:AF113" si="342">(AD108-INT(AD108))*12</f>
        <v>0.10893812689755578</v>
      </c>
      <c r="AG108" s="41" t="str">
        <f t="shared" si="284"/>
        <v>0</v>
      </c>
      <c r="AH108" s="24">
        <f t="shared" ref="AH108:AH113" si="343">(AF108-INT(AF108))*12</f>
        <v>1.3072575227706693</v>
      </c>
      <c r="AI108" s="41" t="str">
        <f t="shared" si="285"/>
        <v>1</v>
      </c>
      <c r="AJ108" s="24">
        <f t="shared" ref="AJ108:AJ113" si="344">(AH108-INT(AH108))*12</f>
        <v>3.6870902732480317</v>
      </c>
      <c r="AK108" s="41" t="str">
        <f t="shared" si="286"/>
        <v/>
      </c>
      <c r="AL108" s="24">
        <f t="shared" ref="AL108:AL113" si="345">(AJ108-INT(AJ108))*12</f>
        <v>8.2450832789763808</v>
      </c>
      <c r="AM108" s="41" t="str">
        <f t="shared" si="287"/>
        <v/>
      </c>
      <c r="AN108" s="24">
        <f t="shared" ref="AN108:AN113" si="346">(AL108-INT(AL108))*12</f>
        <v>2.9409993477165699</v>
      </c>
      <c r="AO108" s="41" t="str">
        <f t="shared" si="288"/>
        <v/>
      </c>
    </row>
    <row r="109" spans="1:41" ht="14.25" customHeight="1" x14ac:dyDescent="0.2">
      <c r="A109" s="602"/>
      <c r="B109" s="604"/>
      <c r="C109" s="173" t="s">
        <v>583</v>
      </c>
      <c r="D109" s="3" t="s">
        <v>57</v>
      </c>
      <c r="E109" s="151">
        <f>E110*12</f>
        <v>10.722527792981642</v>
      </c>
      <c r="F109" s="15">
        <v>0</v>
      </c>
      <c r="G109" s="166">
        <f t="shared" si="308"/>
        <v>10.722527792981642</v>
      </c>
      <c r="H109" s="167" t="s">
        <v>136</v>
      </c>
      <c r="I109" s="173">
        <v>10</v>
      </c>
      <c r="J109" s="2" t="s">
        <v>136</v>
      </c>
      <c r="K109" s="8">
        <v>9</v>
      </c>
      <c r="L109" s="21">
        <f>L108*10</f>
        <v>0.9326159085869129</v>
      </c>
      <c r="M109" s="37" t="str">
        <f t="shared" si="334"/>
        <v>E;236882211</v>
      </c>
      <c r="N109" s="38">
        <v>-1</v>
      </c>
      <c r="O109" s="61">
        <f t="shared" si="321"/>
        <v>11.191390903042956</v>
      </c>
      <c r="P109" s="39" t="str">
        <f>INDEX(powers!$H$2:$H$75,33+N109)</f>
        <v>unino</v>
      </c>
      <c r="Q109" s="40" t="str">
        <f t="shared" si="312"/>
        <v>E</v>
      </c>
      <c r="R109" s="24">
        <f t="shared" si="335"/>
        <v>2.2966908365154737</v>
      </c>
      <c r="S109" s="41" t="str">
        <f t="shared" si="277"/>
        <v>2</v>
      </c>
      <c r="T109" s="24">
        <f t="shared" si="336"/>
        <v>3.5602900381856841</v>
      </c>
      <c r="U109" s="41" t="str">
        <f t="shared" si="278"/>
        <v>3</v>
      </c>
      <c r="V109" s="24">
        <f t="shared" si="337"/>
        <v>6.7234804582282095</v>
      </c>
      <c r="W109" s="41" t="str">
        <f t="shared" si="279"/>
        <v>6</v>
      </c>
      <c r="X109" s="24">
        <f t="shared" si="338"/>
        <v>8.681765498738514</v>
      </c>
      <c r="Y109" s="41" t="str">
        <f t="shared" si="280"/>
        <v>8</v>
      </c>
      <c r="Z109" s="24">
        <f t="shared" si="339"/>
        <v>8.181185984862168</v>
      </c>
      <c r="AA109" s="41" t="str">
        <f t="shared" si="281"/>
        <v>8</v>
      </c>
      <c r="AB109" s="24">
        <f t="shared" si="340"/>
        <v>2.1742318183460156</v>
      </c>
      <c r="AC109" s="41" t="str">
        <f t="shared" si="282"/>
        <v>2</v>
      </c>
      <c r="AD109" s="24">
        <f t="shared" si="341"/>
        <v>2.0907818201521877</v>
      </c>
      <c r="AE109" s="41" t="str">
        <f t="shared" si="283"/>
        <v>2</v>
      </c>
      <c r="AF109" s="24">
        <f t="shared" si="342"/>
        <v>1.0893818418262526</v>
      </c>
      <c r="AG109" s="41" t="str">
        <f t="shared" si="284"/>
        <v>1</v>
      </c>
      <c r="AH109" s="24">
        <f t="shared" si="343"/>
        <v>1.0725821019150317</v>
      </c>
      <c r="AI109" s="41" t="str">
        <f t="shared" si="285"/>
        <v>1</v>
      </c>
      <c r="AJ109" s="24">
        <f t="shared" si="344"/>
        <v>0.87098522298038006</v>
      </c>
      <c r="AK109" s="41" t="str">
        <f t="shared" si="286"/>
        <v/>
      </c>
      <c r="AL109" s="24">
        <f t="shared" si="345"/>
        <v>10.451822675764561</v>
      </c>
      <c r="AM109" s="41" t="str">
        <f t="shared" si="287"/>
        <v/>
      </c>
      <c r="AN109" s="24">
        <f t="shared" si="346"/>
        <v>5.4218721091747284</v>
      </c>
      <c r="AO109" s="41" t="str">
        <f t="shared" si="288"/>
        <v/>
      </c>
    </row>
    <row r="110" spans="1:41" ht="14.25" customHeight="1" x14ac:dyDescent="0.2">
      <c r="A110" s="602"/>
      <c r="B110" s="604"/>
      <c r="C110" s="173" t="s">
        <v>583</v>
      </c>
      <c r="D110" s="3" t="s">
        <v>57</v>
      </c>
      <c r="E110" s="151">
        <f>E3/0.3048</f>
        <v>0.89354398274847024</v>
      </c>
      <c r="F110" s="15">
        <v>0</v>
      </c>
      <c r="G110" s="166">
        <f t="shared" si="308"/>
        <v>0.89354398274847024</v>
      </c>
      <c r="H110" s="167" t="s">
        <v>119</v>
      </c>
      <c r="I110" s="173">
        <v>1</v>
      </c>
      <c r="J110" s="2" t="s">
        <v>119</v>
      </c>
      <c r="K110" s="8">
        <v>9</v>
      </c>
      <c r="L110" s="21">
        <f>1/E110</f>
        <v>1.1191390903042955</v>
      </c>
      <c r="M110" s="37" t="str">
        <f t="shared" si="334"/>
        <v>1;151X57501</v>
      </c>
      <c r="N110" s="38">
        <v>0</v>
      </c>
      <c r="O110" s="61">
        <f t="shared" si="321"/>
        <v>1.1191390903042955</v>
      </c>
      <c r="P110" s="39" t="str">
        <f>INDEX(powers!$H$2:$H$75,33+N110)</f>
        <v xml:space="preserve"> </v>
      </c>
      <c r="Q110" s="40" t="str">
        <f t="shared" si="312"/>
        <v>1</v>
      </c>
      <c r="R110" s="24">
        <f t="shared" si="335"/>
        <v>1.4296690836515458</v>
      </c>
      <c r="S110" s="41" t="str">
        <f t="shared" si="277"/>
        <v>1</v>
      </c>
      <c r="T110" s="24">
        <f t="shared" si="336"/>
        <v>5.1560290038185492</v>
      </c>
      <c r="U110" s="41" t="str">
        <f t="shared" si="278"/>
        <v>5</v>
      </c>
      <c r="V110" s="24">
        <f t="shared" si="337"/>
        <v>1.8723480458225907</v>
      </c>
      <c r="W110" s="41" t="str">
        <f t="shared" si="279"/>
        <v>1</v>
      </c>
      <c r="X110" s="24">
        <f t="shared" si="338"/>
        <v>10.468176549871089</v>
      </c>
      <c r="Y110" s="41" t="str">
        <f t="shared" si="280"/>
        <v>X</v>
      </c>
      <c r="Z110" s="24">
        <f t="shared" si="339"/>
        <v>5.6181185984530657</v>
      </c>
      <c r="AA110" s="41" t="str">
        <f t="shared" si="281"/>
        <v>5</v>
      </c>
      <c r="AB110" s="24">
        <f t="shared" si="340"/>
        <v>7.4174231814367886</v>
      </c>
      <c r="AC110" s="41" t="str">
        <f t="shared" si="282"/>
        <v>7</v>
      </c>
      <c r="AD110" s="24">
        <f t="shared" si="341"/>
        <v>5.009078177241463</v>
      </c>
      <c r="AE110" s="41" t="str">
        <f t="shared" si="283"/>
        <v>5</v>
      </c>
      <c r="AF110" s="24">
        <f t="shared" si="342"/>
        <v>0.10893812689755578</v>
      </c>
      <c r="AG110" s="41" t="str">
        <f t="shared" si="284"/>
        <v>0</v>
      </c>
      <c r="AH110" s="24">
        <f t="shared" si="343"/>
        <v>1.3072575227706693</v>
      </c>
      <c r="AI110" s="41" t="str">
        <f t="shared" si="285"/>
        <v>1</v>
      </c>
      <c r="AJ110" s="24">
        <f t="shared" si="344"/>
        <v>3.6870902732480317</v>
      </c>
      <c r="AK110" s="41" t="str">
        <f t="shared" si="286"/>
        <v/>
      </c>
      <c r="AL110" s="24">
        <f t="shared" si="345"/>
        <v>8.2450832789763808</v>
      </c>
      <c r="AM110" s="41" t="str">
        <f t="shared" si="287"/>
        <v/>
      </c>
      <c r="AN110" s="24">
        <f t="shared" si="346"/>
        <v>2.9409993477165699</v>
      </c>
      <c r="AO110" s="41" t="str">
        <f t="shared" si="288"/>
        <v/>
      </c>
    </row>
    <row r="111" spans="1:41" ht="14.25" customHeight="1" x14ac:dyDescent="0.2">
      <c r="A111" s="602"/>
      <c r="B111" s="604"/>
      <c r="C111" s="173" t="s">
        <v>583</v>
      </c>
      <c r="D111" s="3" t="s">
        <v>57</v>
      </c>
      <c r="E111" s="151">
        <f>E110/3</f>
        <v>0.2978479942494901</v>
      </c>
      <c r="F111" s="15">
        <v>0</v>
      </c>
      <c r="G111" s="166">
        <f t="shared" ref="G111" si="347">E111*POWER(10,-F111)</f>
        <v>0.2978479942494901</v>
      </c>
      <c r="H111" s="167" t="s">
        <v>147</v>
      </c>
      <c r="I111" s="173">
        <v>1</v>
      </c>
      <c r="J111" s="2" t="s">
        <v>147</v>
      </c>
      <c r="K111" s="8">
        <v>9</v>
      </c>
      <c r="L111" s="21">
        <f>L110*3</f>
        <v>3.3574172709128867</v>
      </c>
      <c r="M111" s="37" t="str">
        <f t="shared" si="334"/>
        <v>3;43574X304</v>
      </c>
      <c r="N111" s="38">
        <v>0</v>
      </c>
      <c r="O111" s="61">
        <f t="shared" ref="O111" si="348">L111/POWER(12,N111)</f>
        <v>3.3574172709128867</v>
      </c>
      <c r="P111" s="39" t="str">
        <f>INDEX(powers!$H$2:$H$75,33+N111)</f>
        <v xml:space="preserve"> </v>
      </c>
      <c r="Q111" s="40" t="str">
        <f t="shared" ref="Q111" si="349">IF($K111&gt;=Q$23,MID($N$23,IF($K111&gt;Q$23,INT(O111),ROUND(O111,0))+1,1),"")</f>
        <v>3</v>
      </c>
      <c r="R111" s="24">
        <f t="shared" si="335"/>
        <v>4.28900725095464</v>
      </c>
      <c r="S111" s="41" t="str">
        <f t="shared" si="277"/>
        <v>4</v>
      </c>
      <c r="T111" s="24">
        <f t="shared" si="336"/>
        <v>3.4680870114556797</v>
      </c>
      <c r="U111" s="41" t="str">
        <f t="shared" si="278"/>
        <v>3</v>
      </c>
      <c r="V111" s="24">
        <f t="shared" si="337"/>
        <v>5.6170441374681559</v>
      </c>
      <c r="W111" s="41" t="str">
        <f t="shared" si="279"/>
        <v>5</v>
      </c>
      <c r="X111" s="24">
        <f t="shared" si="338"/>
        <v>7.4045296496178707</v>
      </c>
      <c r="Y111" s="41" t="str">
        <f t="shared" si="280"/>
        <v>7</v>
      </c>
      <c r="Z111" s="24">
        <f t="shared" si="339"/>
        <v>4.8543557954144489</v>
      </c>
      <c r="AA111" s="41" t="str">
        <f t="shared" si="281"/>
        <v>4</v>
      </c>
      <c r="AB111" s="24">
        <f t="shared" si="340"/>
        <v>10.252269544973387</v>
      </c>
      <c r="AC111" s="41" t="str">
        <f t="shared" si="282"/>
        <v>X</v>
      </c>
      <c r="AD111" s="24">
        <f t="shared" si="341"/>
        <v>3.0272345396806486</v>
      </c>
      <c r="AE111" s="41" t="str">
        <f t="shared" si="283"/>
        <v>3</v>
      </c>
      <c r="AF111" s="24">
        <f t="shared" si="342"/>
        <v>0.32681447616778314</v>
      </c>
      <c r="AG111" s="41" t="str">
        <f t="shared" si="284"/>
        <v>0</v>
      </c>
      <c r="AH111" s="24">
        <f t="shared" si="343"/>
        <v>3.9217737140133977</v>
      </c>
      <c r="AI111" s="41" t="str">
        <f t="shared" si="285"/>
        <v>4</v>
      </c>
      <c r="AJ111" s="24">
        <f t="shared" si="344"/>
        <v>11.061284568160772</v>
      </c>
      <c r="AK111" s="41" t="str">
        <f t="shared" si="286"/>
        <v/>
      </c>
      <c r="AL111" s="24">
        <f t="shared" si="345"/>
        <v>0.73541481792926788</v>
      </c>
      <c r="AM111" s="41" t="str">
        <f t="shared" si="287"/>
        <v/>
      </c>
      <c r="AN111" s="24">
        <f t="shared" si="346"/>
        <v>8.8249778151512146</v>
      </c>
      <c r="AO111" s="41" t="str">
        <f t="shared" si="288"/>
        <v/>
      </c>
    </row>
    <row r="112" spans="1:41" ht="14.25" customHeight="1" x14ac:dyDescent="0.2">
      <c r="A112" s="602"/>
      <c r="B112" s="604"/>
      <c r="C112" s="190" t="s">
        <v>587</v>
      </c>
      <c r="D112" s="3" t="s">
        <v>57</v>
      </c>
      <c r="E112" s="151">
        <f>E111*12</f>
        <v>3.5741759309938814</v>
      </c>
      <c r="F112" s="15">
        <v>0</v>
      </c>
      <c r="G112" s="166">
        <f t="shared" si="308"/>
        <v>3.5741759309938814</v>
      </c>
      <c r="H112" s="167" t="s">
        <v>147</v>
      </c>
      <c r="I112" s="173">
        <v>10</v>
      </c>
      <c r="J112" s="2" t="s">
        <v>147</v>
      </c>
      <c r="K112" s="8">
        <v>9</v>
      </c>
      <c r="L112" s="21">
        <f>L111*10</f>
        <v>33.574172709128867</v>
      </c>
      <c r="M112" s="37" t="str">
        <f t="shared" si="334"/>
        <v>2;96X820663</v>
      </c>
      <c r="N112" s="38">
        <v>1</v>
      </c>
      <c r="O112" s="61">
        <f t="shared" si="321"/>
        <v>2.797847725760739</v>
      </c>
      <c r="P112" s="39" t="str">
        <f>INDEX(powers!$H$2:$H$75,33+N112)</f>
        <v>dozen</v>
      </c>
      <c r="Q112" s="40" t="str">
        <f>IF($K112&gt;=Q$23,MID($N$23,IF($K112&gt;Q$23,INT(O112),ROUND(O112,0))+1,1),"")</f>
        <v>2</v>
      </c>
      <c r="R112" s="24">
        <f t="shared" si="335"/>
        <v>9.5741727091288684</v>
      </c>
      <c r="S112" s="41" t="str">
        <f t="shared" si="277"/>
        <v>9</v>
      </c>
      <c r="T112" s="24">
        <f t="shared" si="336"/>
        <v>6.890072509546421</v>
      </c>
      <c r="U112" s="41" t="str">
        <f t="shared" si="278"/>
        <v>6</v>
      </c>
      <c r="V112" s="24">
        <f t="shared" si="337"/>
        <v>10.680870114557052</v>
      </c>
      <c r="W112" s="41" t="str">
        <f t="shared" si="279"/>
        <v>X</v>
      </c>
      <c r="X112" s="24">
        <f t="shared" si="338"/>
        <v>8.1704413746846285</v>
      </c>
      <c r="Y112" s="41" t="str">
        <f t="shared" si="280"/>
        <v>8</v>
      </c>
      <c r="Z112" s="24">
        <f t="shared" si="339"/>
        <v>2.045296496215542</v>
      </c>
      <c r="AA112" s="41" t="str">
        <f t="shared" si="281"/>
        <v>2</v>
      </c>
      <c r="AB112" s="24">
        <f t="shared" si="340"/>
        <v>0.54355795458650391</v>
      </c>
      <c r="AC112" s="41" t="str">
        <f t="shared" si="282"/>
        <v>0</v>
      </c>
      <c r="AD112" s="24">
        <f t="shared" si="341"/>
        <v>6.5226954550380469</v>
      </c>
      <c r="AE112" s="41" t="str">
        <f t="shared" si="283"/>
        <v>6</v>
      </c>
      <c r="AF112" s="24">
        <f t="shared" si="342"/>
        <v>6.2723454604565632</v>
      </c>
      <c r="AG112" s="41" t="str">
        <f t="shared" si="284"/>
        <v>6</v>
      </c>
      <c r="AH112" s="24">
        <f t="shared" si="343"/>
        <v>3.2681455254787579</v>
      </c>
      <c r="AI112" s="41" t="str">
        <f t="shared" si="285"/>
        <v>3</v>
      </c>
      <c r="AJ112" s="24">
        <f t="shared" si="344"/>
        <v>3.217746305745095</v>
      </c>
      <c r="AK112" s="41" t="str">
        <f t="shared" si="286"/>
        <v/>
      </c>
      <c r="AL112" s="24">
        <f t="shared" si="345"/>
        <v>2.6129556689411402</v>
      </c>
      <c r="AM112" s="41" t="str">
        <f t="shared" si="287"/>
        <v/>
      </c>
      <c r="AN112" s="24">
        <f t="shared" si="346"/>
        <v>7.3554680272936821</v>
      </c>
      <c r="AO112" s="41" t="str">
        <f t="shared" si="288"/>
        <v/>
      </c>
    </row>
    <row r="113" spans="1:41" ht="14.25" customHeight="1" x14ac:dyDescent="0.2">
      <c r="A113" s="602"/>
      <c r="B113" s="604"/>
      <c r="C113" s="190" t="s">
        <v>585</v>
      </c>
      <c r="D113" s="3" t="s">
        <v>57</v>
      </c>
      <c r="E113" s="151">
        <f t="shared" ref="E113:E118" si="350">E112*12</f>
        <v>42.890111171926577</v>
      </c>
      <c r="F113" s="15">
        <v>0</v>
      </c>
      <c r="G113" s="166">
        <f t="shared" si="308"/>
        <v>42.890111171926577</v>
      </c>
      <c r="H113" s="167" t="s">
        <v>147</v>
      </c>
      <c r="I113" s="173">
        <v>100</v>
      </c>
      <c r="J113" s="2" t="s">
        <v>147</v>
      </c>
      <c r="K113" s="8">
        <v>9</v>
      </c>
      <c r="L113" s="21">
        <f t="shared" ref="L113:L114" si="351">L112*10</f>
        <v>335.74172709128868</v>
      </c>
      <c r="M113" s="37" t="str">
        <f t="shared" si="334"/>
        <v>2;3E8X98553</v>
      </c>
      <c r="N113" s="38">
        <f>N112+1</f>
        <v>2</v>
      </c>
      <c r="O113" s="61">
        <f t="shared" si="321"/>
        <v>2.3315397714672823</v>
      </c>
      <c r="P113" s="39" t="str">
        <f>INDEX(powers!$H$2:$H$75,33+N113)</f>
        <v>gross</v>
      </c>
      <c r="Q113" s="40" t="str">
        <f>IF($K113&gt;=Q$23,MID($N$23,IF($K113&gt;Q$23,INT(O113),ROUND(O113,0))+1,1),"")</f>
        <v>2</v>
      </c>
      <c r="R113" s="24">
        <f t="shared" si="335"/>
        <v>3.9784772576073877</v>
      </c>
      <c r="S113" s="41" t="str">
        <f t="shared" si="277"/>
        <v>3</v>
      </c>
      <c r="T113" s="24">
        <f t="shared" si="336"/>
        <v>11.741727091288652</v>
      </c>
      <c r="U113" s="41" t="str">
        <f t="shared" si="278"/>
        <v>E</v>
      </c>
      <c r="V113" s="24">
        <f t="shared" si="337"/>
        <v>8.9007250954638266</v>
      </c>
      <c r="W113" s="41" t="str">
        <f t="shared" si="279"/>
        <v>8</v>
      </c>
      <c r="X113" s="24">
        <f t="shared" si="338"/>
        <v>10.808701145565919</v>
      </c>
      <c r="Y113" s="41" t="str">
        <f t="shared" si="280"/>
        <v>X</v>
      </c>
      <c r="Z113" s="24">
        <f t="shared" si="339"/>
        <v>9.7044137467910332</v>
      </c>
      <c r="AA113" s="41" t="str">
        <f t="shared" si="281"/>
        <v>9</v>
      </c>
      <c r="AB113" s="24">
        <f t="shared" si="340"/>
        <v>8.4529649614923983</v>
      </c>
      <c r="AC113" s="41" t="str">
        <f t="shared" si="282"/>
        <v>8</v>
      </c>
      <c r="AD113" s="24">
        <f t="shared" si="341"/>
        <v>5.4355795379087795</v>
      </c>
      <c r="AE113" s="41" t="str">
        <f t="shared" si="283"/>
        <v>5</v>
      </c>
      <c r="AF113" s="24">
        <f t="shared" si="342"/>
        <v>5.2269544549053535</v>
      </c>
      <c r="AG113" s="41" t="str">
        <f t="shared" si="284"/>
        <v>5</v>
      </c>
      <c r="AH113" s="24">
        <f t="shared" si="343"/>
        <v>2.7234534588642418</v>
      </c>
      <c r="AI113" s="41" t="str">
        <f t="shared" si="285"/>
        <v>3</v>
      </c>
      <c r="AJ113" s="24">
        <f t="shared" si="344"/>
        <v>8.6814415063709021</v>
      </c>
      <c r="AK113" s="41" t="str">
        <f t="shared" si="286"/>
        <v/>
      </c>
      <c r="AL113" s="24">
        <f t="shared" si="345"/>
        <v>8.1772980764508247</v>
      </c>
      <c r="AM113" s="41" t="str">
        <f t="shared" si="287"/>
        <v/>
      </c>
      <c r="AN113" s="24">
        <f t="shared" si="346"/>
        <v>2.1275769174098969</v>
      </c>
      <c r="AO113" s="41" t="str">
        <f t="shared" si="288"/>
        <v/>
      </c>
    </row>
    <row r="114" spans="1:41" ht="14.25" customHeight="1" x14ac:dyDescent="0.2">
      <c r="A114" s="602"/>
      <c r="B114" s="604"/>
      <c r="C114" s="190" t="s">
        <v>586</v>
      </c>
      <c r="D114" s="3" t="s">
        <v>57</v>
      </c>
      <c r="E114" s="151">
        <f t="shared" si="350"/>
        <v>514.68133406311892</v>
      </c>
      <c r="F114" s="15">
        <v>0</v>
      </c>
      <c r="G114" s="166">
        <f t="shared" si="308"/>
        <v>514.68133406311892</v>
      </c>
      <c r="H114" s="167" t="s">
        <v>147</v>
      </c>
      <c r="I114" s="173">
        <f t="shared" ref="I114:I118" si="352">I113*10</f>
        <v>1000</v>
      </c>
      <c r="J114" s="2" t="s">
        <v>147</v>
      </c>
      <c r="K114" s="8">
        <v>9</v>
      </c>
      <c r="L114" s="21">
        <f t="shared" si="351"/>
        <v>3357.417270912887</v>
      </c>
      <c r="M114" s="37" t="str">
        <f t="shared" ref="M114:M118" si="353">Q114&amp;";"&amp;S114&amp;U114&amp;W114&amp;Y114&amp;AA114&amp;AC114&amp;AE114&amp;AG114&amp;AI114&amp;AK114&amp;AM114&amp;AO114</f>
        <v>1;E39501064</v>
      </c>
      <c r="N114" s="38">
        <f t="shared" ref="N114:N118" si="354">N113+1</f>
        <v>3</v>
      </c>
      <c r="O114" s="61">
        <f t="shared" si="321"/>
        <v>1.9429498095560689</v>
      </c>
      <c r="P114" s="39" t="str">
        <f>INDEX(powers!$H$2:$H$75,33+N114)</f>
        <v>doz gross</v>
      </c>
      <c r="Q114" s="40" t="str">
        <f>IF($K114&gt;=Q$23,MID($N$23,IF($K114&gt;Q$23,INT(O114),ROUND(O114,0))+1,1),"")</f>
        <v>1</v>
      </c>
      <c r="R114" s="24">
        <f t="shared" ref="R114:R118" si="355">(O114-INT(O114))*12</f>
        <v>11.315397714672827</v>
      </c>
      <c r="S114" s="41" t="str">
        <f t="shared" si="277"/>
        <v>E</v>
      </c>
      <c r="T114" s="24">
        <f t="shared" ref="T114:T118" si="356">(R114-INT(R114))*12</f>
        <v>3.7847725760739195</v>
      </c>
      <c r="U114" s="41" t="str">
        <f t="shared" si="278"/>
        <v>3</v>
      </c>
      <c r="V114" s="24">
        <f t="shared" ref="V114:V118" si="357">(T114-INT(T114))*12</f>
        <v>9.4172709128870338</v>
      </c>
      <c r="W114" s="41" t="str">
        <f t="shared" si="279"/>
        <v>9</v>
      </c>
      <c r="X114" s="24">
        <f t="shared" ref="X114:X118" si="358">(V114-INT(V114))*12</f>
        <v>5.0072509546444053</v>
      </c>
      <c r="Y114" s="41" t="str">
        <f t="shared" si="280"/>
        <v>5</v>
      </c>
      <c r="Z114" s="24">
        <f t="shared" ref="Z114:Z118" si="359">(X114-INT(X114))*12</f>
        <v>8.7011455732863396E-2</v>
      </c>
      <c r="AA114" s="41" t="str">
        <f t="shared" si="281"/>
        <v>0</v>
      </c>
      <c r="AB114" s="24">
        <f t="shared" ref="AB114:AB118" si="360">(Z114-INT(Z114))*12</f>
        <v>1.0441374687943608</v>
      </c>
      <c r="AC114" s="41" t="str">
        <f t="shared" si="282"/>
        <v>1</v>
      </c>
      <c r="AD114" s="24">
        <f t="shared" ref="AD114:AD118" si="361">(AB114-INT(AB114))*12</f>
        <v>0.52964962553232908</v>
      </c>
      <c r="AE114" s="41" t="str">
        <f t="shared" si="283"/>
        <v>0</v>
      </c>
      <c r="AF114" s="24">
        <f t="shared" ref="AF114:AF118" si="362">(AD114-INT(AD114))*12</f>
        <v>6.355795506387949</v>
      </c>
      <c r="AG114" s="41" t="str">
        <f t="shared" si="284"/>
        <v>6</v>
      </c>
      <c r="AH114" s="24">
        <f t="shared" ref="AH114:AH118" si="363">(AF114-INT(AF114))*12</f>
        <v>4.2695460766553879</v>
      </c>
      <c r="AI114" s="41" t="str">
        <f t="shared" si="285"/>
        <v>4</v>
      </c>
      <c r="AJ114" s="24">
        <f t="shared" ref="AJ114:AJ118" si="364">(AH114-INT(AH114))*12</f>
        <v>3.2345529198646545</v>
      </c>
      <c r="AK114" s="41" t="str">
        <f t="shared" si="286"/>
        <v/>
      </c>
      <c r="AL114" s="24">
        <f t="shared" ref="AL114:AL118" si="365">(AJ114-INT(AJ114))*12</f>
        <v>2.8146350383758545</v>
      </c>
      <c r="AM114" s="41" t="str">
        <f t="shared" si="287"/>
        <v/>
      </c>
      <c r="AN114" s="24">
        <f t="shared" ref="AN114:AN118" si="366">(AL114-INT(AL114))*12</f>
        <v>9.7756204605102539</v>
      </c>
      <c r="AO114" s="41" t="str">
        <f t="shared" si="288"/>
        <v/>
      </c>
    </row>
    <row r="115" spans="1:41" ht="14.25" customHeight="1" x14ac:dyDescent="0.2">
      <c r="A115" s="602"/>
      <c r="B115" s="604"/>
      <c r="C115" s="190" t="s">
        <v>586</v>
      </c>
      <c r="D115" s="3" t="s">
        <v>57</v>
      </c>
      <c r="E115" s="151">
        <f>E114/1760</f>
        <v>0.29243257617222668</v>
      </c>
      <c r="F115" s="15">
        <v>0</v>
      </c>
      <c r="G115" s="166">
        <f t="shared" ref="G115" si="367">E115*POWER(10,-F115)</f>
        <v>0.29243257617222668</v>
      </c>
      <c r="H115" s="167" t="s">
        <v>565</v>
      </c>
      <c r="I115" s="173">
        <v>1</v>
      </c>
      <c r="J115" s="2" t="s">
        <v>567</v>
      </c>
      <c r="K115" s="8">
        <v>9</v>
      </c>
      <c r="L115" s="21">
        <f>L111*1760</f>
        <v>5909.0543968066804</v>
      </c>
      <c r="M115" s="37" t="str">
        <f t="shared" ref="M115" si="368">Q115&amp;";"&amp;S115&amp;U115&amp;W115&amp;Y115&amp;AA115&amp;AC115&amp;AE115&amp;AG115&amp;AI115&amp;AK115&amp;AM115&amp;AO115</f>
        <v>3;505079EE8</v>
      </c>
      <c r="N115" s="38">
        <v>3</v>
      </c>
      <c r="O115" s="61">
        <f t="shared" ref="O115" si="369">L115/POWER(12,N115)</f>
        <v>3.4195916648186806</v>
      </c>
      <c r="P115" s="39" t="str">
        <f>INDEX(powers!$H$2:$H$75,33+N115)</f>
        <v>doz gross</v>
      </c>
      <c r="Q115" s="40" t="str">
        <f t="shared" ref="Q115" si="370">IF($K115&gt;=Q$23,MID($N$23,IF($K115&gt;Q$23,INT(O115),ROUND(O115,0))+1,1),"")</f>
        <v>3</v>
      </c>
      <c r="R115" s="24">
        <f t="shared" ref="R115" si="371">(O115-INT(O115))*12</f>
        <v>5.0350999778241672</v>
      </c>
      <c r="S115" s="41" t="str">
        <f t="shared" si="277"/>
        <v>5</v>
      </c>
      <c r="T115" s="24">
        <f t="shared" ref="T115" si="372">(R115-INT(R115))*12</f>
        <v>0.4211997338900062</v>
      </c>
      <c r="U115" s="41" t="str">
        <f t="shared" si="278"/>
        <v>0</v>
      </c>
      <c r="V115" s="24">
        <f t="shared" ref="V115" si="373">(T115-INT(T115))*12</f>
        <v>5.0543968066800744</v>
      </c>
      <c r="W115" s="41" t="str">
        <f t="shared" si="279"/>
        <v>5</v>
      </c>
      <c r="X115" s="24">
        <f t="shared" ref="X115" si="374">(V115-INT(V115))*12</f>
        <v>0.65276168016089287</v>
      </c>
      <c r="Y115" s="41" t="str">
        <f t="shared" si="280"/>
        <v>0</v>
      </c>
      <c r="Z115" s="24">
        <f t="shared" ref="Z115" si="375">(X115-INT(X115))*12</f>
        <v>7.8331401619307144</v>
      </c>
      <c r="AA115" s="41" t="str">
        <f t="shared" si="281"/>
        <v>7</v>
      </c>
      <c r="AB115" s="24">
        <f t="shared" ref="AB115" si="376">(Z115-INT(Z115))*12</f>
        <v>9.9976819431685726</v>
      </c>
      <c r="AC115" s="41" t="str">
        <f t="shared" si="282"/>
        <v>9</v>
      </c>
      <c r="AD115" s="24">
        <f t="shared" ref="AD115" si="377">(AB115-INT(AB115))*12</f>
        <v>11.972183318022871</v>
      </c>
      <c r="AE115" s="41" t="str">
        <f t="shared" si="283"/>
        <v>E</v>
      </c>
      <c r="AF115" s="24">
        <f t="shared" ref="AF115" si="378">(AD115-INT(AD115))*12</f>
        <v>11.666199816274457</v>
      </c>
      <c r="AG115" s="41" t="str">
        <f t="shared" si="284"/>
        <v>E</v>
      </c>
      <c r="AH115" s="24">
        <f t="shared" ref="AH115" si="379">(AF115-INT(AF115))*12</f>
        <v>7.9943977952934802</v>
      </c>
      <c r="AI115" s="41" t="str">
        <f t="shared" si="285"/>
        <v>8</v>
      </c>
      <c r="AJ115" s="24">
        <f t="shared" ref="AJ115" si="380">(AH115-INT(AH115))*12</f>
        <v>11.932773543521762</v>
      </c>
      <c r="AK115" s="41" t="str">
        <f t="shared" si="286"/>
        <v/>
      </c>
      <c r="AL115" s="24">
        <f t="shared" ref="AL115" si="381">(AJ115-INT(AJ115))*12</f>
        <v>11.193282522261143</v>
      </c>
      <c r="AM115" s="41" t="str">
        <f t="shared" si="287"/>
        <v/>
      </c>
      <c r="AN115" s="24">
        <f t="shared" ref="AN115" si="382">(AL115-INT(AL115))*12</f>
        <v>2.3193902671337128</v>
      </c>
      <c r="AO115" s="41" t="str">
        <f t="shared" si="288"/>
        <v/>
      </c>
    </row>
    <row r="116" spans="1:41" ht="14.25" customHeight="1" x14ac:dyDescent="0.2">
      <c r="A116" s="602"/>
      <c r="B116" s="604"/>
      <c r="C116" s="188" t="s">
        <v>344</v>
      </c>
      <c r="D116" s="3" t="s">
        <v>57</v>
      </c>
      <c r="E116" s="151">
        <f>E115*12</f>
        <v>3.5091909140667203</v>
      </c>
      <c r="F116" s="15">
        <v>0</v>
      </c>
      <c r="G116" s="166">
        <f t="shared" si="308"/>
        <v>3.5091909140667203</v>
      </c>
      <c r="H116" s="167" t="s">
        <v>153</v>
      </c>
      <c r="I116" s="173">
        <v>10</v>
      </c>
      <c r="J116" s="2" t="s">
        <v>153</v>
      </c>
      <c r="K116" s="8">
        <v>9</v>
      </c>
      <c r="L116" s="21">
        <f>L115*10</f>
        <v>59090.543968066806</v>
      </c>
      <c r="M116" s="37" t="str">
        <f t="shared" si="353"/>
        <v>2;X242663E9</v>
      </c>
      <c r="N116" s="38">
        <f>N114+1</f>
        <v>4</v>
      </c>
      <c r="O116" s="61">
        <f t="shared" si="321"/>
        <v>2.8496597206822343</v>
      </c>
      <c r="P116" s="39" t="str">
        <f>INDEX(powers!$H$2:$H$75,33+N116)</f>
        <v>hyper</v>
      </c>
      <c r="Q116" s="40" t="str">
        <f t="shared" ref="Q116:Q134" si="383">IF($K116&gt;=Q$23,MID($N$23,IF($K116&gt;Q$23,INT(O116),ROUND(O116,0))+1,1),"")</f>
        <v>2</v>
      </c>
      <c r="R116" s="24">
        <f t="shared" si="355"/>
        <v>10.195916648186811</v>
      </c>
      <c r="S116" s="41" t="str">
        <f t="shared" si="277"/>
        <v>X</v>
      </c>
      <c r="T116" s="24">
        <f t="shared" si="356"/>
        <v>2.3509997782417358</v>
      </c>
      <c r="U116" s="41" t="str">
        <f t="shared" si="278"/>
        <v>2</v>
      </c>
      <c r="V116" s="24">
        <f t="shared" si="357"/>
        <v>4.2119973389008294</v>
      </c>
      <c r="W116" s="41" t="str">
        <f t="shared" si="279"/>
        <v>4</v>
      </c>
      <c r="X116" s="24">
        <f t="shared" si="358"/>
        <v>2.5439680668099527</v>
      </c>
      <c r="Y116" s="41" t="str">
        <f t="shared" si="280"/>
        <v>2</v>
      </c>
      <c r="Z116" s="24">
        <f t="shared" si="359"/>
        <v>6.5276168017194323</v>
      </c>
      <c r="AA116" s="41" t="str">
        <f t="shared" si="281"/>
        <v>6</v>
      </c>
      <c r="AB116" s="24">
        <f t="shared" si="360"/>
        <v>6.3314016206331871</v>
      </c>
      <c r="AC116" s="41" t="str">
        <f t="shared" si="282"/>
        <v>6</v>
      </c>
      <c r="AD116" s="24">
        <f t="shared" si="361"/>
        <v>3.9768194475982455</v>
      </c>
      <c r="AE116" s="41" t="str">
        <f t="shared" si="283"/>
        <v>3</v>
      </c>
      <c r="AF116" s="24">
        <f t="shared" si="362"/>
        <v>11.721833371178946</v>
      </c>
      <c r="AG116" s="41" t="str">
        <f t="shared" si="284"/>
        <v>E</v>
      </c>
      <c r="AH116" s="24">
        <f t="shared" si="363"/>
        <v>8.6620004541473463</v>
      </c>
      <c r="AI116" s="41" t="str">
        <f t="shared" si="285"/>
        <v>9</v>
      </c>
      <c r="AJ116" s="24">
        <f t="shared" si="364"/>
        <v>7.9440054497681558</v>
      </c>
      <c r="AK116" s="41" t="str">
        <f t="shared" si="286"/>
        <v/>
      </c>
      <c r="AL116" s="24">
        <f t="shared" si="365"/>
        <v>11.32806539721787</v>
      </c>
      <c r="AM116" s="41" t="str">
        <f t="shared" si="287"/>
        <v/>
      </c>
      <c r="AN116" s="24">
        <f t="shared" si="366"/>
        <v>3.9367847666144371</v>
      </c>
      <c r="AO116" s="41" t="str">
        <f t="shared" si="288"/>
        <v/>
      </c>
    </row>
    <row r="117" spans="1:41" ht="14.25" customHeight="1" x14ac:dyDescent="0.2">
      <c r="A117" s="602"/>
      <c r="B117" s="604"/>
      <c r="C117" s="188" t="s">
        <v>345</v>
      </c>
      <c r="D117" s="3" t="s">
        <v>57</v>
      </c>
      <c r="E117" s="151">
        <f t="shared" si="350"/>
        <v>42.110290968800641</v>
      </c>
      <c r="F117" s="15">
        <v>0</v>
      </c>
      <c r="G117" s="166">
        <f t="shared" si="308"/>
        <v>42.110290968800641</v>
      </c>
      <c r="H117" s="167" t="s">
        <v>564</v>
      </c>
      <c r="I117" s="173">
        <f t="shared" si="352"/>
        <v>100</v>
      </c>
      <c r="J117" s="2" t="s">
        <v>153</v>
      </c>
      <c r="K117" s="8">
        <v>9</v>
      </c>
      <c r="L117" s="21">
        <f t="shared" ref="L117:L118" si="384">L116*10</f>
        <v>590905.43968066806</v>
      </c>
      <c r="M117" s="37" t="str">
        <f t="shared" si="353"/>
        <v>2;45E615339</v>
      </c>
      <c r="N117" s="38">
        <f t="shared" si="354"/>
        <v>5</v>
      </c>
      <c r="O117" s="61">
        <f t="shared" si="321"/>
        <v>2.3747164339018618</v>
      </c>
      <c r="P117" s="39" t="str">
        <f>INDEX(powers!$H$2:$H$75,33+N117)</f>
        <v>terno cosmic</v>
      </c>
      <c r="Q117" s="40" t="str">
        <f t="shared" si="383"/>
        <v>2</v>
      </c>
      <c r="R117" s="24">
        <f t="shared" si="355"/>
        <v>4.4965972068223419</v>
      </c>
      <c r="S117" s="41" t="str">
        <f t="shared" si="277"/>
        <v>4</v>
      </c>
      <c r="T117" s="24">
        <f t="shared" si="356"/>
        <v>5.9591664818681025</v>
      </c>
      <c r="U117" s="41" t="str">
        <f t="shared" si="278"/>
        <v>5</v>
      </c>
      <c r="V117" s="24">
        <f t="shared" si="357"/>
        <v>11.50999778241723</v>
      </c>
      <c r="W117" s="41" t="str">
        <f t="shared" si="279"/>
        <v>E</v>
      </c>
      <c r="X117" s="24">
        <f t="shared" si="358"/>
        <v>6.1199733890067591</v>
      </c>
      <c r="Y117" s="41" t="str">
        <f t="shared" si="280"/>
        <v>6</v>
      </c>
      <c r="Z117" s="24">
        <f t="shared" si="359"/>
        <v>1.4396806680811096</v>
      </c>
      <c r="AA117" s="41" t="str">
        <f t="shared" si="281"/>
        <v>1</v>
      </c>
      <c r="AB117" s="24">
        <f t="shared" si="360"/>
        <v>5.2761680169733154</v>
      </c>
      <c r="AC117" s="41" t="str">
        <f t="shared" si="282"/>
        <v>5</v>
      </c>
      <c r="AD117" s="24">
        <f t="shared" si="361"/>
        <v>3.3140162036797847</v>
      </c>
      <c r="AE117" s="41" t="str">
        <f t="shared" si="283"/>
        <v>3</v>
      </c>
      <c r="AF117" s="24">
        <f t="shared" si="362"/>
        <v>3.768194444157416</v>
      </c>
      <c r="AG117" s="41" t="str">
        <f t="shared" si="284"/>
        <v>3</v>
      </c>
      <c r="AH117" s="24">
        <f t="shared" si="363"/>
        <v>9.218333329888992</v>
      </c>
      <c r="AI117" s="41" t="str">
        <f t="shared" si="285"/>
        <v>9</v>
      </c>
      <c r="AJ117" s="24">
        <f t="shared" si="364"/>
        <v>2.6199999586679041</v>
      </c>
      <c r="AK117" s="41" t="str">
        <f t="shared" si="286"/>
        <v/>
      </c>
      <c r="AL117" s="24">
        <f t="shared" si="365"/>
        <v>7.4399995040148497</v>
      </c>
      <c r="AM117" s="41" t="str">
        <f t="shared" si="287"/>
        <v/>
      </c>
      <c r="AN117" s="24">
        <f t="shared" si="366"/>
        <v>5.279994048178196</v>
      </c>
      <c r="AO117" s="41" t="str">
        <f t="shared" si="288"/>
        <v/>
      </c>
    </row>
    <row r="118" spans="1:41" ht="14.25" customHeight="1" thickBot="1" x14ac:dyDescent="0.25">
      <c r="A118" s="602"/>
      <c r="B118" s="604"/>
      <c r="C118" s="189" t="s">
        <v>346</v>
      </c>
      <c r="D118" s="5" t="s">
        <v>57</v>
      </c>
      <c r="E118" s="175">
        <f t="shared" si="350"/>
        <v>505.32349162560769</v>
      </c>
      <c r="F118" s="176">
        <v>0</v>
      </c>
      <c r="G118" s="177">
        <f t="shared" si="308"/>
        <v>505.32349162560769</v>
      </c>
      <c r="H118" s="178" t="s">
        <v>564</v>
      </c>
      <c r="I118" s="174">
        <f t="shared" si="352"/>
        <v>1000</v>
      </c>
      <c r="J118" s="4" t="s">
        <v>153</v>
      </c>
      <c r="K118" s="33">
        <v>9</v>
      </c>
      <c r="L118" s="32">
        <f t="shared" si="384"/>
        <v>5909054.3968066806</v>
      </c>
      <c r="M118" s="47" t="str">
        <f t="shared" si="353"/>
        <v>1;E8E712492</v>
      </c>
      <c r="N118" s="48">
        <f t="shared" si="354"/>
        <v>6</v>
      </c>
      <c r="O118" s="63">
        <f t="shared" si="321"/>
        <v>1.9789303615848848</v>
      </c>
      <c r="P118" s="49" t="str">
        <f>INDEX(powers!$H$2:$H$75,33+N118)</f>
        <v>dino cosmic</v>
      </c>
      <c r="Q118" s="40" t="str">
        <f t="shared" si="383"/>
        <v>1</v>
      </c>
      <c r="R118" s="24">
        <f t="shared" si="355"/>
        <v>11.747164339018617</v>
      </c>
      <c r="S118" s="41" t="str">
        <f t="shared" ref="S118" si="385">IF($K118&gt;=S$23,MID($N$23,IF($K118&gt;S$23,INT(R118),ROUND(R118,0))+1,1),"")</f>
        <v>E</v>
      </c>
      <c r="T118" s="24">
        <f t="shared" si="356"/>
        <v>8.9659720682234081</v>
      </c>
      <c r="U118" s="41" t="str">
        <f t="shared" ref="U118" si="386">IF($K118&gt;=U$23,MID($N$23,IF($K118&gt;U$23,INT(T118),ROUND(T118,0))+1,1),"")</f>
        <v>8</v>
      </c>
      <c r="V118" s="24">
        <f t="shared" si="357"/>
        <v>11.591664818680897</v>
      </c>
      <c r="W118" s="41" t="str">
        <f t="shared" ref="W118" si="387">IF($K118&gt;=W$23,MID($N$23,IF($K118&gt;W$23,INT(V118),ROUND(V118,0))+1,1),"")</f>
        <v>E</v>
      </c>
      <c r="X118" s="24">
        <f t="shared" si="358"/>
        <v>7.0999778241707645</v>
      </c>
      <c r="Y118" s="41" t="str">
        <f t="shared" ref="Y118" si="388">IF($K118&gt;=Y$23,MID($N$23,IF($K118&gt;Y$23,INT(X118),ROUND(X118,0))+1,1),"")</f>
        <v>7</v>
      </c>
      <c r="Z118" s="24">
        <f t="shared" si="359"/>
        <v>1.1997338900491741</v>
      </c>
      <c r="AA118" s="41" t="str">
        <f t="shared" ref="AA118" si="389">IF($K118&gt;=AA$23,MID($N$23,IF($K118&gt;AA$23,INT(Z118),ROUND(Z118,0))+1,1),"")</f>
        <v>1</v>
      </c>
      <c r="AB118" s="24">
        <f t="shared" si="360"/>
        <v>2.3968066805900889</v>
      </c>
      <c r="AC118" s="41" t="str">
        <f t="shared" ref="AC118" si="390">IF($K118&gt;=AC$23,MID($N$23,IF($K118&gt;AC$23,INT(AB118),ROUND(AB118,0))+1,1),"")</f>
        <v>2</v>
      </c>
      <c r="AD118" s="24">
        <f t="shared" si="361"/>
        <v>4.7616801670810673</v>
      </c>
      <c r="AE118" s="41" t="str">
        <f t="shared" ref="AE118" si="391">IF($K118&gt;=AE$23,MID($N$23,IF($K118&gt;AE$23,INT(AD118),ROUND(AD118,0))+1,1),"")</f>
        <v>4</v>
      </c>
      <c r="AF118" s="24">
        <f t="shared" si="362"/>
        <v>9.1401620049728081</v>
      </c>
      <c r="AG118" s="41" t="str">
        <f t="shared" ref="AG118" si="392">IF($K118&gt;=AG$23,MID($N$23,IF($K118&gt;AG$23,INT(AF118),ROUND(AF118,0))+1,1),"")</f>
        <v>9</v>
      </c>
      <c r="AH118" s="24">
        <f t="shared" si="363"/>
        <v>1.6819440596736968</v>
      </c>
      <c r="AI118" s="41" t="str">
        <f t="shared" ref="AI118" si="393">IF($K118&gt;=AI$23,MID($N$23,IF($K118&gt;AI$23,INT(AH118),ROUND(AH118,0))+1,1),"")</f>
        <v>2</v>
      </c>
      <c r="AJ118" s="24">
        <f t="shared" si="364"/>
        <v>8.1833287160843611</v>
      </c>
      <c r="AK118" s="41" t="str">
        <f t="shared" ref="AK118" si="394">IF($K118&gt;=AK$23,MID($N$23,IF($K118&gt;AK$23,INT(AJ118),ROUND(AJ118,0))+1,1),"")</f>
        <v/>
      </c>
      <c r="AL118" s="24">
        <f t="shared" si="365"/>
        <v>2.1999445930123329</v>
      </c>
      <c r="AM118" s="41" t="str">
        <f t="shared" ref="AM118" si="395">IF($K118&gt;=AM$23,MID($N$23,IF($K118&gt;AM$23,INT(AL118),ROUND(AL118,0))+1,1),"")</f>
        <v/>
      </c>
      <c r="AN118" s="24">
        <f t="shared" si="366"/>
        <v>2.399335116147995</v>
      </c>
      <c r="AO118" s="41" t="str">
        <f t="shared" ref="AO118" si="396">IF($K118&gt;=AO$23,MID($N$23,IF($K118&gt;AO$23,INT(AN118),ROUND(AN118,0))+1,1),"")</f>
        <v/>
      </c>
    </row>
    <row r="119" spans="1:41" ht="14.25" customHeight="1" x14ac:dyDescent="0.2">
      <c r="A119" s="602"/>
      <c r="B119" s="604"/>
      <c r="C119" s="212" t="s">
        <v>579</v>
      </c>
      <c r="D119" s="205" t="s">
        <v>580</v>
      </c>
      <c r="E119" s="151">
        <f>E120/12</f>
        <v>0.38751177783878171</v>
      </c>
      <c r="F119" s="15">
        <v>0</v>
      </c>
      <c r="G119" s="166">
        <f t="shared" si="308"/>
        <v>0.38751177783878171</v>
      </c>
      <c r="H119" s="118" t="s">
        <v>176</v>
      </c>
      <c r="I119" s="211">
        <v>0.1</v>
      </c>
      <c r="J119" s="2" t="s">
        <v>176</v>
      </c>
      <c r="K119" s="8">
        <v>9</v>
      </c>
      <c r="L119" s="29">
        <f>L120/10</f>
        <v>2.1504722720454415E-2</v>
      </c>
      <c r="M119" s="37" t="str">
        <f t="shared" ref="M119:M134" si="397">Q119&amp;";"&amp;S119&amp;U119&amp;W119&amp;Y119&amp;AA119&amp;AC119&amp;AE119&amp;AG119&amp;AI119&amp;AK119&amp;AM119&amp;AO119</f>
        <v>3;11E091193</v>
      </c>
      <c r="N119" s="38">
        <v>-2</v>
      </c>
      <c r="O119" s="128">
        <f t="shared" si="321"/>
        <v>3.0966800717454359</v>
      </c>
      <c r="P119" s="39" t="str">
        <f>INDEX(powers!$H$2:$H$75,33+N119)</f>
        <v>dino</v>
      </c>
      <c r="Q119" s="40" t="str">
        <f t="shared" si="383"/>
        <v>3</v>
      </c>
      <c r="R119" s="24">
        <f t="shared" ref="R119:R134" si="398">(O119-INT(O119))*12</f>
        <v>1.160160860945231</v>
      </c>
      <c r="S119" s="41" t="str">
        <f t="shared" ref="S119:S134" si="399">IF($K119&gt;=S$23,MID($N$23,IF($K119&gt;S$23,INT(R119),ROUND(R119,0))+1,1),"")</f>
        <v>1</v>
      </c>
      <c r="T119" s="24">
        <f t="shared" ref="T119:T134" si="400">(R119-INT(R119))*12</f>
        <v>1.9219303313427716</v>
      </c>
      <c r="U119" s="41" t="str">
        <f t="shared" ref="U119:U134" si="401">IF($K119&gt;=U$23,MID($N$23,IF($K119&gt;U$23,INT(T119),ROUND(T119,0))+1,1),"")</f>
        <v>1</v>
      </c>
      <c r="V119" s="24">
        <f t="shared" ref="V119:V134" si="402">(T119-INT(T119))*12</f>
        <v>11.063163976113259</v>
      </c>
      <c r="W119" s="41" t="str">
        <f t="shared" ref="W119:W134" si="403">IF($K119&gt;=W$23,MID($N$23,IF($K119&gt;W$23,INT(V119),ROUND(V119,0))+1,1),"")</f>
        <v>E</v>
      </c>
      <c r="X119" s="24">
        <f t="shared" ref="X119:X134" si="404">(V119-INT(V119))*12</f>
        <v>0.75796771335910762</v>
      </c>
      <c r="Y119" s="41" t="str">
        <f t="shared" ref="Y119:Y134" si="405">IF($K119&gt;=Y$23,MID($N$23,IF($K119&gt;Y$23,INT(X119),ROUND(X119,0))+1,1),"")</f>
        <v>0</v>
      </c>
      <c r="Z119" s="24">
        <f t="shared" ref="Z119:Z134" si="406">(X119-INT(X119))*12</f>
        <v>9.0956125603092914</v>
      </c>
      <c r="AA119" s="41" t="str">
        <f t="shared" ref="AA119:AA134" si="407">IF($K119&gt;=AA$23,MID($N$23,IF($K119&gt;AA$23,INT(Z119),ROUND(Z119,0))+1,1),"")</f>
        <v>9</v>
      </c>
      <c r="AB119" s="24">
        <f t="shared" ref="AB119:AB134" si="408">(Z119-INT(Z119))*12</f>
        <v>1.1473507237114973</v>
      </c>
      <c r="AC119" s="41" t="str">
        <f t="shared" ref="AC119:AC134" si="409">IF($K119&gt;=AC$23,MID($N$23,IF($K119&gt;AC$23,INT(AB119),ROUND(AB119,0))+1,1),"")</f>
        <v>1</v>
      </c>
      <c r="AD119" s="24">
        <f t="shared" ref="AD119:AD134" si="410">(AB119-INT(AB119))*12</f>
        <v>1.7682086845379672</v>
      </c>
      <c r="AE119" s="41" t="str">
        <f t="shared" ref="AE119:AE134" si="411">IF($K119&gt;=AE$23,MID($N$23,IF($K119&gt;AE$23,INT(AD119),ROUND(AD119,0))+1,1),"")</f>
        <v>1</v>
      </c>
      <c r="AF119" s="24">
        <f t="shared" ref="AF119:AF134" si="412">(AD119-INT(AD119))*12</f>
        <v>9.2185042144556064</v>
      </c>
      <c r="AG119" s="41" t="str">
        <f t="shared" ref="AG119:AG134" si="413">IF($K119&gt;=AG$23,MID($N$23,IF($K119&gt;AG$23,INT(AF119),ROUND(AF119,0))+1,1),"")</f>
        <v>9</v>
      </c>
      <c r="AH119" s="24">
        <f t="shared" ref="AH119:AH134" si="414">(AF119-INT(AF119))*12</f>
        <v>2.622050573467277</v>
      </c>
      <c r="AI119" s="41" t="str">
        <f t="shared" ref="AI119:AI134" si="415">IF($K119&gt;=AI$23,MID($N$23,IF($K119&gt;AI$23,INT(AH119),ROUND(AH119,0))+1,1),"")</f>
        <v>3</v>
      </c>
      <c r="AJ119" s="24">
        <f t="shared" ref="AJ119:AJ134" si="416">(AH119-INT(AH119))*12</f>
        <v>7.4646068816073239</v>
      </c>
      <c r="AK119" s="41" t="str">
        <f t="shared" ref="AK119:AK134" si="417">IF($K119&gt;=AK$23,MID($N$23,IF($K119&gt;AK$23,INT(AJ119),ROUND(AJ119,0))+1,1),"")</f>
        <v/>
      </c>
      <c r="AL119" s="24">
        <f t="shared" ref="AL119:AL134" si="418">(AJ119-INT(AJ119))*12</f>
        <v>5.5752825792878866</v>
      </c>
      <c r="AM119" s="41" t="str">
        <f t="shared" ref="AM119:AM134" si="419">IF($K119&gt;=AM$23,MID($N$23,IF($K119&gt;AM$23,INT(AL119),ROUND(AL119,0))+1,1),"")</f>
        <v/>
      </c>
      <c r="AN119" s="24">
        <f t="shared" ref="AN119:AN134" si="420">(AL119-INT(AL119))*12</f>
        <v>6.9033909514546394</v>
      </c>
      <c r="AO119" s="41" t="str">
        <f t="shared" ref="AO119:AO134" si="421">IF($K119&gt;=AO$23,MID($N$23,IF($K119&gt;AO$23,INT(AN119),ROUND(AN119,0))+1,1),"")</f>
        <v/>
      </c>
    </row>
    <row r="120" spans="1:41" ht="14.25" customHeight="1" x14ac:dyDescent="0.2">
      <c r="A120" s="602"/>
      <c r="B120" s="604"/>
      <c r="C120" s="202" t="s">
        <v>583</v>
      </c>
      <c r="D120" s="5" t="s">
        <v>215</v>
      </c>
      <c r="E120" s="151">
        <f t="shared" ref="E120" si="422">1/L120</f>
        <v>4.6501413340653803</v>
      </c>
      <c r="F120" s="15">
        <v>0</v>
      </c>
      <c r="G120" s="166">
        <f t="shared" ref="G120" si="423">E120*POWER(10,-F120)</f>
        <v>4.6501413340653803</v>
      </c>
      <c r="H120" s="118" t="s">
        <v>176</v>
      </c>
      <c r="I120" s="211">
        <v>1</v>
      </c>
      <c r="J120" s="2" t="s">
        <v>176</v>
      </c>
      <c r="K120" s="8">
        <v>9</v>
      </c>
      <c r="L120" s="21">
        <f>L121/16</f>
        <v>0.21504722720454417</v>
      </c>
      <c r="M120" s="37" t="str">
        <f t="shared" si="397"/>
        <v>2;6E7276E58</v>
      </c>
      <c r="N120" s="38">
        <v>-1</v>
      </c>
      <c r="O120" s="128">
        <f t="shared" ref="O120" si="424">L120/POWER(12,N120)</f>
        <v>2.58056672645453</v>
      </c>
      <c r="P120" s="39" t="str">
        <f>INDEX(powers!$H$2:$H$75,33+N120)</f>
        <v>unino</v>
      </c>
      <c r="Q120" s="40" t="str">
        <f t="shared" si="383"/>
        <v>2</v>
      </c>
      <c r="R120" s="24">
        <f t="shared" si="398"/>
        <v>6.96680071745436</v>
      </c>
      <c r="S120" s="41" t="str">
        <f t="shared" si="399"/>
        <v>6</v>
      </c>
      <c r="T120" s="24">
        <f t="shared" si="400"/>
        <v>11.60160860945232</v>
      </c>
      <c r="U120" s="41" t="str">
        <f t="shared" si="401"/>
        <v>E</v>
      </c>
      <c r="V120" s="24">
        <f t="shared" si="402"/>
        <v>7.2193033134278437</v>
      </c>
      <c r="W120" s="41" t="str">
        <f t="shared" si="403"/>
        <v>7</v>
      </c>
      <c r="X120" s="24">
        <f t="shared" si="404"/>
        <v>2.6316397611341245</v>
      </c>
      <c r="Y120" s="41" t="str">
        <f t="shared" si="405"/>
        <v>2</v>
      </c>
      <c r="Z120" s="24">
        <f t="shared" si="406"/>
        <v>7.5796771336094935</v>
      </c>
      <c r="AA120" s="41" t="str">
        <f t="shared" si="407"/>
        <v>7</v>
      </c>
      <c r="AB120" s="24">
        <f t="shared" si="408"/>
        <v>6.9561256033139216</v>
      </c>
      <c r="AC120" s="41" t="str">
        <f t="shared" si="409"/>
        <v>6</v>
      </c>
      <c r="AD120" s="24">
        <f t="shared" si="410"/>
        <v>11.473507239767059</v>
      </c>
      <c r="AE120" s="41" t="str">
        <f t="shared" si="411"/>
        <v>E</v>
      </c>
      <c r="AF120" s="24">
        <f t="shared" si="412"/>
        <v>5.6820868772047106</v>
      </c>
      <c r="AG120" s="41" t="str">
        <f t="shared" si="413"/>
        <v>5</v>
      </c>
      <c r="AH120" s="24">
        <f t="shared" si="414"/>
        <v>8.1850425264565274</v>
      </c>
      <c r="AI120" s="41" t="str">
        <f t="shared" si="415"/>
        <v>8</v>
      </c>
      <c r="AJ120" s="24">
        <f t="shared" si="416"/>
        <v>2.2205103174783289</v>
      </c>
      <c r="AK120" s="41" t="str">
        <f t="shared" si="417"/>
        <v/>
      </c>
      <c r="AL120" s="24">
        <f t="shared" si="418"/>
        <v>2.6461238097399473</v>
      </c>
      <c r="AM120" s="41" t="str">
        <f t="shared" si="419"/>
        <v/>
      </c>
      <c r="AN120" s="24">
        <f t="shared" si="420"/>
        <v>7.7534857168793678</v>
      </c>
      <c r="AO120" s="41" t="str">
        <f t="shared" si="421"/>
        <v/>
      </c>
    </row>
    <row r="121" spans="1:41" ht="14.25" customHeight="1" x14ac:dyDescent="0.2">
      <c r="A121" s="602"/>
      <c r="B121" s="604"/>
      <c r="C121" s="202" t="s">
        <v>583</v>
      </c>
      <c r="D121" s="5" t="s">
        <v>215</v>
      </c>
      <c r="E121" s="151">
        <f t="shared" ref="E121" si="425">1/L121</f>
        <v>0.29063383337908627</v>
      </c>
      <c r="F121" s="15">
        <v>0</v>
      </c>
      <c r="G121" s="166">
        <f t="shared" si="308"/>
        <v>0.29063383337908627</v>
      </c>
      <c r="H121" s="118" t="s">
        <v>172</v>
      </c>
      <c r="I121" s="211">
        <v>1</v>
      </c>
      <c r="J121" s="2" t="s">
        <v>172</v>
      </c>
      <c r="K121" s="8">
        <v>9</v>
      </c>
      <c r="L121" s="21">
        <f>0.45359237/E$8</f>
        <v>3.4407556352727067</v>
      </c>
      <c r="M121" s="37" t="str">
        <f t="shared" si="397"/>
        <v>3;535761337</v>
      </c>
      <c r="N121" s="38">
        <v>0</v>
      </c>
      <c r="O121" s="128">
        <f t="shared" si="321"/>
        <v>3.4407556352727067</v>
      </c>
      <c r="P121" s="39" t="str">
        <f>INDEX(powers!$H$2:$H$75,33+N121)</f>
        <v xml:space="preserve"> </v>
      </c>
      <c r="Q121" s="40" t="str">
        <f t="shared" si="383"/>
        <v>3</v>
      </c>
      <c r="R121" s="24">
        <f t="shared" si="398"/>
        <v>5.28906762327248</v>
      </c>
      <c r="S121" s="41" t="str">
        <f t="shared" si="399"/>
        <v>5</v>
      </c>
      <c r="T121" s="24">
        <f t="shared" si="400"/>
        <v>3.4688114792697604</v>
      </c>
      <c r="U121" s="41" t="str">
        <f t="shared" si="401"/>
        <v>3</v>
      </c>
      <c r="V121" s="24">
        <f t="shared" si="402"/>
        <v>5.6257377512371249</v>
      </c>
      <c r="W121" s="41" t="str">
        <f t="shared" si="403"/>
        <v>5</v>
      </c>
      <c r="X121" s="24">
        <f t="shared" si="404"/>
        <v>7.5088530148454993</v>
      </c>
      <c r="Y121" s="41" t="str">
        <f t="shared" si="405"/>
        <v>7</v>
      </c>
      <c r="Z121" s="24">
        <f t="shared" si="406"/>
        <v>6.1062361781459913</v>
      </c>
      <c r="AA121" s="41" t="str">
        <f t="shared" si="407"/>
        <v>6</v>
      </c>
      <c r="AB121" s="24">
        <f t="shared" si="408"/>
        <v>1.2748341377518955</v>
      </c>
      <c r="AC121" s="41" t="str">
        <f t="shared" si="409"/>
        <v>1</v>
      </c>
      <c r="AD121" s="24">
        <f t="shared" si="410"/>
        <v>3.2980096530227456</v>
      </c>
      <c r="AE121" s="41" t="str">
        <f t="shared" si="411"/>
        <v>3</v>
      </c>
      <c r="AF121" s="24">
        <f t="shared" si="412"/>
        <v>3.5761158362729475</v>
      </c>
      <c r="AG121" s="41" t="str">
        <f t="shared" si="413"/>
        <v>3</v>
      </c>
      <c r="AH121" s="24">
        <f t="shared" si="414"/>
        <v>6.9133900352753699</v>
      </c>
      <c r="AI121" s="41" t="str">
        <f t="shared" si="415"/>
        <v>7</v>
      </c>
      <c r="AJ121" s="24">
        <f t="shared" si="416"/>
        <v>10.960680423304439</v>
      </c>
      <c r="AK121" s="41" t="str">
        <f t="shared" si="417"/>
        <v/>
      </c>
      <c r="AL121" s="24">
        <f t="shared" si="418"/>
        <v>11.528165079653263</v>
      </c>
      <c r="AM121" s="41" t="str">
        <f t="shared" si="419"/>
        <v/>
      </c>
      <c r="AN121" s="24">
        <f t="shared" si="420"/>
        <v>6.3379809558391571</v>
      </c>
      <c r="AO121" s="41" t="str">
        <f t="shared" si="421"/>
        <v/>
      </c>
    </row>
    <row r="122" spans="1:41" ht="14.25" customHeight="1" x14ac:dyDescent="0.2">
      <c r="A122" s="602"/>
      <c r="B122" s="604"/>
      <c r="C122" s="202" t="s">
        <v>587</v>
      </c>
      <c r="D122" s="5" t="s">
        <v>215</v>
      </c>
      <c r="E122" s="151">
        <f>E121*12</f>
        <v>3.487606000549035</v>
      </c>
      <c r="F122" s="15">
        <v>0</v>
      </c>
      <c r="G122" s="166">
        <f t="shared" ref="G122" si="426">E122*POWER(10,-F122)</f>
        <v>3.487606000549035</v>
      </c>
      <c r="H122" s="118" t="s">
        <v>172</v>
      </c>
      <c r="I122" s="211">
        <v>10</v>
      </c>
      <c r="J122" s="2" t="s">
        <v>172</v>
      </c>
      <c r="K122" s="8">
        <v>9</v>
      </c>
      <c r="L122" s="21">
        <f>L121*10</f>
        <v>34.40755635272707</v>
      </c>
      <c r="M122" s="37" t="str">
        <f t="shared" si="397"/>
        <v>2;X4X83108</v>
      </c>
      <c r="N122" s="38">
        <v>1</v>
      </c>
      <c r="O122" s="128">
        <f t="shared" ref="O122" si="427">L122/POWER(12,N122)</f>
        <v>2.8672963627272559</v>
      </c>
      <c r="P122" s="39" t="str">
        <f>INDEX(powers!$H$2:$H$75,33+N122)</f>
        <v>dozen</v>
      </c>
      <c r="Q122" s="40" t="str">
        <f t="shared" si="383"/>
        <v>2</v>
      </c>
      <c r="R122" s="24">
        <f t="shared" si="398"/>
        <v>10.40755635272707</v>
      </c>
      <c r="S122" s="41" t="str">
        <f t="shared" si="399"/>
        <v>X</v>
      </c>
      <c r="T122" s="24">
        <f t="shared" si="400"/>
        <v>4.890676232724843</v>
      </c>
      <c r="U122" s="41" t="str">
        <f t="shared" si="401"/>
        <v>4</v>
      </c>
      <c r="V122" s="24">
        <f t="shared" si="402"/>
        <v>10.688114792698116</v>
      </c>
      <c r="W122" s="41" t="str">
        <f t="shared" si="403"/>
        <v>X</v>
      </c>
      <c r="X122" s="24">
        <f t="shared" si="404"/>
        <v>8.2573775123773885</v>
      </c>
      <c r="Y122" s="41" t="str">
        <f t="shared" si="405"/>
        <v>8</v>
      </c>
      <c r="Z122" s="24">
        <f t="shared" si="406"/>
        <v>3.0885301485286618</v>
      </c>
      <c r="AA122" s="41" t="str">
        <f t="shared" si="407"/>
        <v>3</v>
      </c>
      <c r="AB122" s="24">
        <f t="shared" si="408"/>
        <v>1.0623617823439417</v>
      </c>
      <c r="AC122" s="41" t="str">
        <f t="shared" si="409"/>
        <v>1</v>
      </c>
      <c r="AD122" s="24">
        <f t="shared" si="410"/>
        <v>0.74834138812730089</v>
      </c>
      <c r="AE122" s="41" t="str">
        <f t="shared" si="411"/>
        <v>0</v>
      </c>
      <c r="AF122" s="24">
        <f t="shared" si="412"/>
        <v>8.9800966575276107</v>
      </c>
      <c r="AG122" s="41" t="str">
        <f t="shared" si="413"/>
        <v>8</v>
      </c>
      <c r="AH122" s="24">
        <f t="shared" si="414"/>
        <v>11.761159890331328</v>
      </c>
      <c r="AI122" s="41" t="str">
        <f t="shared" si="415"/>
        <v/>
      </c>
      <c r="AJ122" s="24">
        <f t="shared" si="416"/>
        <v>9.133918683975935</v>
      </c>
      <c r="AK122" s="41" t="str">
        <f t="shared" si="417"/>
        <v/>
      </c>
      <c r="AL122" s="24">
        <f t="shared" si="418"/>
        <v>1.6070242077112198</v>
      </c>
      <c r="AM122" s="41" t="str">
        <f t="shared" si="419"/>
        <v/>
      </c>
      <c r="AN122" s="24">
        <f t="shared" si="420"/>
        <v>7.2842904925346375</v>
      </c>
      <c r="AO122" s="41" t="str">
        <f t="shared" si="421"/>
        <v/>
      </c>
    </row>
    <row r="123" spans="1:41" ht="14.25" customHeight="1" x14ac:dyDescent="0.2">
      <c r="A123" s="602"/>
      <c r="B123" s="604"/>
      <c r="C123" s="202" t="s">
        <v>585</v>
      </c>
      <c r="D123" s="5" t="s">
        <v>215</v>
      </c>
      <c r="E123" s="151">
        <f>E122*12</f>
        <v>41.851272006588417</v>
      </c>
      <c r="F123" s="15">
        <v>0</v>
      </c>
      <c r="G123" s="166">
        <f t="shared" ref="G123" si="428">E123*POWER(10,-F123)</f>
        <v>41.851272006588417</v>
      </c>
      <c r="H123" s="118" t="s">
        <v>172</v>
      </c>
      <c r="I123" s="211">
        <v>100</v>
      </c>
      <c r="J123" s="2" t="s">
        <v>172</v>
      </c>
      <c r="K123" s="8">
        <v>9</v>
      </c>
      <c r="L123" s="21">
        <f>L122*10</f>
        <v>344.07556352727067</v>
      </c>
      <c r="M123" s="37" t="str">
        <f t="shared" si="397"/>
        <v>2;480XX6X76</v>
      </c>
      <c r="N123" s="38">
        <v>2</v>
      </c>
      <c r="O123" s="128">
        <f t="shared" ref="O123" si="429">L123/POWER(12,N123)</f>
        <v>2.3894136356060462</v>
      </c>
      <c r="P123" s="39" t="str">
        <f>INDEX(powers!$H$2:$H$75,33+N123)</f>
        <v>gross</v>
      </c>
      <c r="Q123" s="40" t="str">
        <f t="shared" si="383"/>
        <v>2</v>
      </c>
      <c r="R123" s="24">
        <f t="shared" si="398"/>
        <v>4.672963627272555</v>
      </c>
      <c r="S123" s="41" t="str">
        <f t="shared" si="399"/>
        <v>4</v>
      </c>
      <c r="T123" s="24">
        <f t="shared" si="400"/>
        <v>8.0755635272706598</v>
      </c>
      <c r="U123" s="41" t="str">
        <f t="shared" si="401"/>
        <v>8</v>
      </c>
      <c r="V123" s="24">
        <f t="shared" si="402"/>
        <v>0.90676232724791817</v>
      </c>
      <c r="W123" s="41" t="str">
        <f t="shared" si="403"/>
        <v>0</v>
      </c>
      <c r="X123" s="24">
        <f t="shared" si="404"/>
        <v>10.881147926975018</v>
      </c>
      <c r="Y123" s="41" t="str">
        <f t="shared" si="405"/>
        <v>X</v>
      </c>
      <c r="Z123" s="24">
        <f t="shared" si="406"/>
        <v>10.573775123700216</v>
      </c>
      <c r="AA123" s="41" t="str">
        <f t="shared" si="407"/>
        <v>X</v>
      </c>
      <c r="AB123" s="24">
        <f t="shared" si="408"/>
        <v>6.8853014844025893</v>
      </c>
      <c r="AC123" s="41" t="str">
        <f t="shared" si="409"/>
        <v>6</v>
      </c>
      <c r="AD123" s="24">
        <f t="shared" si="410"/>
        <v>10.623617812831071</v>
      </c>
      <c r="AE123" s="41" t="str">
        <f t="shared" si="411"/>
        <v>X</v>
      </c>
      <c r="AF123" s="24">
        <f t="shared" si="412"/>
        <v>7.4834137539728545</v>
      </c>
      <c r="AG123" s="41" t="str">
        <f t="shared" si="413"/>
        <v>7</v>
      </c>
      <c r="AH123" s="24">
        <f t="shared" si="414"/>
        <v>5.8009650476742536</v>
      </c>
      <c r="AI123" s="41" t="str">
        <f t="shared" si="415"/>
        <v>6</v>
      </c>
      <c r="AJ123" s="24">
        <f t="shared" si="416"/>
        <v>9.611580572091043</v>
      </c>
      <c r="AK123" s="41" t="str">
        <f t="shared" si="417"/>
        <v/>
      </c>
      <c r="AL123" s="24">
        <f t="shared" si="418"/>
        <v>7.3389668650925159</v>
      </c>
      <c r="AM123" s="41" t="str">
        <f t="shared" si="419"/>
        <v/>
      </c>
      <c r="AN123" s="24">
        <f t="shared" si="420"/>
        <v>4.0676023811101913</v>
      </c>
      <c r="AO123" s="41" t="str">
        <f t="shared" si="421"/>
        <v/>
      </c>
    </row>
    <row r="124" spans="1:41" ht="14.25" customHeight="1" thickBot="1" x14ac:dyDescent="0.25">
      <c r="A124" s="602"/>
      <c r="B124" s="604"/>
      <c r="C124" s="202" t="s">
        <v>590</v>
      </c>
      <c r="D124" s="5" t="s">
        <v>215</v>
      </c>
      <c r="E124" s="151">
        <f>E123*12</f>
        <v>502.215264079061</v>
      </c>
      <c r="F124" s="15">
        <v>0</v>
      </c>
      <c r="G124" s="166">
        <f t="shared" ref="G124" si="430">E124*POWER(10,-F124)</f>
        <v>502.215264079061</v>
      </c>
      <c r="H124" s="118" t="s">
        <v>172</v>
      </c>
      <c r="I124" s="162">
        <v>1000</v>
      </c>
      <c r="J124" s="2" t="s">
        <v>172</v>
      </c>
      <c r="K124" s="8">
        <v>9</v>
      </c>
      <c r="L124" s="21">
        <f>L123*10</f>
        <v>3440.755635272707</v>
      </c>
      <c r="M124" s="37" t="str">
        <f t="shared" si="397"/>
        <v>1;EX89098X3</v>
      </c>
      <c r="N124" s="38">
        <v>3</v>
      </c>
      <c r="O124" s="128">
        <f t="shared" ref="O124" si="431">L124/POWER(12,N124)</f>
        <v>1.9911780296717054</v>
      </c>
      <c r="P124" s="39" t="str">
        <f>INDEX(powers!$H$2:$H$75,33+N124)</f>
        <v>doz gross</v>
      </c>
      <c r="Q124" s="40" t="str">
        <f t="shared" si="383"/>
        <v>1</v>
      </c>
      <c r="R124" s="24">
        <f t="shared" si="398"/>
        <v>11.894136356060464</v>
      </c>
      <c r="S124" s="41" t="str">
        <f t="shared" si="399"/>
        <v>E</v>
      </c>
      <c r="T124" s="24">
        <f t="shared" si="400"/>
        <v>10.729636272725571</v>
      </c>
      <c r="U124" s="41" t="str">
        <f t="shared" si="401"/>
        <v>X</v>
      </c>
      <c r="V124" s="24">
        <f t="shared" si="402"/>
        <v>8.7556352727068543</v>
      </c>
      <c r="W124" s="41" t="str">
        <f t="shared" si="403"/>
        <v>8</v>
      </c>
      <c r="X124" s="24">
        <f t="shared" si="404"/>
        <v>9.0676232724822512</v>
      </c>
      <c r="Y124" s="41" t="str">
        <f t="shared" si="405"/>
        <v>9</v>
      </c>
      <c r="Z124" s="24">
        <f t="shared" si="406"/>
        <v>0.81147926978701435</v>
      </c>
      <c r="AA124" s="41" t="str">
        <f t="shared" si="407"/>
        <v>0</v>
      </c>
      <c r="AB124" s="24">
        <f t="shared" si="408"/>
        <v>9.7377512374441721</v>
      </c>
      <c r="AC124" s="41" t="str">
        <f t="shared" si="409"/>
        <v>9</v>
      </c>
      <c r="AD124" s="24">
        <f t="shared" si="410"/>
        <v>8.8530148493300658</v>
      </c>
      <c r="AE124" s="41" t="str">
        <f t="shared" si="411"/>
        <v>8</v>
      </c>
      <c r="AF124" s="24">
        <f t="shared" si="412"/>
        <v>10.236178191960789</v>
      </c>
      <c r="AG124" s="41" t="str">
        <f t="shared" si="413"/>
        <v>X</v>
      </c>
      <c r="AH124" s="24">
        <f t="shared" si="414"/>
        <v>2.8341383035294712</v>
      </c>
      <c r="AI124" s="41" t="str">
        <f t="shared" si="415"/>
        <v>3</v>
      </c>
      <c r="AJ124" s="24">
        <f t="shared" si="416"/>
        <v>10.009659642353654</v>
      </c>
      <c r="AK124" s="41" t="str">
        <f t="shared" si="417"/>
        <v/>
      </c>
      <c r="AL124" s="24">
        <f t="shared" si="418"/>
        <v>0.11591570824384689</v>
      </c>
      <c r="AM124" s="41" t="str">
        <f t="shared" si="419"/>
        <v/>
      </c>
      <c r="AN124" s="24">
        <f t="shared" si="420"/>
        <v>1.3909884989261627</v>
      </c>
      <c r="AO124" s="41" t="str">
        <f t="shared" si="421"/>
        <v/>
      </c>
    </row>
    <row r="125" spans="1:41" ht="14.25" customHeight="1" x14ac:dyDescent="0.2">
      <c r="A125" s="602"/>
      <c r="B125" s="604"/>
      <c r="C125" s="201" t="s">
        <v>591</v>
      </c>
      <c r="D125" s="206" t="s">
        <v>592</v>
      </c>
      <c r="E125" s="148">
        <f>POWER(12,4)/L125</f>
        <v>0.38007471825211159</v>
      </c>
      <c r="F125" s="185">
        <v>0</v>
      </c>
      <c r="G125" s="186">
        <f t="shared" ref="G125" si="432">E125*POWER(10,-F125)</f>
        <v>0.38007471825211159</v>
      </c>
      <c r="H125" s="187" t="s">
        <v>574</v>
      </c>
      <c r="I125" s="210">
        <v>1</v>
      </c>
      <c r="J125" s="144" t="s">
        <v>162</v>
      </c>
      <c r="K125" s="143">
        <v>9</v>
      </c>
      <c r="L125" s="142">
        <f>L111*L111*4840</f>
        <v>54557.693538156811</v>
      </c>
      <c r="M125" s="145" t="str">
        <f t="shared" si="397"/>
        <v>2;76X583X52</v>
      </c>
      <c r="N125" s="146">
        <v>4</v>
      </c>
      <c r="O125" s="194">
        <f t="shared" ref="O125:O133" si="433">L125/POWER(12,N125)</f>
        <v>2.6310616096719142</v>
      </c>
      <c r="P125" s="147" t="str">
        <f>INDEX(powers!$H$2:$H$75,33+N125)</f>
        <v>hyper</v>
      </c>
      <c r="Q125" s="40" t="str">
        <f t="shared" si="383"/>
        <v>2</v>
      </c>
      <c r="R125" s="24">
        <f t="shared" si="398"/>
        <v>7.5727393160629699</v>
      </c>
      <c r="S125" s="41" t="str">
        <f t="shared" si="399"/>
        <v>7</v>
      </c>
      <c r="T125" s="24">
        <f t="shared" si="400"/>
        <v>6.8728717927556389</v>
      </c>
      <c r="U125" s="41" t="str">
        <f t="shared" si="401"/>
        <v>6</v>
      </c>
      <c r="V125" s="24">
        <f t="shared" si="402"/>
        <v>10.474461513067666</v>
      </c>
      <c r="W125" s="41" t="str">
        <f t="shared" si="403"/>
        <v>X</v>
      </c>
      <c r="X125" s="24">
        <f t="shared" si="404"/>
        <v>5.6935381568119965</v>
      </c>
      <c r="Y125" s="41" t="str">
        <f t="shared" si="405"/>
        <v>5</v>
      </c>
      <c r="Z125" s="24">
        <f t="shared" si="406"/>
        <v>8.3224578817439578</v>
      </c>
      <c r="AA125" s="41" t="str">
        <f t="shared" si="407"/>
        <v>8</v>
      </c>
      <c r="AB125" s="24">
        <f t="shared" si="408"/>
        <v>3.8694945809274941</v>
      </c>
      <c r="AC125" s="41" t="str">
        <f t="shared" si="409"/>
        <v>3</v>
      </c>
      <c r="AD125" s="24">
        <f t="shared" si="410"/>
        <v>10.433934971129929</v>
      </c>
      <c r="AE125" s="41" t="str">
        <f t="shared" si="411"/>
        <v>X</v>
      </c>
      <c r="AF125" s="24">
        <f t="shared" si="412"/>
        <v>5.2072196535591502</v>
      </c>
      <c r="AG125" s="41" t="str">
        <f t="shared" si="413"/>
        <v>5</v>
      </c>
      <c r="AH125" s="24">
        <f t="shared" si="414"/>
        <v>2.4866358427098021</v>
      </c>
      <c r="AI125" s="41" t="str">
        <f t="shared" si="415"/>
        <v>2</v>
      </c>
      <c r="AJ125" s="24">
        <f t="shared" si="416"/>
        <v>5.8396301125176251</v>
      </c>
      <c r="AK125" s="41" t="str">
        <f t="shared" si="417"/>
        <v/>
      </c>
      <c r="AL125" s="24">
        <f t="shared" si="418"/>
        <v>10.075561350211501</v>
      </c>
      <c r="AM125" s="41" t="str">
        <f t="shared" si="419"/>
        <v/>
      </c>
      <c r="AN125" s="24">
        <f t="shared" si="420"/>
        <v>0.90673620253801346</v>
      </c>
      <c r="AO125" s="41" t="str">
        <f t="shared" si="421"/>
        <v/>
      </c>
    </row>
    <row r="126" spans="1:41" ht="14.25" customHeight="1" x14ac:dyDescent="0.2">
      <c r="A126" s="602"/>
      <c r="B126" s="604"/>
      <c r="C126" s="202" t="s">
        <v>583</v>
      </c>
      <c r="D126" s="207" t="s">
        <v>593</v>
      </c>
      <c r="E126" s="151">
        <f>1/L126</f>
        <v>4.4438016143268637</v>
      </c>
      <c r="F126" s="15">
        <v>0</v>
      </c>
      <c r="G126" s="166">
        <f t="shared" ref="G126:G133" si="434">E126*POWER(10,-F126)</f>
        <v>4.4438016143268637</v>
      </c>
      <c r="H126" s="118" t="s">
        <v>168</v>
      </c>
      <c r="I126" s="211">
        <v>1</v>
      </c>
      <c r="J126" s="2" t="s">
        <v>168</v>
      </c>
      <c r="K126" s="8">
        <v>9</v>
      </c>
      <c r="L126" s="21">
        <f>0.00454609/(E$3*E$3*E$3)</f>
        <v>0.22503254798233777</v>
      </c>
      <c r="M126" s="37" t="str">
        <f t="shared" si="397"/>
        <v>2;84X337078</v>
      </c>
      <c r="N126" s="38">
        <v>-1</v>
      </c>
      <c r="O126" s="128">
        <f t="shared" si="433"/>
        <v>2.7003905757880533</v>
      </c>
      <c r="P126" s="39" t="str">
        <f>INDEX(powers!$H$2:$H$75,33+N126)</f>
        <v>unino</v>
      </c>
      <c r="Q126" s="40" t="str">
        <f t="shared" si="383"/>
        <v>2</v>
      </c>
      <c r="R126" s="24">
        <f t="shared" si="398"/>
        <v>8.4046869094566397</v>
      </c>
      <c r="S126" s="41" t="str">
        <f t="shared" si="399"/>
        <v>8</v>
      </c>
      <c r="T126" s="24">
        <f t="shared" si="400"/>
        <v>4.8562429134796758</v>
      </c>
      <c r="U126" s="41" t="str">
        <f t="shared" si="401"/>
        <v>4</v>
      </c>
      <c r="V126" s="24">
        <f t="shared" si="402"/>
        <v>10.27491496175611</v>
      </c>
      <c r="W126" s="41" t="str">
        <f t="shared" si="403"/>
        <v>X</v>
      </c>
      <c r="X126" s="24">
        <f t="shared" si="404"/>
        <v>3.2989795410733223</v>
      </c>
      <c r="Y126" s="41" t="str">
        <f t="shared" si="405"/>
        <v>3</v>
      </c>
      <c r="Z126" s="24">
        <f t="shared" si="406"/>
        <v>3.587754492879867</v>
      </c>
      <c r="AA126" s="41" t="str">
        <f t="shared" si="407"/>
        <v>3</v>
      </c>
      <c r="AB126" s="24">
        <f t="shared" si="408"/>
        <v>7.0530539145584044</v>
      </c>
      <c r="AC126" s="41" t="str">
        <f t="shared" si="409"/>
        <v>7</v>
      </c>
      <c r="AD126" s="24">
        <f t="shared" si="410"/>
        <v>0.6366469747008523</v>
      </c>
      <c r="AE126" s="41" t="str">
        <f t="shared" si="411"/>
        <v>0</v>
      </c>
      <c r="AF126" s="24">
        <f t="shared" si="412"/>
        <v>7.6397636964102276</v>
      </c>
      <c r="AG126" s="41" t="str">
        <f t="shared" si="413"/>
        <v>7</v>
      </c>
      <c r="AH126" s="24">
        <f t="shared" si="414"/>
        <v>7.6771643569227308</v>
      </c>
      <c r="AI126" s="41" t="str">
        <f t="shared" si="415"/>
        <v>8</v>
      </c>
      <c r="AJ126" s="24">
        <f t="shared" si="416"/>
        <v>8.1259722830727696</v>
      </c>
      <c r="AK126" s="41" t="str">
        <f t="shared" si="417"/>
        <v/>
      </c>
      <c r="AL126" s="24">
        <f t="shared" si="418"/>
        <v>1.5116673968732357</v>
      </c>
      <c r="AM126" s="41" t="str">
        <f t="shared" si="419"/>
        <v/>
      </c>
      <c r="AN126" s="24">
        <f t="shared" si="420"/>
        <v>6.1400087624788284</v>
      </c>
      <c r="AO126" s="41" t="str">
        <f t="shared" si="421"/>
        <v/>
      </c>
    </row>
    <row r="127" spans="1:41" ht="14.25" customHeight="1" x14ac:dyDescent="0.2">
      <c r="A127" s="602"/>
      <c r="B127" s="604"/>
      <c r="C127" s="202" t="s">
        <v>583</v>
      </c>
      <c r="D127" s="207" t="s">
        <v>593</v>
      </c>
      <c r="E127" s="151">
        <f t="shared" ref="E127:E132" si="435">1/L127</f>
        <v>5.3367832176842009</v>
      </c>
      <c r="F127" s="15">
        <v>0</v>
      </c>
      <c r="G127" s="166">
        <f t="shared" si="434"/>
        <v>5.3367832176842009</v>
      </c>
      <c r="H127" s="118" t="s">
        <v>170</v>
      </c>
      <c r="I127" s="211">
        <v>1</v>
      </c>
      <c r="J127" s="2" t="s">
        <v>170</v>
      </c>
      <c r="K127" s="8">
        <v>9</v>
      </c>
      <c r="L127" s="21">
        <f>0.003785411784/(E$3*E$3*E$3)</f>
        <v>0.18737879340617691</v>
      </c>
      <c r="M127" s="37" t="str">
        <f t="shared" si="397"/>
        <v>2;2E95X0E47</v>
      </c>
      <c r="N127" s="38">
        <v>-1</v>
      </c>
      <c r="O127" s="128">
        <f t="shared" si="433"/>
        <v>2.248545520874123</v>
      </c>
      <c r="P127" s="39" t="str">
        <f>INDEX(powers!$H$2:$H$75,33+N127)</f>
        <v>unino</v>
      </c>
      <c r="Q127" s="40" t="str">
        <f t="shared" si="383"/>
        <v>2</v>
      </c>
      <c r="R127" s="24">
        <f t="shared" si="398"/>
        <v>2.9825462504894755</v>
      </c>
      <c r="S127" s="41" t="str">
        <f t="shared" si="399"/>
        <v>2</v>
      </c>
      <c r="T127" s="24">
        <f t="shared" si="400"/>
        <v>11.790555005873706</v>
      </c>
      <c r="U127" s="41" t="str">
        <f t="shared" si="401"/>
        <v>E</v>
      </c>
      <c r="V127" s="24">
        <f t="shared" si="402"/>
        <v>9.4866600704844757</v>
      </c>
      <c r="W127" s="41" t="str">
        <f t="shared" si="403"/>
        <v>9</v>
      </c>
      <c r="X127" s="24">
        <f t="shared" si="404"/>
        <v>5.8399208458137082</v>
      </c>
      <c r="Y127" s="41" t="str">
        <f t="shared" si="405"/>
        <v>5</v>
      </c>
      <c r="Z127" s="24">
        <f t="shared" si="406"/>
        <v>10.079050149764498</v>
      </c>
      <c r="AA127" s="41" t="str">
        <f t="shared" si="407"/>
        <v>X</v>
      </c>
      <c r="AB127" s="24">
        <f t="shared" si="408"/>
        <v>0.94860179717397841</v>
      </c>
      <c r="AC127" s="41" t="str">
        <f t="shared" si="409"/>
        <v>0</v>
      </c>
      <c r="AD127" s="24">
        <f t="shared" si="410"/>
        <v>11.383221566087741</v>
      </c>
      <c r="AE127" s="41" t="str">
        <f t="shared" si="411"/>
        <v>E</v>
      </c>
      <c r="AF127" s="24">
        <f t="shared" si="412"/>
        <v>4.5986587930528913</v>
      </c>
      <c r="AG127" s="41" t="str">
        <f t="shared" si="413"/>
        <v>4</v>
      </c>
      <c r="AH127" s="24">
        <f t="shared" si="414"/>
        <v>7.1839055166346952</v>
      </c>
      <c r="AI127" s="41" t="str">
        <f t="shared" si="415"/>
        <v>7</v>
      </c>
      <c r="AJ127" s="24">
        <f t="shared" si="416"/>
        <v>2.2068661996163428</v>
      </c>
      <c r="AK127" s="41" t="str">
        <f t="shared" si="417"/>
        <v/>
      </c>
      <c r="AL127" s="24">
        <f t="shared" si="418"/>
        <v>2.4823943953961134</v>
      </c>
      <c r="AM127" s="41" t="str">
        <f t="shared" si="419"/>
        <v/>
      </c>
      <c r="AN127" s="24">
        <f t="shared" si="420"/>
        <v>5.7887327447533607</v>
      </c>
      <c r="AO127" s="41" t="str">
        <f t="shared" si="421"/>
        <v/>
      </c>
    </row>
    <row r="128" spans="1:41" ht="14.25" customHeight="1" x14ac:dyDescent="0.2">
      <c r="A128" s="602"/>
      <c r="B128" s="604"/>
      <c r="C128" s="202" t="s">
        <v>583</v>
      </c>
      <c r="D128" s="207" t="s">
        <v>68</v>
      </c>
      <c r="E128" s="151">
        <f>E$3/E$4*3.6</f>
        <v>2.5099971902059757</v>
      </c>
      <c r="F128" s="15">
        <v>0</v>
      </c>
      <c r="G128" s="166">
        <f t="shared" ref="G128" si="436">E128*POWER(10,-F128)</f>
        <v>2.5099971902059757</v>
      </c>
      <c r="H128" s="118" t="s">
        <v>630</v>
      </c>
      <c r="I128" s="211">
        <v>1</v>
      </c>
      <c r="J128" s="2" t="s">
        <v>630</v>
      </c>
      <c r="K128" s="8">
        <v>9</v>
      </c>
      <c r="L128" s="21">
        <f>1/E128</f>
        <v>0.39840682049446352</v>
      </c>
      <c r="M128" s="37" t="str">
        <f t="shared" ref="M128" si="437">Q128&amp;";"&amp;S128&amp;U128&amp;W128&amp;Y128&amp;AA128&amp;AC128&amp;AE128&amp;AG128&amp;AI128&amp;AK128&amp;AM128&amp;AO128</f>
        <v>4;945444846</v>
      </c>
      <c r="N128" s="38">
        <v>-1</v>
      </c>
      <c r="O128" s="128">
        <f t="shared" ref="O128" si="438">L128/POWER(12,N128)</f>
        <v>4.7808818459335622</v>
      </c>
      <c r="P128" s="39" t="str">
        <f>INDEX(powers!$H$2:$H$75,33+N128)</f>
        <v>unino</v>
      </c>
      <c r="Q128" s="40" t="str">
        <f t="shared" ref="Q128" si="439">IF($K128&gt;=Q$23,MID($N$23,IF($K128&gt;Q$23,INT(O128),ROUND(O128,0))+1,1),"")</f>
        <v>4</v>
      </c>
      <c r="R128" s="24">
        <f t="shared" ref="R128" si="440">(O128-INT(O128))*12</f>
        <v>9.370582151202747</v>
      </c>
      <c r="S128" s="41" t="str">
        <f t="shared" ref="S128" si="441">IF($K128&gt;=S$23,MID($N$23,IF($K128&gt;S$23,INT(R128),ROUND(R128,0))+1,1),"")</f>
        <v>9</v>
      </c>
      <c r="T128" s="24">
        <f t="shared" ref="T128" si="442">(R128-INT(R128))*12</f>
        <v>4.4469858144329635</v>
      </c>
      <c r="U128" s="41" t="str">
        <f t="shared" ref="U128" si="443">IF($K128&gt;=U$23,MID($N$23,IF($K128&gt;U$23,INT(T128),ROUND(T128,0))+1,1),"")</f>
        <v>4</v>
      </c>
      <c r="V128" s="24">
        <f t="shared" ref="V128" si="444">(T128-INT(T128))*12</f>
        <v>5.3638297731955618</v>
      </c>
      <c r="W128" s="41" t="str">
        <f t="shared" ref="W128" si="445">IF($K128&gt;=W$23,MID($N$23,IF($K128&gt;W$23,INT(V128),ROUND(V128,0))+1,1),"")</f>
        <v>5</v>
      </c>
      <c r="X128" s="24">
        <f t="shared" ref="X128" si="446">(V128-INT(V128))*12</f>
        <v>4.3659572783467411</v>
      </c>
      <c r="Y128" s="41" t="str">
        <f t="shared" ref="Y128" si="447">IF($K128&gt;=Y$23,MID($N$23,IF($K128&gt;Y$23,INT(X128),ROUND(X128,0))+1,1),"")</f>
        <v>4</v>
      </c>
      <c r="Z128" s="24">
        <f t="shared" ref="Z128" si="448">(X128-INT(X128))*12</f>
        <v>4.3914873401608929</v>
      </c>
      <c r="AA128" s="41" t="str">
        <f t="shared" ref="AA128" si="449">IF($K128&gt;=AA$23,MID($N$23,IF($K128&gt;AA$23,INT(Z128),ROUND(Z128,0))+1,1),"")</f>
        <v>4</v>
      </c>
      <c r="AB128" s="24">
        <f t="shared" ref="AB128" si="450">(Z128-INT(Z128))*12</f>
        <v>4.6978480819307151</v>
      </c>
      <c r="AC128" s="41" t="str">
        <f t="shared" ref="AC128" si="451">IF($K128&gt;=AC$23,MID($N$23,IF($K128&gt;AC$23,INT(AB128),ROUND(AB128,0))+1,1),"")</f>
        <v>4</v>
      </c>
      <c r="AD128" s="24">
        <f t="shared" ref="AD128" si="452">(AB128-INT(AB128))*12</f>
        <v>8.3741769831685815</v>
      </c>
      <c r="AE128" s="41" t="str">
        <f t="shared" ref="AE128" si="453">IF($K128&gt;=AE$23,MID($N$23,IF($K128&gt;AE$23,INT(AD128),ROUND(AD128,0))+1,1),"")</f>
        <v>8</v>
      </c>
      <c r="AF128" s="24">
        <f t="shared" ref="AF128" si="454">(AD128-INT(AD128))*12</f>
        <v>4.490123798022978</v>
      </c>
      <c r="AG128" s="41" t="str">
        <f t="shared" ref="AG128" si="455">IF($K128&gt;=AG$23,MID($N$23,IF($K128&gt;AG$23,INT(AF128),ROUND(AF128,0))+1,1),"")</f>
        <v>4</v>
      </c>
      <c r="AH128" s="24">
        <f t="shared" ref="AH128" si="456">(AF128-INT(AF128))*12</f>
        <v>5.8814855762757361</v>
      </c>
      <c r="AI128" s="41" t="str">
        <f t="shared" ref="AI128" si="457">IF($K128&gt;=AI$23,MID($N$23,IF($K128&gt;AI$23,INT(AH128),ROUND(AH128,0))+1,1),"")</f>
        <v>6</v>
      </c>
      <c r="AJ128" s="24">
        <f t="shared" ref="AJ128" si="458">(AH128-INT(AH128))*12</f>
        <v>10.577826915308833</v>
      </c>
      <c r="AK128" s="41" t="str">
        <f t="shared" ref="AK128" si="459">IF($K128&gt;=AK$23,MID($N$23,IF($K128&gt;AK$23,INT(AJ128),ROUND(AJ128,0))+1,1),"")</f>
        <v/>
      </c>
      <c r="AL128" s="24">
        <f t="shared" ref="AL128" si="460">(AJ128-INT(AJ128))*12</f>
        <v>6.9339229837059975</v>
      </c>
      <c r="AM128" s="41" t="str">
        <f t="shared" ref="AM128" si="461">IF($K128&gt;=AM$23,MID($N$23,IF($K128&gt;AM$23,INT(AL128),ROUND(AL128,0))+1,1),"")</f>
        <v/>
      </c>
      <c r="AN128" s="24">
        <f t="shared" ref="AN128" si="462">(AL128-INT(AL128))*12</f>
        <v>11.20707580447197</v>
      </c>
      <c r="AO128" s="41" t="str">
        <f t="shared" ref="AO128" si="463">IF($K128&gt;=AO$23,MID($N$23,IF($K128&gt;AO$23,INT(AN128),ROUND(AN128,0))+1,1),"")</f>
        <v/>
      </c>
    </row>
    <row r="129" spans="1:41" ht="14.25" customHeight="1" x14ac:dyDescent="0.2">
      <c r="A129" s="602"/>
      <c r="B129" s="604"/>
      <c r="C129" s="202" t="s">
        <v>583</v>
      </c>
      <c r="D129" s="207" t="s">
        <v>68</v>
      </c>
      <c r="E129" s="151">
        <f>E128/1.609344</f>
        <v>1.5596399465906454</v>
      </c>
      <c r="F129" s="15">
        <v>0</v>
      </c>
      <c r="G129" s="166">
        <f t="shared" ref="G129:G130" si="464">E129*POWER(10,-F129)</f>
        <v>1.5596399465906454</v>
      </c>
      <c r="H129" s="118" t="s">
        <v>188</v>
      </c>
      <c r="I129" s="211">
        <v>1</v>
      </c>
      <c r="J129" s="2" t="s">
        <v>188</v>
      </c>
      <c r="K129" s="8">
        <v>9</v>
      </c>
      <c r="L129" s="21">
        <f>1/E129</f>
        <v>0.64117362612184192</v>
      </c>
      <c r="M129" s="37" t="str">
        <f t="shared" ref="M129:M130" si="465">Q129&amp;";"&amp;S129&amp;U129&amp;W129&amp;Y129&amp;AA129&amp;AC129&amp;AE129&amp;AG129&amp;AI129&amp;AK129&amp;AM129&amp;AO129</f>
        <v>7;83E462323</v>
      </c>
      <c r="N129" s="38">
        <v>-1</v>
      </c>
      <c r="O129" s="128">
        <f t="shared" ref="O129:O130" si="466">L129/POWER(12,N129)</f>
        <v>7.6940835134621031</v>
      </c>
      <c r="P129" s="39" t="str">
        <f>INDEX(powers!$H$2:$H$75,33+N129)</f>
        <v>unino</v>
      </c>
      <c r="Q129" s="40" t="str">
        <f t="shared" ref="Q129:Q130" si="467">IF($K129&gt;=Q$23,MID($N$23,IF($K129&gt;Q$23,INT(O129),ROUND(O129,0))+1,1),"")</f>
        <v>7</v>
      </c>
      <c r="R129" s="24">
        <f t="shared" ref="R129:R130" si="468">(O129-INT(O129))*12</f>
        <v>8.3290021615452368</v>
      </c>
      <c r="S129" s="41" t="str">
        <f t="shared" ref="S129:S130" si="469">IF($K129&gt;=S$23,MID($N$23,IF($K129&gt;S$23,INT(R129),ROUND(R129,0))+1,1),"")</f>
        <v>8</v>
      </c>
      <c r="T129" s="24">
        <f t="shared" ref="T129:T130" si="470">(R129-INT(R129))*12</f>
        <v>3.9480259385428411</v>
      </c>
      <c r="U129" s="41" t="str">
        <f t="shared" ref="U129:U130" si="471">IF($K129&gt;=U$23,MID($N$23,IF($K129&gt;U$23,INT(T129),ROUND(T129,0))+1,1),"")</f>
        <v>3</v>
      </c>
      <c r="V129" s="24">
        <f t="shared" ref="V129:V130" si="472">(T129-INT(T129))*12</f>
        <v>11.376311262514093</v>
      </c>
      <c r="W129" s="41" t="str">
        <f t="shared" ref="W129:W130" si="473">IF($K129&gt;=W$23,MID($N$23,IF($K129&gt;W$23,INT(V129),ROUND(V129,0))+1,1),"")</f>
        <v>E</v>
      </c>
      <c r="X129" s="24">
        <f t="shared" ref="X129:X130" si="474">(V129-INT(V129))*12</f>
        <v>4.515735150169121</v>
      </c>
      <c r="Y129" s="41" t="str">
        <f t="shared" ref="Y129:Y130" si="475">IF($K129&gt;=Y$23,MID($N$23,IF($K129&gt;Y$23,INT(X129),ROUND(X129,0))+1,1),"")</f>
        <v>4</v>
      </c>
      <c r="Z129" s="24">
        <f t="shared" ref="Z129:Z130" si="476">(X129-INT(X129))*12</f>
        <v>6.1888218020294516</v>
      </c>
      <c r="AA129" s="41" t="str">
        <f t="shared" ref="AA129:AA130" si="477">IF($K129&gt;=AA$23,MID($N$23,IF($K129&gt;AA$23,INT(Z129),ROUND(Z129,0))+1,1),"")</f>
        <v>6</v>
      </c>
      <c r="AB129" s="24">
        <f t="shared" ref="AB129:AB130" si="478">(Z129-INT(Z129))*12</f>
        <v>2.2658616243534198</v>
      </c>
      <c r="AC129" s="41" t="str">
        <f t="shared" ref="AC129:AC130" si="479">IF($K129&gt;=AC$23,MID($N$23,IF($K129&gt;AC$23,INT(AB129),ROUND(AB129,0))+1,1),"")</f>
        <v>2</v>
      </c>
      <c r="AD129" s="24">
        <f t="shared" ref="AD129:AD130" si="480">(AB129-INT(AB129))*12</f>
        <v>3.1903394922410371</v>
      </c>
      <c r="AE129" s="41" t="str">
        <f t="shared" ref="AE129:AE130" si="481">IF($K129&gt;=AE$23,MID($N$23,IF($K129&gt;AE$23,INT(AD129),ROUND(AD129,0))+1,1),"")</f>
        <v>3</v>
      </c>
      <c r="AF129" s="24">
        <f t="shared" ref="AF129:AF130" si="482">(AD129-INT(AD129))*12</f>
        <v>2.2840739068924449</v>
      </c>
      <c r="AG129" s="41" t="str">
        <f t="shared" ref="AG129:AG130" si="483">IF($K129&gt;=AG$23,MID($N$23,IF($K129&gt;AG$23,INT(AF129),ROUND(AF129,0))+1,1),"")</f>
        <v>2</v>
      </c>
      <c r="AH129" s="24">
        <f t="shared" ref="AH129:AH130" si="484">(AF129-INT(AF129))*12</f>
        <v>3.4088868827093393</v>
      </c>
      <c r="AI129" s="41" t="str">
        <f t="shared" ref="AI129:AI130" si="485">IF($K129&gt;=AI$23,MID($N$23,IF($K129&gt;AI$23,INT(AH129),ROUND(AH129,0))+1,1),"")</f>
        <v>3</v>
      </c>
      <c r="AJ129" s="24">
        <f t="shared" ref="AJ129:AJ130" si="486">(AH129-INT(AH129))*12</f>
        <v>4.9066425925120711</v>
      </c>
      <c r="AK129" s="41" t="str">
        <f t="shared" ref="AK129:AK130" si="487">IF($K129&gt;=AK$23,MID($N$23,IF($K129&gt;AK$23,INT(AJ129),ROUND(AJ129,0))+1,1),"")</f>
        <v/>
      </c>
      <c r="AL129" s="24">
        <f t="shared" ref="AL129:AL130" si="488">(AJ129-INT(AJ129))*12</f>
        <v>10.879711110144854</v>
      </c>
      <c r="AM129" s="41" t="str">
        <f t="shared" ref="AM129:AM130" si="489">IF($K129&gt;=AM$23,MID($N$23,IF($K129&gt;AM$23,INT(AL129),ROUND(AL129,0))+1,1),"")</f>
        <v/>
      </c>
      <c r="AN129" s="24">
        <f t="shared" ref="AN129:AN130" si="490">(AL129-INT(AL129))*12</f>
        <v>10.556533321738243</v>
      </c>
      <c r="AO129" s="41" t="str">
        <f t="shared" ref="AO129:AO130" si="491">IF($K129&gt;=AO$23,MID($N$23,IF($K129&gt;AO$23,INT(AN129),ROUND(AN129,0))+1,1),"")</f>
        <v/>
      </c>
    </row>
    <row r="130" spans="1:41" ht="14.25" customHeight="1" x14ac:dyDescent="0.2">
      <c r="A130" s="602"/>
      <c r="B130" s="604"/>
      <c r="C130" s="202" t="s">
        <v>1068</v>
      </c>
      <c r="D130" s="207" t="s">
        <v>1069</v>
      </c>
      <c r="E130" s="151">
        <f>POWER(12,5)*E$3/86400/(1000/3600)</f>
        <v>2.8237476712038956</v>
      </c>
      <c r="F130" s="15">
        <v>0</v>
      </c>
      <c r="G130" s="166">
        <f t="shared" si="464"/>
        <v>2.8237476712038956</v>
      </c>
      <c r="H130" s="118" t="s">
        <v>630</v>
      </c>
      <c r="I130" s="376">
        <f>(4/12+3/144)*E130</f>
        <v>1.0000773002180463</v>
      </c>
      <c r="J130" s="2" t="s">
        <v>630</v>
      </c>
      <c r="K130" s="8">
        <v>9</v>
      </c>
      <c r="L130" s="21">
        <f>I130/E130</f>
        <v>0.35416666666666663</v>
      </c>
      <c r="M130" s="37" t="str">
        <f t="shared" si="465"/>
        <v>4;300000000</v>
      </c>
      <c r="N130" s="38">
        <v>-1</v>
      </c>
      <c r="O130" s="128">
        <f t="shared" si="466"/>
        <v>4.25</v>
      </c>
      <c r="P130" s="39" t="str">
        <f>INDEX(powers!$H$2:$H$75,33+N130)</f>
        <v>unino</v>
      </c>
      <c r="Q130" s="40" t="str">
        <f t="shared" si="467"/>
        <v>4</v>
      </c>
      <c r="R130" s="24">
        <f t="shared" si="468"/>
        <v>3</v>
      </c>
      <c r="S130" s="41" t="str">
        <f t="shared" si="469"/>
        <v>3</v>
      </c>
      <c r="T130" s="24">
        <f t="shared" si="470"/>
        <v>0</v>
      </c>
      <c r="U130" s="41" t="str">
        <f t="shared" si="471"/>
        <v>0</v>
      </c>
      <c r="V130" s="24">
        <f t="shared" si="472"/>
        <v>0</v>
      </c>
      <c r="W130" s="41" t="str">
        <f t="shared" si="473"/>
        <v>0</v>
      </c>
      <c r="X130" s="24">
        <f t="shared" si="474"/>
        <v>0</v>
      </c>
      <c r="Y130" s="41" t="str">
        <f t="shared" si="475"/>
        <v>0</v>
      </c>
      <c r="Z130" s="24">
        <f t="shared" si="476"/>
        <v>0</v>
      </c>
      <c r="AA130" s="41" t="str">
        <f t="shared" si="477"/>
        <v>0</v>
      </c>
      <c r="AB130" s="24">
        <f t="shared" si="478"/>
        <v>0</v>
      </c>
      <c r="AC130" s="41" t="str">
        <f t="shared" si="479"/>
        <v>0</v>
      </c>
      <c r="AD130" s="24">
        <f t="shared" si="480"/>
        <v>0</v>
      </c>
      <c r="AE130" s="41" t="str">
        <f t="shared" si="481"/>
        <v>0</v>
      </c>
      <c r="AF130" s="24">
        <f t="shared" si="482"/>
        <v>0</v>
      </c>
      <c r="AG130" s="41" t="str">
        <f t="shared" si="483"/>
        <v>0</v>
      </c>
      <c r="AH130" s="24">
        <f t="shared" si="484"/>
        <v>0</v>
      </c>
      <c r="AI130" s="41" t="str">
        <f t="shared" si="485"/>
        <v>0</v>
      </c>
      <c r="AJ130" s="24">
        <f t="shared" si="486"/>
        <v>0</v>
      </c>
      <c r="AK130" s="41" t="str">
        <f t="shared" si="487"/>
        <v/>
      </c>
      <c r="AL130" s="24">
        <f t="shared" si="488"/>
        <v>0</v>
      </c>
      <c r="AM130" s="41" t="str">
        <f t="shared" si="489"/>
        <v/>
      </c>
      <c r="AN130" s="24">
        <f t="shared" si="490"/>
        <v>0</v>
      </c>
      <c r="AO130" s="41" t="str">
        <f t="shared" si="491"/>
        <v/>
      </c>
    </row>
    <row r="131" spans="1:41" ht="14.25" customHeight="1" x14ac:dyDescent="0.2">
      <c r="A131" s="602"/>
      <c r="B131" s="604"/>
      <c r="C131" s="202" t="s">
        <v>1068</v>
      </c>
      <c r="D131" s="207" t="s">
        <v>1069</v>
      </c>
      <c r="E131" s="151">
        <f>E130/1.609344</f>
        <v>1.7545954570333597</v>
      </c>
      <c r="F131" s="15">
        <v>0</v>
      </c>
      <c r="G131" s="166">
        <f t="shared" ref="G131" si="492">E131*POWER(10,-F131)</f>
        <v>1.7545954570333597</v>
      </c>
      <c r="H131" s="118" t="s">
        <v>188</v>
      </c>
      <c r="I131" s="376">
        <f>0.57*E131</f>
        <v>1.000119410509015</v>
      </c>
      <c r="J131" s="2" t="s">
        <v>188</v>
      </c>
      <c r="K131" s="8">
        <v>9</v>
      </c>
      <c r="L131" s="21">
        <f>I131/E131</f>
        <v>0.56999999999999995</v>
      </c>
      <c r="M131" s="37" t="str">
        <f t="shared" ref="M131" si="493">Q131&amp;";"&amp;S131&amp;U131&amp;W131&amp;Y131&amp;AA131&amp;AC131&amp;AE131&amp;AG131&amp;AI131&amp;AK131&amp;AM131&amp;AO131</f>
        <v>6;X0E62X688</v>
      </c>
      <c r="N131" s="38">
        <v>-1</v>
      </c>
      <c r="O131" s="128">
        <f t="shared" ref="O131" si="494">L131/POWER(12,N131)</f>
        <v>6.84</v>
      </c>
      <c r="P131" s="39" t="str">
        <f>INDEX(powers!$H$2:$H$75,33+N131)</f>
        <v>unino</v>
      </c>
      <c r="Q131" s="40" t="str">
        <f t="shared" ref="Q131" si="495">IF($K131&gt;=Q$23,MID($N$23,IF($K131&gt;Q$23,INT(O131),ROUND(O131,0))+1,1),"")</f>
        <v>6</v>
      </c>
      <c r="R131" s="24">
        <f t="shared" ref="R131" si="496">(O131-INT(O131))*12</f>
        <v>10.079999999999998</v>
      </c>
      <c r="S131" s="41" t="str">
        <f t="shared" ref="S131" si="497">IF($K131&gt;=S$23,MID($N$23,IF($K131&gt;S$23,INT(R131),ROUND(R131,0))+1,1),"")</f>
        <v>X</v>
      </c>
      <c r="T131" s="24">
        <f t="shared" ref="T131" si="498">(R131-INT(R131))*12</f>
        <v>0.95999999999997954</v>
      </c>
      <c r="U131" s="41" t="str">
        <f t="shared" ref="U131" si="499">IF($K131&gt;=U$23,MID($N$23,IF($K131&gt;U$23,INT(T131),ROUND(T131,0))+1,1),"")</f>
        <v>0</v>
      </c>
      <c r="V131" s="24">
        <f t="shared" ref="V131" si="500">(T131-INT(T131))*12</f>
        <v>11.519999999999754</v>
      </c>
      <c r="W131" s="41" t="str">
        <f t="shared" ref="W131" si="501">IF($K131&gt;=W$23,MID($N$23,IF($K131&gt;W$23,INT(V131),ROUND(V131,0))+1,1),"")</f>
        <v>E</v>
      </c>
      <c r="X131" s="24">
        <f t="shared" ref="X131" si="502">(V131-INT(V131))*12</f>
        <v>6.2399999999970532</v>
      </c>
      <c r="Y131" s="41" t="str">
        <f t="shared" ref="Y131" si="503">IF($K131&gt;=Y$23,MID($N$23,IF($K131&gt;Y$23,INT(X131),ROUND(X131,0))+1,1),"")</f>
        <v>6</v>
      </c>
      <c r="Z131" s="24">
        <f t="shared" ref="Z131" si="504">(X131-INT(X131))*12</f>
        <v>2.8799999999646388</v>
      </c>
      <c r="AA131" s="41" t="str">
        <f t="shared" ref="AA131" si="505">IF($K131&gt;=AA$23,MID($N$23,IF($K131&gt;AA$23,INT(Z131),ROUND(Z131,0))+1,1),"")</f>
        <v>2</v>
      </c>
      <c r="AB131" s="24">
        <f t="shared" ref="AB131" si="506">(Z131-INT(Z131))*12</f>
        <v>10.559999999575666</v>
      </c>
      <c r="AC131" s="41" t="str">
        <f t="shared" ref="AC131" si="507">IF($K131&gt;=AC$23,MID($N$23,IF($K131&gt;AC$23,INT(AB131),ROUND(AB131,0))+1,1),"")</f>
        <v>X</v>
      </c>
      <c r="AD131" s="24">
        <f t="shared" ref="AD131" si="508">(AB131-INT(AB131))*12</f>
        <v>6.7199999949079938</v>
      </c>
      <c r="AE131" s="41" t="str">
        <f t="shared" ref="AE131" si="509">IF($K131&gt;=AE$23,MID($N$23,IF($K131&gt;AE$23,INT(AD131),ROUND(AD131,0))+1,1),"")</f>
        <v>6</v>
      </c>
      <c r="AF131" s="24">
        <f t="shared" ref="AF131" si="510">(AD131-INT(AD131))*12</f>
        <v>8.6399999388959259</v>
      </c>
      <c r="AG131" s="41" t="str">
        <f t="shared" ref="AG131" si="511">IF($K131&gt;=AG$23,MID($N$23,IF($K131&gt;AG$23,INT(AF131),ROUND(AF131,0))+1,1),"")</f>
        <v>8</v>
      </c>
      <c r="AH131" s="24">
        <f t="shared" ref="AH131" si="512">(AF131-INT(AF131))*12</f>
        <v>7.6799992667511106</v>
      </c>
      <c r="AI131" s="41" t="str">
        <f t="shared" ref="AI131" si="513">IF($K131&gt;=AI$23,MID($N$23,IF($K131&gt;AI$23,INT(AH131),ROUND(AH131,0))+1,1),"")</f>
        <v>8</v>
      </c>
      <c r="AJ131" s="24">
        <f t="shared" ref="AJ131" si="514">(AH131-INT(AH131))*12</f>
        <v>8.1599912010133266</v>
      </c>
      <c r="AK131" s="41" t="str">
        <f t="shared" ref="AK131" si="515">IF($K131&gt;=AK$23,MID($N$23,IF($K131&gt;AK$23,INT(AJ131),ROUND(AJ131,0))+1,1),"")</f>
        <v/>
      </c>
      <c r="AL131" s="24">
        <f t="shared" ref="AL131" si="516">(AJ131-INT(AJ131))*12</f>
        <v>1.9198944121599197</v>
      </c>
      <c r="AM131" s="41" t="str">
        <f t="shared" ref="AM131" si="517">IF($K131&gt;=AM$23,MID($N$23,IF($K131&gt;AM$23,INT(AL131),ROUND(AL131,0))+1,1),"")</f>
        <v/>
      </c>
      <c r="AN131" s="24">
        <f t="shared" ref="AN131" si="518">(AL131-INT(AL131))*12</f>
        <v>11.038732945919037</v>
      </c>
      <c r="AO131" s="41" t="str">
        <f t="shared" ref="AO131" si="519">IF($K131&gt;=AO$23,MID($N$23,IF($K131&gt;AO$23,INT(AN131),ROUND(AN131,0))+1,1),"")</f>
        <v/>
      </c>
    </row>
    <row r="132" spans="1:41" ht="14.25" customHeight="1" x14ac:dyDescent="0.2">
      <c r="A132" s="602"/>
      <c r="B132" s="604"/>
      <c r="C132" s="202" t="s">
        <v>583</v>
      </c>
      <c r="D132" s="207" t="s">
        <v>575</v>
      </c>
      <c r="E132" s="151">
        <f t="shared" si="435"/>
        <v>4.2384100701116747</v>
      </c>
      <c r="F132" s="15">
        <v>0</v>
      </c>
      <c r="G132" s="166">
        <f t="shared" si="434"/>
        <v>4.2384100701116747</v>
      </c>
      <c r="H132" s="118" t="s">
        <v>206</v>
      </c>
      <c r="I132" s="211">
        <v>1</v>
      </c>
      <c r="J132" s="2" t="s">
        <v>206</v>
      </c>
      <c r="K132" s="8">
        <v>9</v>
      </c>
      <c r="L132" s="21">
        <f>L121*480/7000</f>
        <v>0.23593752927584274</v>
      </c>
      <c r="M132" s="37" t="str">
        <f t="shared" si="397"/>
        <v>2;9E84982EX</v>
      </c>
      <c r="N132" s="38">
        <v>-1</v>
      </c>
      <c r="O132" s="128">
        <f t="shared" si="433"/>
        <v>2.8312503513101133</v>
      </c>
      <c r="P132" s="39" t="str">
        <f>INDEX(powers!$H$2:$H$75,33+N132)</f>
        <v>unino</v>
      </c>
      <c r="Q132" s="40" t="str">
        <f t="shared" si="383"/>
        <v>2</v>
      </c>
      <c r="R132" s="24">
        <f t="shared" si="398"/>
        <v>9.9750042157213592</v>
      </c>
      <c r="S132" s="41" t="str">
        <f t="shared" si="399"/>
        <v>9</v>
      </c>
      <c r="T132" s="24">
        <f t="shared" si="400"/>
        <v>11.70005058865631</v>
      </c>
      <c r="U132" s="41" t="str">
        <f t="shared" si="401"/>
        <v>E</v>
      </c>
      <c r="V132" s="24">
        <f t="shared" si="402"/>
        <v>8.4006070638757251</v>
      </c>
      <c r="W132" s="41" t="str">
        <f t="shared" si="403"/>
        <v>8</v>
      </c>
      <c r="X132" s="24">
        <f t="shared" si="404"/>
        <v>4.8072847665087011</v>
      </c>
      <c r="Y132" s="41" t="str">
        <f t="shared" si="405"/>
        <v>4</v>
      </c>
      <c r="Z132" s="24">
        <f t="shared" si="406"/>
        <v>9.6874171981044128</v>
      </c>
      <c r="AA132" s="41" t="str">
        <f t="shared" si="407"/>
        <v>9</v>
      </c>
      <c r="AB132" s="24">
        <f t="shared" si="408"/>
        <v>8.2490063772529538</v>
      </c>
      <c r="AC132" s="41" t="str">
        <f t="shared" si="409"/>
        <v>8</v>
      </c>
      <c r="AD132" s="24">
        <f t="shared" si="410"/>
        <v>2.9880765270354459</v>
      </c>
      <c r="AE132" s="41" t="str">
        <f t="shared" si="411"/>
        <v>2</v>
      </c>
      <c r="AF132" s="24">
        <f t="shared" si="412"/>
        <v>11.856918324425351</v>
      </c>
      <c r="AG132" s="41" t="str">
        <f t="shared" si="413"/>
        <v>E</v>
      </c>
      <c r="AH132" s="24">
        <f t="shared" si="414"/>
        <v>10.28301989310421</v>
      </c>
      <c r="AI132" s="41" t="str">
        <f t="shared" si="415"/>
        <v>X</v>
      </c>
      <c r="AJ132" s="24">
        <f t="shared" si="416"/>
        <v>3.396238717250526</v>
      </c>
      <c r="AK132" s="41" t="str">
        <f t="shared" si="417"/>
        <v/>
      </c>
      <c r="AL132" s="24">
        <f t="shared" si="418"/>
        <v>4.7548646070063114</v>
      </c>
      <c r="AM132" s="41" t="str">
        <f t="shared" si="419"/>
        <v/>
      </c>
      <c r="AN132" s="24">
        <f t="shared" si="420"/>
        <v>9.058375284075737</v>
      </c>
      <c r="AO132" s="41" t="str">
        <f t="shared" si="421"/>
        <v/>
      </c>
    </row>
    <row r="133" spans="1:41" ht="14.25" customHeight="1" x14ac:dyDescent="0.2">
      <c r="A133" s="602"/>
      <c r="B133" s="604"/>
      <c r="C133" s="202" t="s">
        <v>585</v>
      </c>
      <c r="D133" s="207" t="s">
        <v>63</v>
      </c>
      <c r="E133" s="151">
        <f>POWER(12,2)/L133</f>
        <v>7.6172561223966762</v>
      </c>
      <c r="F133" s="15">
        <v>0</v>
      </c>
      <c r="G133" s="166">
        <f t="shared" si="434"/>
        <v>7.6172561223966762</v>
      </c>
      <c r="H133" s="118" t="s">
        <v>180</v>
      </c>
      <c r="I133" s="211">
        <v>1</v>
      </c>
      <c r="J133" s="2" t="s">
        <v>180</v>
      </c>
      <c r="K133" s="8">
        <v>9</v>
      </c>
      <c r="L133" s="21">
        <f>0.45359237*Rydberg!D63/E$10</f>
        <v>18.904445076568091</v>
      </c>
      <c r="M133" s="37" t="str">
        <f t="shared" si="397"/>
        <v>1;6XX2X6X64</v>
      </c>
      <c r="N133" s="38">
        <v>1</v>
      </c>
      <c r="O133" s="128">
        <f t="shared" si="433"/>
        <v>1.5753704230473409</v>
      </c>
      <c r="P133" s="39" t="str">
        <f>INDEX(powers!$H$2:$H$75,33+N133)</f>
        <v>dozen</v>
      </c>
      <c r="Q133" s="40" t="str">
        <f t="shared" si="383"/>
        <v>1</v>
      </c>
      <c r="R133" s="24">
        <f t="shared" si="398"/>
        <v>6.9044450765680905</v>
      </c>
      <c r="S133" s="41" t="str">
        <f t="shared" si="399"/>
        <v>6</v>
      </c>
      <c r="T133" s="24">
        <f t="shared" si="400"/>
        <v>10.853340918817086</v>
      </c>
      <c r="U133" s="41" t="str">
        <f t="shared" si="401"/>
        <v>X</v>
      </c>
      <c r="V133" s="24">
        <f t="shared" si="402"/>
        <v>10.240091025805029</v>
      </c>
      <c r="W133" s="41" t="str">
        <f t="shared" si="403"/>
        <v>X</v>
      </c>
      <c r="X133" s="24">
        <f t="shared" si="404"/>
        <v>2.881092309660346</v>
      </c>
      <c r="Y133" s="41" t="str">
        <f t="shared" si="405"/>
        <v>2</v>
      </c>
      <c r="Z133" s="24">
        <f t="shared" si="406"/>
        <v>10.573107715924152</v>
      </c>
      <c r="AA133" s="41" t="str">
        <f t="shared" si="407"/>
        <v>X</v>
      </c>
      <c r="AB133" s="24">
        <f t="shared" si="408"/>
        <v>6.8772925910898266</v>
      </c>
      <c r="AC133" s="41" t="str">
        <f t="shared" si="409"/>
        <v>6</v>
      </c>
      <c r="AD133" s="24">
        <f t="shared" si="410"/>
        <v>10.527511093077919</v>
      </c>
      <c r="AE133" s="41" t="str">
        <f t="shared" si="411"/>
        <v>X</v>
      </c>
      <c r="AF133" s="24">
        <f t="shared" si="412"/>
        <v>6.3301331169350306</v>
      </c>
      <c r="AG133" s="41" t="str">
        <f t="shared" si="413"/>
        <v>6</v>
      </c>
      <c r="AH133" s="24">
        <f t="shared" si="414"/>
        <v>3.9615974032203667</v>
      </c>
      <c r="AI133" s="41" t="str">
        <f t="shared" si="415"/>
        <v>4</v>
      </c>
      <c r="AJ133" s="24">
        <f t="shared" si="416"/>
        <v>11.5391688386444</v>
      </c>
      <c r="AK133" s="41" t="str">
        <f t="shared" si="417"/>
        <v/>
      </c>
      <c r="AL133" s="24">
        <f t="shared" si="418"/>
        <v>6.4700260637328029</v>
      </c>
      <c r="AM133" s="41" t="str">
        <f t="shared" si="419"/>
        <v/>
      </c>
      <c r="AN133" s="24">
        <f t="shared" si="420"/>
        <v>5.6403127647936344</v>
      </c>
      <c r="AO133" s="41" t="str">
        <f t="shared" si="421"/>
        <v/>
      </c>
    </row>
    <row r="134" spans="1:41" ht="14.25" customHeight="1" thickBot="1" x14ac:dyDescent="0.25">
      <c r="A134" s="603"/>
      <c r="B134" s="605"/>
      <c r="C134" s="203" t="s">
        <v>578</v>
      </c>
      <c r="D134" s="208" t="s">
        <v>577</v>
      </c>
      <c r="E134" s="175">
        <f>3*POWER(12,3)*L132</f>
        <v>1223.1001517659688</v>
      </c>
      <c r="F134" s="176">
        <v>0</v>
      </c>
      <c r="G134" s="177">
        <f t="shared" ref="G134" si="520">E134*POWER(10,-F134)</f>
        <v>1223.1001517659688</v>
      </c>
      <c r="H134" s="222" t="s">
        <v>208</v>
      </c>
      <c r="I134" s="221">
        <v>1000</v>
      </c>
      <c r="J134" s="195" t="s">
        <v>208</v>
      </c>
      <c r="K134" s="33">
        <v>7</v>
      </c>
      <c r="L134" s="32">
        <f>3*POWER(12,3)/G134*I134</f>
        <v>4238.4100701116749</v>
      </c>
      <c r="M134" s="47" t="str">
        <f t="shared" si="397"/>
        <v>2;5524E07</v>
      </c>
      <c r="N134" s="48">
        <v>3</v>
      </c>
      <c r="O134" s="106">
        <f>L134/POWER(12,N134)+0.00000000001</f>
        <v>2.4527836053987007</v>
      </c>
      <c r="P134" s="49" t="str">
        <f>INDEX(powers!$H$2:$H$75,33+N134)</f>
        <v>doz gross</v>
      </c>
      <c r="Q134" s="40" t="str">
        <f t="shared" si="383"/>
        <v>2</v>
      </c>
      <c r="R134" s="24">
        <f t="shared" si="398"/>
        <v>5.4334032647844079</v>
      </c>
      <c r="S134" s="41" t="str">
        <f t="shared" si="399"/>
        <v>5</v>
      </c>
      <c r="T134" s="24">
        <f t="shared" si="400"/>
        <v>5.2008391774128953</v>
      </c>
      <c r="U134" s="41" t="str">
        <f t="shared" si="401"/>
        <v>5</v>
      </c>
      <c r="V134" s="24">
        <f t="shared" si="402"/>
        <v>2.410070128954743</v>
      </c>
      <c r="W134" s="41" t="str">
        <f t="shared" si="403"/>
        <v>2</v>
      </c>
      <c r="X134" s="24">
        <f t="shared" si="404"/>
        <v>4.9208415474569165</v>
      </c>
      <c r="Y134" s="41" t="str">
        <f t="shared" si="405"/>
        <v>4</v>
      </c>
      <c r="Z134" s="24">
        <f t="shared" si="406"/>
        <v>11.050098569482998</v>
      </c>
      <c r="AA134" s="41" t="str">
        <f t="shared" si="407"/>
        <v>E</v>
      </c>
      <c r="AB134" s="24">
        <f t="shared" si="408"/>
        <v>0.60118283379597415</v>
      </c>
      <c r="AC134" s="41" t="str">
        <f t="shared" si="409"/>
        <v>0</v>
      </c>
      <c r="AD134" s="24">
        <f t="shared" si="410"/>
        <v>7.2141940055516898</v>
      </c>
      <c r="AE134" s="41" t="str">
        <f t="shared" si="411"/>
        <v>7</v>
      </c>
      <c r="AF134" s="24">
        <f t="shared" si="412"/>
        <v>2.5703280666202772</v>
      </c>
      <c r="AG134" s="41" t="str">
        <f t="shared" si="413"/>
        <v/>
      </c>
      <c r="AH134" s="24">
        <f t="shared" si="414"/>
        <v>6.8439367994433269</v>
      </c>
      <c r="AI134" s="41" t="str">
        <f t="shared" si="415"/>
        <v/>
      </c>
      <c r="AJ134" s="24">
        <f t="shared" si="416"/>
        <v>10.127241593319923</v>
      </c>
      <c r="AK134" s="41" t="str">
        <f t="shared" si="417"/>
        <v/>
      </c>
      <c r="AL134" s="24">
        <f t="shared" si="418"/>
        <v>1.5268991198390722</v>
      </c>
      <c r="AM134" s="41" t="str">
        <f t="shared" si="419"/>
        <v/>
      </c>
      <c r="AN134" s="24">
        <f t="shared" si="420"/>
        <v>6.3227894380688667</v>
      </c>
      <c r="AO134" s="41" t="str">
        <f t="shared" si="421"/>
        <v/>
      </c>
    </row>
    <row r="135" spans="1:41" x14ac:dyDescent="0.2">
      <c r="L135" s="193"/>
    </row>
  </sheetData>
  <mergeCells count="35">
    <mergeCell ref="N23:O23"/>
    <mergeCell ref="I22:P22"/>
    <mergeCell ref="A22:B22"/>
    <mergeCell ref="C22:H22"/>
    <mergeCell ref="B8:C8"/>
    <mergeCell ref="B9:C9"/>
    <mergeCell ref="B10:C10"/>
    <mergeCell ref="B11:C11"/>
    <mergeCell ref="A1:A21"/>
    <mergeCell ref="B2:C2"/>
    <mergeCell ref="B3:C3"/>
    <mergeCell ref="B4:C4"/>
    <mergeCell ref="B7:C7"/>
    <mergeCell ref="B14:C14"/>
    <mergeCell ref="B15:C15"/>
    <mergeCell ref="I3:J3"/>
    <mergeCell ref="B12:C12"/>
    <mergeCell ref="B13:C13"/>
    <mergeCell ref="B21:C21"/>
    <mergeCell ref="B1:C1"/>
    <mergeCell ref="B16:C16"/>
    <mergeCell ref="B17:C17"/>
    <mergeCell ref="B18:C18"/>
    <mergeCell ref="B19:C19"/>
    <mergeCell ref="B20:C20"/>
    <mergeCell ref="B5:C5"/>
    <mergeCell ref="B6:C6"/>
    <mergeCell ref="A23:A134"/>
    <mergeCell ref="B24:B38"/>
    <mergeCell ref="B67:B81"/>
    <mergeCell ref="B82:B94"/>
    <mergeCell ref="B95:B107"/>
    <mergeCell ref="B53:B66"/>
    <mergeCell ref="B39:B52"/>
    <mergeCell ref="B108:B134"/>
  </mergeCells>
  <phoneticPr fontId="1"/>
  <printOptions horizontalCentered="1"/>
  <pageMargins left="0.70866141732283472" right="0.70866141732283472" top="0.74803149606299213" bottom="0.74803149606299213" header="0.31496062992125984" footer="0.31496062992125984"/>
  <pageSetup paperSize="9" scale="51" orientation="portrait"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32</vt:i4>
      </vt:variant>
    </vt:vector>
  </HeadingPairs>
  <TitlesOfParts>
    <vt:vector size="54" baseType="lpstr">
      <vt:lpstr>Units</vt:lpstr>
      <vt:lpstr>Rydberg</vt:lpstr>
      <vt:lpstr>Bohr</vt:lpstr>
      <vt:lpstr>Gravitic</vt:lpstr>
      <vt:lpstr>Clock</vt:lpstr>
      <vt:lpstr>Clock_by_Rydberg</vt:lpstr>
      <vt:lpstr>Metric</vt:lpstr>
      <vt:lpstr>Atomic</vt:lpstr>
      <vt:lpstr>Conversion</vt:lpstr>
      <vt:lpstr>Natural Time Scale</vt:lpstr>
      <vt:lpstr>Ages</vt:lpstr>
      <vt:lpstr>Atoms</vt:lpstr>
      <vt:lpstr>powers</vt:lpstr>
      <vt:lpstr>comparison</vt:lpstr>
      <vt:lpstr>gravitation</vt:lpstr>
      <vt:lpstr>yard-pound</vt:lpstr>
      <vt:lpstr>TGM</vt:lpstr>
      <vt:lpstr>IDUS</vt:lpstr>
      <vt:lpstr>decimal IDUS</vt:lpstr>
      <vt:lpstr>fathom system</vt:lpstr>
      <vt:lpstr>deci fathom system</vt:lpstr>
      <vt:lpstr>solar_luminosity</vt:lpstr>
      <vt:lpstr>'yard-pound'!c_0</vt:lpstr>
      <vt:lpstr>c_0</vt:lpstr>
      <vt:lpstr>h_bar</vt:lpstr>
      <vt:lpstr>k_B</vt:lpstr>
      <vt:lpstr>'yard-pound'!N_A</vt:lpstr>
      <vt:lpstr>N_A</vt:lpstr>
      <vt:lpstr>Ages!Print_Area</vt:lpstr>
      <vt:lpstr>Atomic!Print_Area</vt:lpstr>
      <vt:lpstr>Atoms!Print_Area</vt:lpstr>
      <vt:lpstr>Bohr!Print_Area</vt:lpstr>
      <vt:lpstr>Clock!Print_Area</vt:lpstr>
      <vt:lpstr>Clock_by_Rydberg!Print_Area</vt:lpstr>
      <vt:lpstr>Conversion!Print_Area</vt:lpstr>
      <vt:lpstr>'deci fathom system'!Print_Area</vt:lpstr>
      <vt:lpstr>'decimal IDUS'!Print_Area</vt:lpstr>
      <vt:lpstr>'fathom system'!Print_Area</vt:lpstr>
      <vt:lpstr>gravitation!Print_Area</vt:lpstr>
      <vt:lpstr>Gravitic!Print_Area</vt:lpstr>
      <vt:lpstr>IDUS!Print_Area</vt:lpstr>
      <vt:lpstr>Metric!Print_Area</vt:lpstr>
      <vt:lpstr>'Natural Time Scale'!Print_Area</vt:lpstr>
      <vt:lpstr>powers!Print_Area</vt:lpstr>
      <vt:lpstr>Rydberg!Print_Area</vt:lpstr>
      <vt:lpstr>solar_luminosity!Print_Area</vt:lpstr>
      <vt:lpstr>TGM!Print_Area</vt:lpstr>
      <vt:lpstr>Units!Print_Area</vt:lpstr>
      <vt:lpstr>'yard-pound'!Print_Area</vt:lpstr>
      <vt:lpstr>Units!Print_Titles</vt:lpstr>
      <vt:lpstr>'yard-pound'!R_infinity</vt:lpstr>
      <vt:lpstr>R_infinity</vt:lpstr>
      <vt:lpstr>'yard-pound'!α</vt:lpstr>
      <vt:lpstr>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suchowan</dc:creator>
  <cp:lastModifiedBy>隆 須賀</cp:lastModifiedBy>
  <cp:lastPrinted>2025-02-06T20:26:44Z</cp:lastPrinted>
  <dcterms:created xsi:type="dcterms:W3CDTF">2010-05-16T05:35:37Z</dcterms:created>
  <dcterms:modified xsi:type="dcterms:W3CDTF">2025-02-06T20:26:55Z</dcterms:modified>
</cp:coreProperties>
</file>